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9D04E25A-F79D-4DBF-9B01-F8ECA7DF6348}" xr6:coauthVersionLast="47" xr6:coauthVersionMax="47" xr10:uidLastSave="{00000000-0000-0000-0000-000000000000}"/>
  <bookViews>
    <workbookView xWindow="1950" yWindow="195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I33" i="34"/>
  <c r="G37" i="34"/>
  <c r="G59" i="34"/>
  <c r="I72" i="34"/>
  <c r="G36" i="34"/>
  <c r="H37" i="34"/>
  <c r="H36" i="34"/>
  <c r="I37" i="34"/>
  <c r="G88" i="34"/>
  <c r="G26" i="34"/>
  <c r="H27" i="34"/>
  <c r="I28" i="34"/>
  <c r="G34" i="34"/>
  <c r="H35" i="34"/>
  <c r="I36" i="34"/>
  <c r="G62" i="34"/>
  <c r="I75" i="34"/>
  <c r="I88" i="34"/>
  <c r="H26" i="34"/>
  <c r="I27" i="34"/>
  <c r="G33" i="34"/>
  <c r="H34" i="34"/>
  <c r="I35" i="34"/>
  <c r="I76" i="34"/>
  <c r="G85" i="34"/>
  <c r="G89" i="34"/>
  <c r="I26" i="34"/>
  <c r="G32" i="34"/>
  <c r="H33" i="34"/>
  <c r="I34" i="34"/>
  <c r="I85" i="34"/>
  <c r="I89" i="34"/>
  <c r="G128" i="34"/>
  <c r="G135" i="34"/>
  <c r="G143" i="34"/>
  <c r="G138" i="34"/>
  <c r="I45" i="59"/>
  <c r="G133" i="34"/>
  <c r="G141" i="34"/>
  <c r="I15" i="59"/>
  <c r="G129" i="34"/>
  <c r="G136" i="34"/>
  <c r="I154" i="34"/>
  <c r="H16" i="59"/>
  <c r="G139" i="34"/>
  <c r="H15" i="59"/>
  <c r="H45" i="59"/>
  <c r="G125" i="34"/>
  <c r="G134" i="34"/>
  <c r="G142" i="34"/>
  <c r="D16" i="57"/>
  <c r="I22" i="59"/>
  <c r="G137" i="34"/>
  <c r="I157" i="34"/>
  <c r="D18" i="57"/>
  <c r="G132" i="34"/>
  <c r="G140" i="34"/>
  <c r="H22" i="59"/>
  <c r="H154" i="34"/>
  <c r="H157" i="34"/>
  <c r="H158" i="34"/>
  <c r="H139" i="34"/>
  <c r="H142" i="34"/>
  <c r="H143" i="34"/>
  <c r="H118" i="34"/>
  <c r="H119" i="34"/>
  <c r="H120" i="34"/>
  <c r="H121" i="34"/>
  <c r="H122" i="34"/>
  <c r="H123" i="34"/>
  <c r="H124" i="34"/>
  <c r="H125" i="34"/>
  <c r="H126" i="34"/>
  <c r="H128" i="34"/>
  <c r="H129" i="34"/>
  <c r="I118" i="34"/>
  <c r="I119" i="34"/>
  <c r="I120" i="34"/>
  <c r="I121" i="34"/>
  <c r="I122" i="34"/>
  <c r="I123" i="34"/>
  <c r="I124" i="34"/>
  <c r="I125" i="34"/>
  <c r="I126" i="34"/>
  <c r="I127" i="34"/>
  <c r="I128" i="34"/>
  <c r="I129" i="34"/>
  <c r="D29" i="25"/>
  <c r="F29" i="25"/>
  <c r="G29" i="25"/>
  <c r="H29" i="25"/>
  <c r="I29" i="25"/>
  <c r="K29" i="25"/>
  <c r="M29" i="25"/>
  <c r="O29" i="25"/>
  <c r="I99"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85" i="34"/>
  <c r="H88" i="34"/>
  <c r="H89" i="34"/>
  <c r="G65" i="34"/>
  <c r="G66" i="34"/>
  <c r="G67" i="34"/>
  <c r="G68" i="34"/>
  <c r="G69" i="34"/>
  <c r="G72" i="34"/>
  <c r="G75" i="34"/>
  <c r="G76" i="34"/>
  <c r="H72" i="34"/>
  <c r="H75" i="34"/>
  <c r="H76" i="34"/>
  <c r="H59" i="34"/>
  <c r="H62" i="34"/>
  <c r="H63" i="34"/>
  <c r="I59" i="34"/>
  <c r="I62" i="34"/>
  <c r="I63" i="34"/>
  <c r="G63" i="34"/>
  <c r="M51" i="34" l="1"/>
  <c r="L51" i="34"/>
  <c r="K51" i="34"/>
  <c r="J51" i="34"/>
  <c r="I61" i="34"/>
  <c r="I60" i="34"/>
  <c r="I58" i="34"/>
  <c r="I57" i="34"/>
  <c r="I56" i="34"/>
  <c r="I55" i="34"/>
  <c r="I54" i="34"/>
  <c r="I53" i="34"/>
  <c r="I52" i="34"/>
  <c r="H61" i="34"/>
  <c r="H60" i="34"/>
  <c r="H58" i="34"/>
  <c r="H57" i="34"/>
  <c r="H56" i="34"/>
  <c r="H55" i="34"/>
  <c r="H54" i="34"/>
  <c r="H53" i="34"/>
  <c r="H52" i="34"/>
  <c r="I70" i="34"/>
  <c r="L64" i="34"/>
  <c r="K64" i="34"/>
  <c r="H74" i="34"/>
  <c r="H73" i="34"/>
  <c r="G74" i="34"/>
  <c r="G73" i="34"/>
  <c r="G71" i="34"/>
  <c r="G70" i="34"/>
  <c r="M77" i="34"/>
  <c r="L77" i="34"/>
  <c r="K77" i="34"/>
  <c r="J77" i="34"/>
  <c r="H87" i="34"/>
  <c r="H86" i="34"/>
  <c r="H84" i="34"/>
  <c r="H83" i="34"/>
  <c r="H82" i="34"/>
  <c r="H81" i="34"/>
  <c r="H80"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1" i="34"/>
  <c r="I100" i="34"/>
  <c r="I98" i="34"/>
  <c r="I97" i="34"/>
  <c r="I96" i="34"/>
  <c r="I95" i="34"/>
  <c r="I94"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7" i="34"/>
  <c r="K131" i="34"/>
  <c r="K130" i="34" s="1"/>
  <c r="U30" i="25"/>
  <c r="T30" i="25"/>
  <c r="R30" i="25"/>
  <c r="O30" i="25"/>
  <c r="M30" i="25"/>
  <c r="K30" i="25"/>
  <c r="I30" i="25"/>
  <c r="H30" i="25"/>
  <c r="G30" i="25"/>
  <c r="F30" i="25"/>
  <c r="D30" i="25"/>
  <c r="J131" i="34"/>
  <c r="J130" i="34" s="1"/>
  <c r="C30" i="25"/>
  <c r="F49" i="22" s="1"/>
  <c r="H141" i="34"/>
  <c r="H140" i="34"/>
  <c r="H138" i="34"/>
  <c r="H137" i="34"/>
  <c r="H136" i="34"/>
  <c r="H135" i="34"/>
  <c r="H134" i="34"/>
  <c r="H133" i="34"/>
  <c r="H132" i="34"/>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6" i="34"/>
  <c r="H155" i="34"/>
  <c r="H153" i="34"/>
  <c r="H152" i="34"/>
  <c r="H151" i="34"/>
  <c r="H150" i="34"/>
  <c r="H149"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49" i="34"/>
  <c r="D111" i="34"/>
  <c r="G111" i="34" s="1"/>
  <c r="G98" i="34"/>
  <c r="K13" i="59"/>
  <c r="H14" i="59"/>
  <c r="I15" i="57"/>
  <c r="G13" i="57"/>
  <c r="E15" i="57"/>
  <c r="I156" i="34"/>
  <c r="I148" i="34"/>
  <c r="G127"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20" i="34"/>
  <c r="G118" i="34"/>
  <c r="G101" i="34"/>
  <c r="D114" i="34"/>
  <c r="G114" i="34" s="1"/>
  <c r="D106" i="34"/>
  <c r="G106" i="34" s="1"/>
  <c r="G93" i="34"/>
  <c r="I16" i="57"/>
  <c r="E16" i="57"/>
  <c r="I18" i="57"/>
  <c r="E18" i="57"/>
  <c r="I151" i="34"/>
  <c r="G100" i="34"/>
  <c r="D113" i="34"/>
  <c r="G113" i="34" s="1"/>
  <c r="D105" i="34"/>
  <c r="G105" i="34" s="1"/>
  <c r="G92" i="34"/>
  <c r="I81" i="34"/>
  <c r="I68" i="34"/>
  <c r="I66" i="34"/>
  <c r="G81" i="34"/>
  <c r="H70" i="34"/>
  <c r="H68" i="34"/>
  <c r="H66" i="34"/>
  <c r="G55" i="34"/>
  <c r="I84" i="34"/>
  <c r="I80" i="34"/>
  <c r="M64" i="34"/>
  <c r="G54" i="34"/>
  <c r="G84" i="34"/>
  <c r="G80" i="34"/>
  <c r="I74" i="34"/>
  <c r="J64" i="34"/>
  <c r="G61" i="34"/>
  <c r="G53" i="34"/>
  <c r="G35" i="34"/>
  <c r="I29" i="34"/>
  <c r="H28" i="34"/>
  <c r="G27" i="34"/>
  <c r="I73" i="34"/>
  <c r="I69" i="34"/>
  <c r="I67" i="34"/>
  <c r="I65" i="34"/>
  <c r="I30" i="34"/>
  <c r="H29" i="34"/>
  <c r="G28" i="34"/>
  <c r="M25" i="34"/>
  <c r="G87" i="34"/>
  <c r="G83" i="34"/>
  <c r="G79" i="34"/>
  <c r="H69" i="34"/>
  <c r="H67" i="34"/>
  <c r="H65" i="34"/>
  <c r="I31" i="34"/>
  <c r="H30" i="34"/>
  <c r="G29" i="34"/>
  <c r="L25" i="34"/>
  <c r="I71" i="34"/>
  <c r="I32" i="34"/>
  <c r="H31" i="34"/>
  <c r="G30" i="34"/>
  <c r="K25" i="34"/>
  <c r="H71"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F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49" i="70" l="1"/>
  <c r="I34" i="73"/>
  <c r="J34" i="73" s="1"/>
  <c r="G35" i="73"/>
  <c r="H45" i="70"/>
  <c r="H22" i="73"/>
  <c r="H23" i="73"/>
  <c r="H24"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<sst xmlns="http://schemas.openxmlformats.org/spreadsheetml/2006/main" count="19313" uniqueCount="2523">
  <si>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</si>
  <si>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</si>
  <si>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</si>
  <si>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</si>
  <si>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</si>
  <si>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</si>
  <si>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</si>
  <si>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</si>
  <si>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</si>
  <si>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</si>
  <si>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</si>
  <si>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</si>
  <si>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</si>
  <si>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</si>
  <si>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</si>
  <si>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</si>
  <si>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</si>
  <si>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</si>
  <si>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</si>
  <si>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</si>
  <si>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</si>
  <si>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</si>
  <si>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</si>
  <si>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</si>
  <si>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</si>
  <si>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</si>
  <si>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</si>
  <si>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</si>
  <si>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</si>
  <si>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</si>
  <si>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</si>
  <si>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</si>
  <si>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</si>
  <si>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</si>
  <si>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</si>
  <si>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</si>
  <si>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</si>
  <si>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</si>
  <si>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</si>
  <si>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</si>
  <si>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</si>
  <si>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</si>
  <si>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</si>
  <si>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</si>
  <si>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</si>
  <si>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</si>
  <si>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</si>
  <si>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</si>
  <si>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</si>
  <si>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</si>
  <si>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</si>
  <si>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</si>
  <si>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</si>
  <si>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</si>
  <si>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</si>
  <si>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</si>
  <si>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</si>
  <si>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</si>
  <si>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</si>
  <si>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</si>
  <si>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</si>
  <si>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</si>
  <si>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</si>
  <si>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</si>
  <si>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</si>
  <si>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</si>
  <si>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</si>
  <si>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</si>
  <si>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</si>
  <si>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</si>
  <si>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</si>
  <si>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</si>
  <si>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</si>
  <si>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</si>
  <si>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</si>
  <si>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</si>
  <si>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</si>
  <si>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</si>
  <si>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</si>
  <si>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</si>
  <si>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</si>
  <si>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</si>
  <si>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</si>
  <si>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</si>
  <si>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</si>
  <si>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</si>
  <si>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</si>
  <si>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</si>
  <si>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</si>
  <si>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</si>
  <si>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</si>
  <si>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</si>
  <si>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</si>
  <si>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</si>
  <si>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</si>
  <si>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</si>
  <si>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</si>
  <si>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</si>
  <si>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</si>
  <si>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</si>
  <si>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</si>
  <si>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</si>
  <si>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</si>
  <si>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</si>
  <si>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</si>
  <si>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</si>
  <si>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</si>
  <si>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</si>
  <si>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</si>
  <si>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</si>
  <si>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</si>
  <si>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</si>
  <si>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</si>
  <si>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</si>
  <si>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</si>
  <si>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</si>
  <si>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</si>
  <si>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</si>
  <si>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</si>
  <si>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</si>
  <si>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</si>
  <si>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</si>
  <si>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</si>
  <si>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</si>
  <si>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</si>
  <si>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</si>
  <si>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</si>
  <si>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</si>
  <si>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</si>
  <si>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</si>
  <si>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</si>
  <si>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</si>
  <si>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</si>
  <si>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</si>
  <si>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</si>
  <si>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</si>
  <si>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</si>
  <si>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</si>
  <si>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</si>
  <si>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</si>
  <si>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</si>
  <si>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</si>
  <si>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</si>
  <si>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</si>
  <si>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</si>
  <si>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</si>
  <si>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</si>
  <si>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</si>
  <si>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</si>
  <si>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</si>
  <si>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</si>
  <si>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</si>
  <si>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</si>
  <si>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</si>
  <si>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</si>
  <si>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</si>
  <si>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</si>
  <si>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</si>
  <si>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</si>
  <si>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</si>
  <si>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</si>
  <si>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</si>
  <si>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</si>
  <si>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</si>
  <si>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</si>
  <si>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</si>
  <si>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</si>
  <si>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</si>
  <si>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</si>
  <si>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</si>
  <si>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</si>
  <si>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</si>
  <si>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</si>
  <si>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</si>
  <si>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</si>
  <si>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</si>
  <si>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</si>
  <si>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</si>
  <si>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</si>
  <si>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</si>
  <si>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</si>
  <si>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</si>
  <si>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</si>
  <si>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</si>
  <si>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</si>
  <si>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</si>
  <si>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</si>
  <si>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</si>
  <si>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</si>
  <si>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</si>
  <si>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</si>
  <si>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</si>
  <si>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</si>
  <si>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</si>
  <si>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</si>
  <si>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</si>
  <si>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</si>
  <si>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</si>
  <si>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</si>
  <si>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</si>
  <si>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</si>
  <si>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</si>
  <si>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</si>
  <si>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</si>
  <si>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</si>
  <si>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</si>
  <si>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</si>
  <si>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</si>
  <si>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</si>
  <si>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</si>
  <si>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</si>
  <si>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</si>
  <si>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</si>
  <si>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</si>
  <si>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</si>
  <si>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</si>
  <si>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</si>
  <si>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</si>
  <si>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</si>
  <si>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</si>
  <si>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</si>
  <si>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</si>
  <si>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</si>
  <si>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</si>
  <si>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</si>
  <si>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</si>
  <si>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</si>
  <si>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</si>
  <si>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</si>
  <si>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</si>
  <si>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</si>
  <si>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</si>
  <si>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</si>
  <si>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</si>
  <si>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</si>
  <si>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</si>
  <si>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</si>
  <si>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</si>
  <si>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</si>
  <si>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</si>
  <si>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</si>
  <si>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</si>
  <si>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</si>
  <si>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</si>
  <si>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</si>
  <si>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</si>
  <si>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</si>
  <si>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</si>
  <si>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</si>
  <si>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</si>
  <si>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</si>
  <si>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</si>
  <si>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</si>
  <si>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</si>
  <si>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</si>
  <si>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</si>
  <si>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</si>
  <si>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</si>
  <si>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</si>
  <si>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</si>
  <si>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</si>
  <si>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</si>
  <si>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</si>
  <si>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</si>
  <si>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</si>
  <si>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</si>
  <si>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</si>
  <si>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</si>
  <si>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</si>
  <si>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</si>
  <si>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</si>
  <si>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</si>
  <si>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</si>
  <si>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</si>
  <si>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</si>
  <si>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</si>
  <si>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</si>
  <si>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</si>
  <si>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</si>
  <si>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</si>
  <si>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</si>
  <si>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</si>
  <si>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</si>
  <si>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</si>
  <si>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</si>
  <si>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</si>
  <si>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</si>
  <si>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</si>
  <si>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</si>
  <si>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</si>
  <si>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</si>
  <si>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</si>
  <si>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</si>
  <si>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</si>
  <si>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</si>
  <si>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</si>
  <si>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</si>
  <si>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</si>
  <si>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</si>
  <si>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</si>
  <si>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</si>
  <si>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</si>
  <si>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</si>
  <si>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</si>
  <si>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</si>
  <si>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</si>
  <si>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</si>
  <si>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</si>
  <si>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</si>
  <si>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</si>
  <si>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</si>
  <si>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</si>
  <si>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</si>
  <si>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</si>
  <si>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</si>
  <si>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</si>
  <si>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</si>
  <si>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</si>
  <si>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</si>
  <si>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</si>
  <si>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</si>
  <si>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</si>
  <si>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</si>
  <si>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</si>
  <si>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</si>
  <si>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</si>
  <si>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</si>
  <si>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</si>
  <si>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</si>
  <si>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</si>
  <si>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</si>
  <si>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</si>
  <si>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</si>
  <si>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</si>
  <si>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</si>
  <si>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</si>
  <si>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</si>
  <si>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</si>
  <si>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</si>
  <si>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</si>
  <si>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</si>
  <si>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</si>
  <si>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</si>
  <si>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</si>
  <si>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</si>
  <si>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</si>
  <si>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</si>
  <si>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</si>
  <si>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</si>
  <si>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</si>
  <si>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</si>
  <si>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</si>
  <si>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</si>
  <si>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</si>
  <si>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</si>
  <si>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</si>
  <si>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</si>
  <si>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</si>
  <si>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</si>
  <si>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</si>
  <si>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</si>
  <si>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</si>
  <si>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</si>
  <si>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</si>
  <si>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</si>
  <si>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</si>
  <si>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</si>
  <si>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</si>
  <si>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</si>
  <si>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</si>
  <si>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</si>
  <si>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</si>
  <si>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</si>
  <si>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</si>
  <si>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</si>
  <si>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</si>
  <si>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</si>
  <si>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</si>
  <si>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</si>
  <si>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</si>
  <si>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</si>
  <si>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</si>
  <si>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</si>
  <si>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</si>
  <si>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</si>
  <si>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</si>
  <si>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</si>
  <si>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</si>
  <si>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</si>
  <si>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</si>
  <si>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</si>
  <si>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</si>
  <si>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</si>
  <si>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</si>
  <si>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</si>
  <si>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</si>
  <si>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</si>
  <si>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</si>
  <si>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</si>
  <si>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</si>
  <si>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</si>
  <si>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</si>
  <si>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</si>
  <si>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</si>
  <si>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</si>
  <si>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</si>
  <si>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</si>
  <si>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</si>
  <si>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</si>
  <si>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</si>
  <si>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</si>
  <si>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</si>
  <si>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</si>
  <si>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</si>
  <si>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</si>
  <si>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</si>
  <si>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</si>
  <si>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</si>
  <si>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</si>
  <si>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</si>
  <si>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</si>
  <si>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</si>
  <si>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</si>
  <si>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</si>
  <si>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</si>
  <si>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</si>
  <si>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</si>
  <si>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</si>
  <si>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</si>
  <si>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</si>
  <si>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</si>
  <si>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</si>
  <si>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</si>
  <si>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</si>
  <si>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</si>
  <si>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</si>
  <si>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</si>
  <si>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</si>
  <si>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</si>
  <si>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</si>
  <si>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</si>
  <si>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</si>
  <si>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</si>
  <si>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</si>
  <si>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</si>
  <si>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</si>
  <si>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</si>
  <si>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</si>
  <si>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</si>
  <si>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</si>
  <si>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</si>
  <si>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</si>
  <si>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</si>
  <si>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</si>
  <si>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</si>
  <si>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</si>
  <si>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</si>
  <si>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</si>
  <si>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</si>
  <si>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</si>
  <si>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</si>
  <si>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</si>
  <si>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</si>
  <si>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</si>
  <si>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</si>
  <si>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</si>
  <si>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</si>
  <si>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</si>
  <si>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</si>
  <si>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</si>
  <si>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</si>
  <si>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</si>
  <si>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</si>
  <si>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</si>
  <si>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</si>
  <si>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</si>
  <si>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</si>
  <si>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</si>
  <si>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</si>
  <si>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</si>
  <si>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</si>
  <si>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</si>
  <si>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</si>
  <si>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</si>
  <si>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</si>
  <si>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</si>
  <si>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</si>
  <si>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</si>
  <si>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</si>
  <si>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</si>
  <si>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</si>
  <si>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</si>
  <si>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</si>
  <si>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</si>
  <si>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</si>
  <si>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</si>
  <si>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</si>
  <si>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</si>
  <si>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</si>
  <si>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</si>
  <si>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</si>
  <si>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</si>
  <si>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</si>
  <si>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</si>
  <si>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</si>
  <si>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</si>
  <si>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</si>
  <si>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</si>
  <si>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</si>
  <si>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</si>
  <si>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</si>
  <si>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</si>
  <si>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</si>
  <si>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</si>
  <si>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</si>
  <si>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</si>
  <si>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</si>
  <si>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</si>
  <si>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</si>
  <si>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</si>
  <si>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</si>
  <si>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</si>
  <si>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</si>
  <si>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</si>
  <si>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</si>
  <si>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</si>
  <si>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</si>
  <si>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</si>
  <si>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</si>
  <si>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</si>
  <si>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</si>
  <si>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</si>
  <si>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</si>
  <si>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</si>
  <si>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</si>
  <si>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</si>
  <si>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</si>
  <si>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</si>
  <si>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</si>
  <si>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</si>
  <si>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</si>
  <si>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</si>
  <si>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</si>
  <si>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</si>
  <si>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</si>
  <si>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</si>
  <si>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</si>
  <si>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</si>
  <si>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</si>
  <si>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</si>
  <si>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</si>
  <si>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</si>
  <si>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</si>
  <si>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</si>
  <si>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</si>
  <si>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</si>
  <si>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</si>
  <si>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</si>
  <si>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</si>
  <si>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</si>
  <si>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</si>
  <si>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</si>
  <si>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</si>
  <si>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</si>
  <si>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</si>
  <si>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</si>
  <si>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</si>
  <si>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</si>
  <si>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</si>
  <si>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</si>
  <si>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</si>
  <si>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</si>
  <si>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</si>
  <si>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</si>
  <si>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</si>
  <si>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</si>
  <si>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</si>
  <si>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</si>
  <si>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</si>
  <si>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</si>
  <si>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</si>
  <si>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</si>
  <si>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</si>
  <si>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</si>
  <si>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</si>
  <si>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</si>
  <si>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</si>
  <si>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</si>
  <si>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</si>
  <si>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</si>
  <si>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</si>
  <si>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</si>
  <si>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</si>
  <si>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</si>
  <si>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</si>
  <si>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</si>
  <si>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</si>
  <si>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</si>
  <si>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</si>
  <si>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</si>
  <si>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</si>
  <si>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</si>
  <si>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</si>
  <si>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</si>
  <si>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</si>
  <si>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</si>
  <si>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</si>
  <si>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</si>
  <si>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</si>
  <si>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</si>
  <si>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</si>
  <si>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</si>
  <si>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</si>
  <si>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</si>
  <si>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</si>
  <si>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</si>
  <si>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</si>
  <si>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</si>
  <si>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</si>
  <si>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</si>
  <si>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</si>
  <si>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</si>
  <si>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</si>
  <si>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</si>
  <si>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</si>
  <si>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</si>
  <si>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</si>
  <si>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</si>
  <si>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</si>
  <si>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</si>
  <si>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</si>
  <si>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</si>
  <si>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</si>
  <si>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</si>
  <si>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</si>
  <si>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</si>
  <si>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</si>
  <si>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</si>
  <si>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</si>
  <si>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</si>
  <si>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</si>
  <si>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</si>
  <si>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</si>
  <si>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</si>
  <si>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</si>
  <si>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</si>
  <si>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</si>
  <si>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</si>
  <si>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</si>
  <si>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</si>
  <si>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</si>
  <si>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</si>
  <si>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</si>
  <si>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</si>
  <si>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</si>
  <si>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</si>
  <si>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</si>
  <si>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</si>
  <si>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</si>
  <si>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</si>
  <si>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</si>
  <si>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</si>
  <si>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</si>
  <si>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</si>
  <si>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</si>
  <si>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</si>
  <si>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</si>
  <si>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</si>
  <si>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</si>
  <si>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</si>
  <si>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</si>
  <si>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</si>
  <si>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</si>
  <si>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</si>
  <si>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</si>
  <si>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</si>
  <si>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</si>
  <si>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</si>
  <si>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</si>
  <si>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</si>
  <si>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</si>
  <si>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</si>
  <si>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</si>
  <si>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</si>
  <si>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</si>
  <si>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</si>
  <si>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</si>
  <si>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</si>
  <si>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</si>
  <si>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</si>
  <si>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</si>
  <si>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</si>
  <si>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</si>
  <si>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</si>
  <si>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</si>
  <si>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</si>
  <si>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</si>
  <si>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</si>
  <si>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</si>
  <si>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</si>
  <si>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</si>
  <si>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</si>
  <si>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</si>
  <si>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</si>
  <si>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</si>
  <si>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</si>
  <si>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</si>
  <si>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</si>
  <si>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</si>
  <si>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</si>
  <si>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</si>
  <si>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</si>
  <si>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</si>
  <si>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</si>
  <si>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</si>
  <si>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</si>
  <si>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</si>
  <si>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</si>
  <si>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</si>
  <si>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</si>
  <si>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</si>
  <si>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</si>
  <si>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</si>
  <si>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</si>
  <si>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</si>
  <si>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</si>
  <si>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</si>
  <si>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</si>
  <si>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</si>
  <si>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</si>
  <si>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</si>
  <si>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</si>
  <si>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</si>
  <si>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</si>
  <si>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</si>
  <si>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</si>
  <si>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</si>
  <si>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</si>
  <si>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</si>
  <si>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</si>
  <si>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</si>
  <si>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</si>
  <si>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</si>
  <si>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</si>
  <si>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</si>
  <si>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</si>
  <si>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</si>
  <si>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</si>
  <si>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</si>
  <si>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</si>
  <si>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</si>
  <si>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</si>
  <si>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</si>
  <si>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</si>
  <si>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</si>
  <si>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</si>
  <si>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</si>
  <si>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</si>
  <si>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</si>
  <si>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</si>
  <si>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</si>
  <si>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</si>
  <si>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</si>
  <si>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</si>
  <si>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</si>
  <si>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</si>
  <si>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</si>
  <si>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</si>
  <si>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</si>
  <si>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</si>
  <si>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</si>
  <si>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</si>
  <si>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</si>
  <si>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</si>
  <si>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</si>
  <si>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</si>
  <si>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</si>
  <si>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</si>
  <si>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</si>
  <si>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</si>
  <si>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</si>
  <si>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</si>
  <si>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</si>
  <si>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</si>
  <si>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</si>
  <si>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</si>
  <si>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</si>
  <si>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</si>
  <si>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</si>
  <si>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</si>
  <si>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</si>
  <si>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</si>
  <si>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</si>
  <si>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</si>
  <si>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</si>
  <si>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</si>
  <si>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</si>
  <si>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</si>
  <si>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</si>
  <si>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</si>
  <si>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</si>
  <si>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</si>
  <si>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</si>
  <si>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</si>
  <si>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</si>
  <si>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</si>
  <si>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</si>
  <si>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</si>
  <si>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</si>
  <si>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</si>
  <si>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</si>
  <si>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</si>
  <si>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</si>
  <si>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</si>
  <si>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</si>
  <si>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</si>
  <si>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</si>
  <si>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</si>
  <si>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</si>
  <si>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</si>
  <si>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</si>
  <si>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</si>
  <si>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</si>
  <si>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</si>
  <si>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</si>
  <si>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</si>
  <si>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</si>
  <si>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</si>
  <si>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</si>
  <si>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</si>
  <si>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</si>
  <si>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</si>
  <si>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</si>
  <si>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</si>
  <si>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</si>
  <si>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</si>
  <si>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</si>
  <si>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</si>
  <si>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</si>
  <si>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</si>
  <si>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</si>
  <si>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</si>
  <si>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</si>
  <si>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</si>
  <si>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</si>
  <si>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</si>
  <si>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</si>
  <si>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</si>
  <si>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</si>
  <si>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</si>
  <si>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</si>
  <si>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</si>
  <si>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</si>
  <si>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</si>
  <si>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</si>
  <si>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</si>
  <si>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</si>
  <si>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</si>
  <si>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</si>
  <si>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</si>
  <si>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</si>
  <si>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</si>
  <si>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</si>
  <si>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</si>
  <si>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</si>
  <si>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</si>
  <si>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</si>
  <si>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</si>
  <si>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</si>
  <si>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</si>
  <si>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</si>
  <si>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</si>
  <si>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</si>
  <si>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</si>
  <si>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</si>
  <si>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</si>
  <si>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</si>
  <si>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</si>
  <si>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</si>
  <si>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</si>
  <si>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</si>
  <si>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</si>
  <si>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</si>
  <si>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</si>
  <si>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</si>
  <si>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</si>
  <si>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</si>
  <si>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</si>
  <si>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</si>
  <si>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</si>
  <si>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</si>
  <si>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</si>
  <si>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</si>
  <si>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</si>
  <si>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</si>
  <si>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</si>
  <si>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</si>
  <si>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</si>
  <si>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</si>
  <si>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</si>
  <si>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</si>
  <si>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</si>
  <si>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</si>
  <si>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</si>
  <si>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</si>
  <si>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</si>
  <si>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</si>
  <si>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</si>
  <si>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</si>
  <si>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</si>
  <si>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</si>
  <si>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</si>
  <si>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</si>
  <si>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</si>
  <si>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</si>
  <si>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</si>
  <si>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</si>
  <si>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</si>
  <si>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</si>
  <si>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</si>
  <si>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</si>
  <si>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</si>
  <si>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</si>
  <si>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</si>
  <si>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</si>
  <si>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</si>
  <si>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</si>
  <si>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</si>
  <si>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</si>
  <si>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</si>
  <si>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</si>
  <si>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</si>
  <si>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</si>
  <si>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</si>
  <si>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</si>
  <si>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</si>
  <si>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</si>
  <si>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</si>
  <si>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</si>
  <si>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</si>
  <si>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</si>
  <si>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</si>
  <si>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</si>
  <si>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</si>
  <si>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</si>
  <si>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</si>
  <si>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</si>
  <si>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</si>
  <si>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</si>
  <si>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</si>
  <si>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</si>
  <si>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</si>
  <si>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</si>
  <si>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</si>
  <si>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</si>
  <si>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</si>
  <si>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</si>
  <si>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</si>
  <si>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</si>
  <si>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</si>
  <si>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</si>
  <si>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</si>
  <si>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</si>
  <si>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</si>
  <si>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</si>
  <si>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</si>
  <si>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</si>
  <si>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</si>
  <si>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</si>
  <si>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</si>
  <si>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</si>
  <si>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</si>
  <si>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</si>
  <si>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</si>
  <si>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</si>
  <si>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</si>
  <si>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</si>
  <si>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</si>
  <si>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</si>
  <si>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</si>
  <si>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</si>
  <si>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</si>
  <si>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</si>
  <si>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</si>
  <si>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</si>
  <si>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</si>
  <si>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</si>
  <si>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</si>
  <si>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</si>
  <si>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</si>
  <si>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</si>
  <si>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</si>
  <si>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</si>
  <si>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</si>
  <si>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</si>
  <si>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</si>
  <si>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</si>
  <si>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</si>
  <si>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</si>
  <si>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</si>
  <si>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</si>
  <si>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</si>
  <si>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</si>
  <si>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</si>
  <si>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</si>
  <si>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</si>
  <si>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</si>
  <si>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</si>
  <si>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</si>
  <si>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</si>
  <si>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</si>
  <si>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</si>
  <si>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</si>
  <si>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</si>
  <si>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</si>
  <si>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</si>
  <si>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</si>
  <si>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</si>
  <si>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</si>
  <si>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</si>
  <si>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</si>
  <si>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</si>
  <si>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</si>
  <si>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</si>
  <si>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</si>
  <si>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</si>
  <si>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</si>
  <si>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</si>
  <si>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</si>
  <si>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</si>
  <si>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</si>
  <si>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</si>
  <si>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</si>
  <si>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</si>
  <si>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</si>
  <si>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</si>
  <si>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</si>
  <si>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</si>
  <si>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</si>
  <si>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</si>
  <si>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</si>
  <si>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</si>
  <si>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</si>
  <si>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</si>
  <si>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</si>
  <si>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</si>
  <si>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</si>
  <si>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</si>
  <si>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</si>
  <si>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</si>
  <si>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</si>
  <si>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</si>
  <si>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</si>
  <si>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</si>
  <si>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</si>
  <si>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</si>
  <si>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</si>
  <si>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</si>
  <si>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</si>
  <si>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</si>
  <si>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</si>
  <si>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</si>
  <si>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</si>
  <si>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</si>
  <si>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</si>
  <si>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</si>
  <si>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</si>
  <si>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</si>
  <si>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</si>
  <si>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</si>
  <si>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</si>
  <si>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</si>
  <si>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</si>
  <si>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</si>
  <si>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</si>
  <si>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</si>
  <si>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</si>
  <si>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</si>
  <si>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</si>
  <si>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</si>
  <si>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</si>
  <si>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</si>
  <si>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</si>
  <si>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</si>
  <si>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</si>
  <si>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</si>
  <si>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</si>
  <si>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</si>
  <si>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</si>
  <si>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</si>
  <si>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</si>
  <si>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</si>
  <si>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</si>
  <si>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</si>
  <si>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</si>
  <si>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</si>
  <si>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</si>
  <si>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</si>
  <si>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</si>
  <si>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</si>
  <si>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</si>
  <si>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</si>
  <si>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</si>
  <si>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</si>
  <si>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</si>
  <si>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</si>
  <si>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</si>
  <si>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</si>
  <si>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</si>
  <si>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</si>
  <si>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</si>
  <si>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</si>
  <si>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</si>
  <si>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</si>
  <si>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</si>
  <si>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</si>
  <si>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</si>
  <si>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</si>
  <si>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</si>
  <si>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</si>
  <si>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</si>
  <si>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</si>
  <si>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</si>
  <si>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</si>
  <si>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</si>
  <si>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</si>
  <si>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</si>
  <si>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</si>
  <si>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</si>
  <si>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</si>
  <si>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</si>
  <si>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</si>
  <si>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</si>
  <si>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</si>
  <si>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</si>
  <si>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</si>
  <si>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</si>
  <si>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</si>
  <si>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</si>
  <si>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</si>
  <si>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</si>
  <si>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</si>
  <si>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</si>
  <si>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</si>
  <si>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</si>
  <si>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</si>
  <si>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</si>
  <si>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</si>
  <si>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</si>
  <si>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</si>
  <si>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</si>
  <si>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</si>
  <si>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</si>
  <si>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</si>
  <si>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</si>
  <si>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</si>
  <si>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</si>
  <si>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</si>
  <si>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</si>
  <si>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</si>
  <si>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</si>
  <si>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</si>
  <si>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</si>
  <si>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</si>
  <si>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</si>
  <si>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</si>
  <si>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</si>
  <si>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</si>
  <si>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</si>
  <si>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</si>
  <si>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</si>
  <si>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</si>
  <si>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</si>
  <si>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</si>
  <si>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</si>
  <si>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</si>
  <si>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</si>
  <si>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</si>
  <si>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</si>
  <si>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</si>
  <si>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</si>
  <si>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</si>
  <si>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</si>
  <si>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</si>
  <si>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</si>
  <si>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</si>
  <si>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</si>
  <si>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</si>
  <si>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</si>
  <si>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</si>
  <si>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</si>
  <si>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</si>
  <si>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</si>
  <si>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</si>
  <si>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</si>
  <si>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</si>
  <si>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</si>
  <si>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</si>
  <si>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</si>
  <si>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</si>
  <si>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</si>
  <si>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</si>
  <si>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</si>
  <si>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</si>
  <si>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</si>
  <si>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</si>
  <si>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</si>
  <si>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</si>
  <si>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</si>
  <si>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</si>
  <si>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</si>
  <si>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</si>
  <si>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</si>
  <si>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</si>
  <si>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</si>
  <si>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</si>
  <si>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</si>
  <si>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</si>
  <si>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</si>
  <si>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</si>
  <si>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</si>
  <si>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</si>
  <si>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</si>
  <si>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</si>
  <si>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</si>
  <si>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</si>
  <si>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</si>
  <si>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</si>
  <si>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</si>
  <si>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</si>
  <si>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</si>
  <si>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</si>
  <si>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</si>
  <si>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</si>
  <si>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</si>
  <si>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</si>
  <si>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</si>
  <si>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</si>
  <si>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</si>
  <si>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</si>
  <si>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</si>
  <si>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</si>
  <si>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</si>
  <si>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</si>
  <si>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</si>
  <si>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</si>
  <si>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</si>
  <si>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</si>
  <si>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</si>
  <si>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</si>
  <si>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</si>
  <si>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</si>
  <si>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</si>
  <si>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</si>
  <si>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</si>
  <si>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</si>
  <si>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</si>
  <si>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</si>
  <si>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</si>
  <si>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</si>
  <si>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</si>
  <si>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</si>
  <si>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</si>
  <si>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</si>
  <si>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</si>
  <si>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</si>
  <si>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</si>
  <si>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</si>
  <si>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</si>
  <si>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</si>
  <si>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</si>
  <si>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</si>
  <si>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</si>
  <si>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</si>
  <si>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</si>
  <si>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</si>
  <si>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</si>
  <si>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</si>
  <si>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</si>
  <si>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</si>
  <si>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</si>
  <si>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</si>
  <si>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</si>
  <si>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</si>
  <si>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</si>
  <si>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</si>
  <si>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</si>
  <si>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</si>
  <si>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</si>
  <si>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</si>
  <si>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</si>
  <si>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</si>
  <si>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</si>
  <si>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</si>
  <si>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</si>
  <si>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</si>
  <si>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</si>
  <si>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</si>
  <si>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</si>
  <si>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</si>
  <si>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</si>
  <si>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</si>
  <si>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</si>
  <si>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</si>
  <si>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</si>
  <si>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</si>
  <si>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</si>
  <si>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</si>
  <si>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</si>
  <si>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</si>
  <si>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</si>
  <si>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</si>
  <si>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</si>
  <si>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</si>
  <si>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</si>
  <si>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</si>
  <si>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</si>
  <si>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</si>
  <si>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</si>
  <si>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</si>
  <si>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</si>
  <si>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</si>
  <si>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</si>
  <si>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</si>
  <si>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</si>
  <si>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</si>
  <si>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</si>
  <si>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</si>
  <si>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</si>
  <si>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</si>
  <si>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</si>
  <si>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</si>
  <si>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</si>
  <si>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</si>
  <si>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</si>
  <si>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</si>
  <si>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</si>
  <si>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</si>
  <si>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</si>
  <si>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</si>
  <si>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</si>
  <si>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</si>
  <si>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</si>
  <si>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</si>
  <si>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</si>
  <si>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</si>
  <si>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</si>
  <si>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</si>
  <si>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</si>
  <si>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</si>
  <si>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</si>
  <si>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</si>
  <si>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</si>
  <si>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</si>
  <si>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</si>
  <si>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</si>
  <si>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</si>
  <si>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</si>
  <si>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</si>
  <si>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</si>
  <si>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</si>
  <si>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</si>
  <si>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</si>
  <si>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</si>
  <si>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</si>
  <si>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</si>
  <si>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</si>
  <si>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</si>
  <si>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</si>
  <si>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</si>
  <si>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</si>
  <si>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</si>
  <si>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</si>
  <si>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</si>
  <si>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</si>
  <si>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</si>
  <si>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</si>
  <si>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</si>
  <si>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</si>
  <si>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</si>
  <si>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</si>
  <si>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</si>
  <si>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</si>
  <si>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</si>
  <si>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</si>
  <si>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</si>
  <si>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</si>
  <si>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</si>
  <si>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</si>
  <si>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</si>
  <si>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</si>
  <si>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</si>
  <si>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</si>
  <si>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</si>
  <si>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</si>
  <si>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</si>
  <si>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</si>
  <si>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</si>
  <si>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</si>
  <si>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</si>
  <si>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</si>
  <si>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</si>
  <si>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</si>
  <si>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</si>
  <si>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</si>
  <si>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</si>
  <si>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</si>
  <si>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</si>
  <si>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</si>
  <si>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</si>
  <si>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</si>
  <si>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</si>
  <si>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</si>
  <si>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</si>
  <si>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</si>
  <si>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</si>
  <si>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</si>
  <si>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</si>
  <si>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</si>
  <si>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</si>
  <si>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</si>
  <si>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</si>
  <si>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</si>
  <si>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</si>
  <si>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</si>
  <si>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</si>
  <si>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</si>
  <si>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</si>
  <si>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</si>
  <si>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</si>
  <si>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</si>
  <si>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</si>
  <si>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</si>
  <si>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</si>
  <si>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</si>
  <si>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</si>
  <si>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</si>
  <si>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</si>
  <si>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</si>
  <si>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</si>
  <si>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</si>
  <si>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</si>
  <si>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</si>
  <si>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</si>
  <si>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</si>
  <si>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</si>
  <si>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</si>
  <si>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</si>
  <si>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</si>
  <si>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</si>
  <si>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</si>
  <si>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</si>
  <si>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</si>
  <si>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</si>
  <si>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</si>
  <si>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</si>
  <si>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</si>
  <si>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</si>
  <si>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</si>
  <si>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</si>
  <si>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</si>
  <si>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</si>
  <si>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</si>
  <si>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</si>
  <si>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</si>
  <si>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</si>
  <si>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</si>
  <si>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</si>
  <si>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</si>
  <si>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</si>
  <si>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</si>
  <si>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</si>
  <si>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</si>
  <si>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</si>
  <si>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</si>
  <si>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</si>
  <si>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</si>
  <si>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</si>
  <si>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</si>
  <si>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</si>
  <si>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</si>
  <si>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</si>
  <si>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</si>
  <si>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</si>
  <si>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</si>
  <si>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</si>
  <si>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</si>
  <si>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</si>
  <si>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</si>
  <si>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</si>
  <si>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</si>
  <si>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</si>
  <si>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</si>
  <si>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</si>
  <si>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</si>
  <si>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</si>
  <si>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</si>
  <si>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</si>
  <si>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</si>
  <si>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</si>
  <si>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</si>
  <si>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</si>
  <si>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</si>
  <si>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</si>
  <si>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</si>
  <si>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</si>
  <si>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</si>
  <si>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</si>
  <si>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</si>
  <si>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</si>
  <si>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</si>
  <si>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</si>
  <si>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</si>
  <si>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</si>
  <si>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</si>
  <si>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</si>
  <si>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</si>
  <si>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</si>
  <si>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</si>
  <si>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</si>
  <si>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</si>
  <si>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</si>
  <si>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</si>
  <si>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</si>
  <si>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</si>
  <si>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</si>
  <si>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</si>
  <si>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</si>
  <si>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</si>
  <si>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</si>
  <si>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</si>
  <si>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</si>
  <si>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</si>
  <si>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</si>
  <si>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</si>
  <si>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</si>
  <si>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</si>
  <si>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</si>
  <si>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</si>
  <si>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</si>
  <si>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</si>
  <si>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</si>
  <si>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</si>
  <si>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</si>
  <si>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</si>
  <si>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</si>
  <si>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</si>
  <si>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</si>
  <si>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</si>
  <si>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</si>
  <si>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</si>
  <si>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</si>
  <si>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</si>
  <si>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</si>
  <si>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</si>
  <si>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</si>
  <si>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</si>
  <si>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</si>
  <si>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</si>
  <si>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</si>
  <si>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</si>
  <si>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</si>
  <si>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</si>
  <si>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</si>
  <si>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</si>
  <si>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</si>
  <si>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</si>
  <si>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</si>
  <si>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</si>
  <si>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</si>
  <si>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</si>
  <si>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</si>
  <si>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</si>
  <si>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</si>
  <si>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</si>
  <si>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</si>
  <si>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</si>
  <si>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</si>
  <si>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</si>
  <si>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</si>
  <si>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</si>
  <si>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</si>
  <si>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</si>
  <si>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</si>
  <si>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</si>
  <si>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</si>
  <si>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</si>
  <si>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</si>
  <si>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</si>
  <si>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</si>
  <si>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</si>
  <si>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</si>
  <si>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</si>
  <si>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</si>
  <si>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</si>
  <si>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</si>
  <si>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</si>
  <si>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</si>
  <si>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</si>
  <si>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</si>
  <si>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</si>
  <si>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</si>
  <si>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</si>
  <si>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</si>
  <si>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</si>
  <si>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</si>
  <si>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</si>
  <si>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</si>
  <si>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</si>
  <si>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</si>
  <si>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</si>
  <si>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</si>
  <si>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</si>
  <si>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</si>
  <si>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</si>
  <si>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</si>
  <si>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</si>
  <si>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</si>
  <si>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</si>
  <si>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</si>
  <si>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</si>
  <si>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</si>
  <si>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</si>
  <si>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</si>
  <si>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</si>
  <si>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</si>
  <si>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</si>
  <si>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</si>
  <si>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</si>
  <si>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</si>
  <si>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</si>
  <si>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</si>
  <si>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</si>
  <si>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</si>
  <si>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</si>
  <si>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</si>
  <si>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</si>
  <si>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</si>
  <si>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</si>
  <si>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</si>
  <si>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</si>
  <si>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</si>
  <si>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</si>
  <si>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</si>
  <si>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</si>
  <si>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</si>
  <si>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</si>
  <si>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</si>
  <si>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</si>
  <si>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</si>
  <si>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</si>
  <si>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</si>
  <si>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</si>
  <si>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</si>
  <si>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</si>
  <si>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</si>
  <si>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</si>
  <si>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</si>
  <si>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</si>
  <si>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</si>
  <si>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</si>
  <si>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</si>
  <si>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</si>
  <si>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</si>
  <si>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</si>
  <si>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</si>
  <si>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</si>
  <si>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</si>
  <si>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</si>
  <si>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</si>
  <si>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</si>
  <si>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</si>
  <si>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</si>
  <si>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</si>
  <si>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</si>
  <si>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</si>
  <si>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</si>
  <si>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</si>
  <si>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</si>
  <si>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</si>
  <si>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</si>
  <si>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</si>
  <si>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</si>
  <si>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</si>
  <si>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</si>
  <si>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</si>
  <si>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</si>
  <si>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</si>
  <si>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</si>
  <si>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</si>
  <si>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</si>
  <si>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</si>
  <si>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</si>
  <si>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</si>
  <si>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</si>
  <si>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</si>
  <si>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</si>
  <si>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</si>
  <si>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</si>
  <si>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</si>
  <si>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</si>
  <si>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</si>
  <si>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</si>
  <si>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</si>
  <si>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</si>
  <si>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</si>
  <si>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</si>
  <si>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</si>
  <si>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</si>
  <si>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</si>
  <si>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</si>
  <si>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</si>
  <si>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</si>
  <si>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</si>
  <si>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</si>
  <si>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</si>
  <si>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</si>
  <si>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</si>
  <si>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</si>
  <si>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</si>
  <si>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</si>
  <si>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</si>
  <si>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</si>
  <si>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</si>
  <si>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</si>
  <si>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</si>
  <si>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</si>
  <si>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</si>
  <si>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</si>
  <si>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</si>
  <si>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</si>
  <si>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</si>
  <si>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</si>
  <si>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</si>
  <si>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</si>
  <si>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</si>
  <si>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</si>
  <si>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</si>
  <si>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</si>
  <si>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</si>
  <si>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</si>
  <si>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</si>
  <si>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</si>
  <si>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</si>
  <si>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</si>
  <si>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</si>
  <si>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</si>
  <si>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</si>
  <si>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</si>
  <si>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</si>
  <si>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</si>
  <si>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</si>
  <si>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</si>
  <si>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</si>
  <si>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</si>
  <si>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</si>
  <si>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</si>
  <si>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</si>
  <si>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</si>
  <si>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</si>
  <si>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</si>
  <si>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</si>
  <si>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</si>
  <si>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</si>
  <si>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</si>
  <si>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</si>
  <si>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</si>
  <si>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</si>
  <si>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</si>
  <si>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</si>
  <si>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</si>
  <si>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</si>
  <si>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</si>
  <si>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</si>
  <si>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</si>
  <si>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</si>
  <si>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</si>
  <si>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</si>
  <si>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</si>
  <si>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</si>
  <si>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</si>
  <si>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</si>
  <si>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</si>
  <si>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</si>
  <si>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</si>
  <si>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</si>
  <si>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</si>
  <si>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</si>
  <si>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</si>
  <si>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</si>
  <si>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</si>
  <si>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</si>
  <si>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</si>
  <si>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</si>
  <si>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</si>
  <si>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</si>
  <si>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</si>
  <si>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</si>
  <si>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</si>
  <si>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</si>
  <si>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</si>
  <si>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</si>
  <si>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</si>
  <si>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</si>
  <si>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</si>
  <si>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</si>
  <si>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</si>
  <si>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</si>
  <si>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</si>
  <si>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</si>
  <si>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</si>
  <si>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</si>
  <si>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</si>
  <si>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</si>
  <si>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</si>
  <si>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</si>
  <si>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</si>
  <si>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</si>
  <si>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</si>
  <si>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</si>
  <si>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</si>
  <si>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</si>
  <si>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</si>
  <si>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</si>
  <si>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</si>
  <si>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</si>
  <si>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</si>
  <si>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</si>
  <si>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</si>
  <si>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</si>
  <si>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</si>
  <si>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</si>
  <si>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</si>
  <si>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</si>
  <si>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</si>
  <si>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</si>
  <si>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</si>
  <si>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</si>
  <si>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</si>
  <si>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</si>
  <si>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</si>
  <si>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</si>
  <si>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</si>
  <si>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</si>
  <si>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</si>
  <si>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</si>
  <si>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</si>
  <si>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</si>
  <si>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</si>
  <si>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</si>
  <si>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</si>
  <si>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</si>
  <si>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</si>
  <si>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</si>
  <si>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</si>
  <si>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</si>
  <si>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</si>
  <si>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</si>
  <si>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</si>
  <si>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</si>
  <si>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</si>
  <si>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</si>
  <si>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</si>
  <si>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</si>
  <si>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</si>
  <si>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</si>
  <si>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</si>
  <si>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</si>
  <si>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</si>
  <si>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</si>
  <si>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</si>
  <si>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</si>
  <si>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</si>
  <si>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</si>
  <si>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</si>
  <si>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</si>
  <si>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</si>
  <si>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</si>
  <si>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</si>
  <si>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</si>
  <si>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</si>
  <si>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</si>
  <si>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</si>
  <si>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</si>
  <si>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</si>
  <si>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</si>
  <si>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</si>
  <si>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</si>
  <si>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</si>
  <si>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</si>
  <si>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</si>
  <si>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</si>
  <si>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</si>
  <si>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</si>
  <si>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</si>
  <si>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</si>
  <si>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</si>
  <si>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</si>
  <si>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</si>
  <si>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</si>
  <si>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</si>
  <si>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</si>
  <si>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</si>
  <si>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</si>
  <si>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</si>
  <si>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</si>
  <si>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</si>
  <si>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</si>
  <si>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</si>
  <si>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</si>
  <si>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</si>
  <si>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</si>
  <si>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</si>
  <si>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</si>
  <si>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</si>
  <si>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</si>
  <si>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</si>
  <si>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</si>
  <si>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</si>
  <si>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</si>
  <si>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</si>
  <si>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</si>
  <si>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</si>
  <si>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</si>
  <si>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</si>
  <si>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</si>
  <si>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</si>
  <si>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</si>
  <si>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</si>
  <si>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</si>
  <si>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</si>
  <si>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</si>
  <si>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</si>
  <si>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</si>
  <si>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</si>
  <si>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</si>
  <si>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</si>
  <si>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</si>
  <si>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</si>
  <si>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</si>
  <si>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</si>
  <si>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</si>
  <si>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</si>
  <si>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</si>
  <si>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</si>
  <si>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</si>
  <si>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</si>
  <si>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</si>
  <si>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</si>
  <si>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</si>
  <si>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</si>
  <si>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</si>
  <si>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</si>
  <si>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</si>
  <si>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</si>
  <si>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</si>
  <si>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</si>
  <si>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</si>
  <si>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</si>
  <si>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</si>
  <si>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</si>
  <si>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</si>
  <si>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</si>
  <si>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</si>
  <si>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</si>
  <si>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</si>
  <si>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</si>
  <si>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</si>
  <si>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</si>
  <si>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</si>
  <si>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</si>
  <si>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</si>
  <si>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</si>
  <si>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</si>
  <si>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</si>
  <si>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</si>
  <si>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</si>
  <si>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</si>
  <si>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</si>
  <si>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</si>
  <si>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</si>
  <si>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</si>
  <si>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</si>
  <si>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</si>
  <si>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</si>
  <si>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</si>
  <si>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</si>
  <si>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</si>
  <si>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</si>
  <si>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</si>
  <si>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</si>
  <si>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</si>
  <si>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</si>
  <si>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</si>
  <si>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</si>
  <si>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</si>
  <si>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</si>
  <si>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</si>
  <si>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</si>
  <si>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</si>
  <si>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</si>
  <si>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</si>
  <si>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</si>
  <si>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</si>
  <si>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</si>
  <si>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</si>
  <si>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</si>
  <si>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</si>
  <si>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</si>
  <si>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</si>
  <si>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</si>
  <si>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</si>
  <si>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</si>
  <si>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</si>
  <si>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</si>
  <si>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</si>
  <si>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</si>
  <si>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</si>
  <si>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</si>
  <si>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</si>
  <si>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</si>
  <si>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</si>
  <si>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</si>
  <si>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</si>
  <si>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</si>
  <si>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</si>
  <si>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</si>
  <si>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</si>
  <si>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</si>
  <si>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</si>
  <si>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</si>
  <si>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</si>
  <si>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</si>
  <si>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</si>
  <si>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</si>
  <si>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</si>
  <si>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</si>
  <si>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</si>
  <si>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</si>
  <si>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</si>
  <si>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</si>
  <si>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</si>
  <si>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</si>
  <si>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</si>
  <si>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</si>
  <si>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</si>
  <si>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</si>
  <si>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</si>
  <si>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</si>
  <si>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</si>
  <si>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</si>
  <si>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</si>
  <si>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</si>
  <si>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</si>
  <si>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</si>
  <si>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</si>
  <si>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</si>
  <si>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</si>
  <si>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</si>
  <si>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</si>
  <si>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</si>
  <si>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</si>
  <si>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</si>
  <si>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</si>
  <si>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</si>
  <si>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</si>
  <si>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</si>
  <si>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</si>
  <si>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</si>
  <si>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</si>
  <si>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</si>
  <si>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</si>
  <si>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</si>
  <si>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</si>
  <si>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</si>
  <si>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</si>
  <si>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</si>
  <si>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</si>
  <si>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</si>
  <si>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</si>
  <si>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</si>
  <si>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</si>
  <si>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</si>
  <si>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</si>
  <si>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</si>
  <si>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</si>
  <si>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</si>
  <si>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</si>
  <si>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</si>
  <si>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</si>
  <si>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</si>
  <si>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</si>
  <si>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</si>
  <si>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</si>
  <si>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</si>
  <si>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</si>
  <si>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</si>
  <si>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</si>
  <si>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</si>
  <si>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</si>
  <si>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</si>
  <si>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</si>
  <si>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</si>
  <si>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</si>
  <si>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</si>
  <si>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</si>
  <si>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</si>
  <si>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</si>
  <si>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</si>
  <si>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</si>
  <si>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</si>
  <si>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</si>
  <si>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</si>
  <si>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</si>
  <si>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</si>
  <si>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</si>
  <si>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</si>
  <si>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</si>
  <si>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</si>
  <si>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</si>
  <si>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</si>
  <si>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</si>
  <si>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</si>
  <si>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</si>
  <si>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</si>
  <si>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</si>
  <si>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</si>
  <si>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</si>
  <si>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</si>
  <si>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</si>
  <si>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</si>
  <si>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</si>
  <si>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</si>
  <si>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</si>
  <si>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</si>
  <si>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</si>
  <si>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</si>
  <si>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</si>
  <si>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</si>
  <si>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</si>
  <si>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</si>
  <si>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</si>
  <si>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</si>
  <si>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</si>
  <si>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</si>
  <si>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</si>
  <si>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</si>
  <si>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</si>
  <si>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</si>
  <si>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</si>
  <si>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</si>
  <si>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</si>
  <si>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</si>
  <si>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</si>
  <si>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</si>
  <si>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</si>
  <si>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</si>
  <si>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</si>
  <si>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</si>
  <si>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</si>
  <si>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</si>
  <si>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</si>
  <si>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</si>
  <si>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</si>
  <si>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</si>
  <si>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</si>
  <si>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</si>
  <si>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</si>
  <si>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</si>
  <si>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</si>
  <si>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</si>
  <si>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</si>
  <si>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</si>
  <si>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</si>
  <si>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</si>
  <si>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</si>
  <si>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</si>
  <si>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</si>
  <si>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</si>
  <si>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</si>
  <si>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</si>
  <si>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</si>
  <si>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</si>
  <si>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</si>
  <si>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</si>
  <si>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</si>
  <si>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</si>
  <si>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</si>
  <si>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</si>
  <si>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</si>
  <si>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</si>
  <si>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</si>
  <si>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</si>
  <si>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</si>
  <si>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</si>
  <si>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</si>
  <si>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</si>
  <si>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</si>
  <si>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</si>
  <si>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</si>
  <si>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</si>
  <si>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</si>
  <si>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</si>
  <si>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</si>
  <si>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</si>
  <si>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</si>
  <si>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</si>
  <si>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</si>
  <si>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</si>
  <si>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</si>
  <si>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</si>
  <si>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</si>
  <si>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</si>
  <si>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</si>
  <si>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</si>
  <si>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</si>
  <si>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</si>
  <si>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</si>
  <si>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</si>
  <si>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</si>
  <si>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</si>
  <si>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</si>
  <si>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</si>
  <si>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</si>
  <si>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</si>
  <si>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</si>
  <si>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</si>
  <si>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</si>
  <si>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</si>
  <si>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</si>
  <si>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</si>
  <si>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</si>
  <si>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</si>
  <si>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</si>
  <si>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</si>
  <si>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</si>
  <si>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</si>
  <si>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</si>
  <si>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</si>
  <si>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</si>
  <si>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</si>
  <si>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</si>
  <si>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</si>
  <si>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</si>
  <si>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</si>
  <si>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</si>
  <si>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</si>
  <si>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</si>
  <si>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</si>
  <si>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</si>
  <si>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</si>
  <si>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</si>
  <si>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</si>
  <si>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</si>
  <si>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</si>
  <si>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</si>
  <si>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</si>
  <si>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</si>
  <si>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</si>
  <si>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</si>
  <si>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</si>
  <si>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</si>
  <si>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</si>
  <si>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</si>
  <si>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</si>
  <si>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</si>
  <si>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</si>
  <si>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</si>
  <si>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</si>
  <si>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</si>
  <si>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</si>
  <si>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</si>
  <si>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</si>
  <si>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</si>
  <si>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</si>
  <si>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</si>
  <si>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</si>
  <si>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</si>
  <si>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</si>
  <si>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</si>
  <si>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</si>
  <si>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</si>
  <si>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</si>
  <si>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</si>
  <si>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</si>
  <si>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</si>
  <si>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</si>
  <si>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</si>
  <si>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</si>
  <si>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</si>
  <si>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</si>
  <si>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</si>
  <si>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</si>
  <si>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</si>
  <si>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</si>
  <si>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</si>
  <si>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</si>
  <si>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</si>
  <si>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</si>
  <si>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</si>
  <si>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</si>
  <si>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</si>
  <si>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</si>
  <si>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</si>
  <si>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</si>
  <si>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</si>
  <si>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</si>
  <si>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</si>
  <si>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</si>
  <si>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</si>
  <si>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</si>
  <si>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</si>
  <si>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</si>
  <si>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</si>
  <si>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</si>
  <si>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</si>
  <si>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</si>
  <si>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</si>
  <si>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</si>
  <si>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</si>
  <si>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</si>
  <si>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</si>
  <si>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</si>
  <si>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</si>
  <si>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</si>
  <si>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</si>
  <si>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</si>
  <si>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</si>
  <si>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</si>
  <si>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</si>
  <si>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</si>
  <si>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</si>
  <si>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</si>
  <si>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</si>
  <si>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</si>
  <si>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</si>
  <si>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</si>
  <si>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</si>
  <si>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</si>
  <si>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</si>
  <si>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</si>
  <si>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</si>
  <si>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</si>
  <si>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</si>
  <si>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</si>
  <si>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</si>
  <si>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</si>
  <si>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</si>
  <si>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</si>
  <si>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</si>
  <si>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</si>
  <si>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</si>
  <si>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</si>
  <si>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</si>
  <si>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</si>
  <si>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</si>
  <si>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</si>
  <si>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</si>
  <si>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</si>
  <si>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</si>
  <si>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</si>
  <si>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</si>
  <si>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</si>
  <si>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</si>
  <si>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</si>
  <si>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</si>
  <si>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</si>
  <si>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</si>
  <si>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</si>
  <si>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</si>
  <si>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</si>
  <si>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</si>
  <si>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</si>
  <si>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</si>
  <si>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</si>
  <si>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</si>
  <si>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</si>
  <si>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</si>
  <si>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</si>
  <si>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</si>
  <si>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</si>
  <si>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</si>
  <si>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</si>
  <si>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</si>
  <si>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</si>
  <si>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</si>
  <si>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</si>
  <si>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</si>
  <si>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</si>
  <si>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</si>
  <si>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</si>
  <si>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</si>
  <si>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</si>
  <si>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</si>
  <si>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</si>
  <si>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</si>
  <si>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</si>
  <si>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</si>
  <si>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</si>
  <si>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</si>
  <si>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</si>
  <si>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</si>
  <si>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</si>
  <si>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</si>
  <si>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</si>
  <si>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</si>
  <si>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</si>
  <si>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</si>
  <si>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</si>
  <si>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</si>
  <si>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</si>
  <si>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</si>
  <si>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</si>
  <si>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</si>
  <si>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</si>
  <si>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</si>
  <si>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</si>
  <si>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</si>
  <si>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</si>
  <si>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</si>
  <si>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</si>
  <si>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</si>
  <si>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</si>
  <si>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</si>
  <si>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</si>
  <si>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</si>
  <si>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</si>
  <si>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</si>
  <si>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</si>
  <si>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</si>
  <si>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</si>
  <si>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</si>
  <si>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</si>
  <si>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</si>
  <si>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</si>
  <si>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</si>
  <si>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</si>
  <si>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</si>
  <si>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</si>
  <si>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</si>
  <si>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</si>
  <si>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</si>
  <si>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</si>
  <si>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</si>
  <si>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</si>
  <si>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</si>
  <si>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</si>
  <si>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</si>
  <si>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</si>
  <si>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</si>
  <si>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</si>
  <si>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</si>
  <si>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</si>
  <si>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</si>
  <si>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</si>
  <si>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</si>
  <si>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</si>
  <si>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</si>
  <si>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</si>
  <si>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</si>
  <si>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</si>
  <si>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</si>
  <si>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</si>
  <si>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</si>
  <si>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</si>
  <si>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</si>
  <si>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</si>
  <si>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</si>
  <si>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</si>
  <si>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</si>
  <si>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</si>
  <si>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</si>
  <si>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</si>
  <si>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</si>
  <si>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</si>
  <si>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</si>
  <si>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</si>
  <si>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</si>
  <si>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</si>
  <si>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</si>
  <si>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</si>
  <si>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</si>
  <si>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</si>
  <si>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</si>
  <si>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</si>
  <si>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</si>
  <si>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</si>
  <si>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</si>
  <si>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</si>
  <si>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</si>
  <si>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</si>
  <si>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</si>
  <si>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</si>
  <si>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</si>
  <si>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</si>
  <si>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</si>
  <si>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</si>
  <si>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</si>
  <si>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</si>
  <si>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</si>
  <si>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</si>
  <si>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</si>
  <si>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</si>
  <si>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</si>
  <si>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</si>
  <si>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</si>
  <si>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</si>
  <si>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</si>
  <si>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</si>
  <si>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</si>
  <si>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</si>
  <si>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</si>
  <si>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</si>
  <si>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</si>
  <si>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</si>
  <si>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</si>
  <si>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</si>
  <si>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</si>
  <si>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</si>
  <si>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</si>
  <si>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</si>
  <si>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2001</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</si>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</sst>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31500</v>
      </c>
      <c r="F24" s="3419" t="str">
        <f t="shared" si="0"/>
        <v>NA</v>
      </c>
      <c r="G24" s="3395">
        <v>693.28636363636372</v>
      </c>
      <c r="H24" s="3374">
        <f t="shared" si="1"/>
        <v>2542.0500000000002</v>
      </c>
      <c r="I24" s="2579" t="s">
        <v>2147</v>
      </c>
      <c r="J24" s="2580"/>
      <c r="M24" s="125"/>
    </row>
    <row r="25" spans="2:13" ht="18" customHeight="1" x14ac:dyDescent="0.2">
      <c r="B25" s="165"/>
      <c r="C25" s="1563"/>
      <c r="D25" s="1452" t="s">
        <v>1789</v>
      </c>
      <c r="E25" s="3414">
        <v>21100</v>
      </c>
      <c r="F25" s="3419" t="str">
        <f t="shared" si="0"/>
        <v>NA</v>
      </c>
      <c r="G25" s="3395">
        <v>400.7177727272728</v>
      </c>
      <c r="H25" s="3374">
        <f t="shared" si="1"/>
        <v>1469.2985000000001</v>
      </c>
      <c r="I25" s="2579" t="s">
        <v>2147</v>
      </c>
      <c r="J25" s="2580"/>
      <c r="M25" s="125"/>
    </row>
    <row r="26" spans="2:13" ht="18" customHeight="1" x14ac:dyDescent="0.2">
      <c r="B26" s="165"/>
      <c r="C26" s="1563"/>
      <c r="D26" s="1452" t="s">
        <v>1790</v>
      </c>
      <c r="E26" s="3418">
        <v>13691.162254470417</v>
      </c>
      <c r="F26" s="3419">
        <f t="shared" si="0"/>
        <v>25.261363636363637</v>
      </c>
      <c r="G26" s="3395">
        <v>345.85742831463335</v>
      </c>
      <c r="H26" s="3374">
        <f t="shared" si="1"/>
        <v>1268.1439038203223</v>
      </c>
      <c r="I26" s="3395">
        <v>1268.1439038203223</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38107.026784038244</v>
      </c>
      <c r="F28" s="3419">
        <f>IF(I28="NA","NA",I28/(44/12)*1000/E28)</f>
        <v>0.93649402082173305</v>
      </c>
      <c r="G28" s="3395">
        <v>664.32666351978253</v>
      </c>
      <c r="H28" s="3374">
        <f>IF(G28="NA","NA",IF(G28="NO","NO",G28*44/12))</f>
        <v>2435.8644329058693</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121294.32022451423</v>
      </c>
      <c r="F31" s="3359">
        <f t="shared" ref="F31" si="3">IF(I31="NA","NA",I31/(44/12)*1000/E31)</f>
        <v>3.1456083874574263</v>
      </c>
      <c r="G31" s="3423">
        <f>SUM(G11:G29)</f>
        <v>2364.5422496551382</v>
      </c>
      <c r="H31" s="3371">
        <f t="shared" ref="H31" si="4">IF(G31="NA","NA",IF(G31="NO","NO",G31*44/12))</f>
        <v>8669.9882487355062</v>
      </c>
      <c r="I31" s="3423">
        <f>SUM(I11:I29)</f>
        <v>1398.9962471803224</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12392.323865448765</v>
      </c>
      <c r="F35" s="3419">
        <f>IF(I35="NA","NA",I35/(44/12)*1000/E35)</f>
        <v>24.591313256554283</v>
      </c>
      <c r="G35" s="3399">
        <v>304.74351815192421</v>
      </c>
      <c r="H35" s="3396">
        <f t="shared" si="5"/>
        <v>1117.3928998903887</v>
      </c>
      <c r="I35" s="3395">
        <v>1117.3928998903889</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77985.036297600003</v>
      </c>
      <c r="F41" s="3419">
        <f t="shared" ref="F41" si="8">IF(I41="NA","NA",I41/(44/12)*1000/E41)</f>
        <v>28.564263542396002</v>
      </c>
      <c r="G41" s="3395">
        <v>2253.1557348139781</v>
      </c>
      <c r="H41" s="3396">
        <f t="shared" si="5"/>
        <v>8261.5710276512527</v>
      </c>
      <c r="I41" s="3395">
        <v>8167.8121402825363</v>
      </c>
      <c r="J41" s="3416" t="s">
        <v>2274</v>
      </c>
      <c r="M41" s="125"/>
    </row>
    <row r="42" spans="2:13" ht="18" customHeight="1" x14ac:dyDescent="0.2">
      <c r="B42" s="1434"/>
      <c r="C42" s="1564"/>
      <c r="D42" s="1452" t="s">
        <v>1792</v>
      </c>
      <c r="E42" s="3414">
        <v>5208.6230838681158</v>
      </c>
      <c r="F42" s="3419">
        <f>IF(I42="NA","NA",I42/(44/12)*1000/E42)</f>
        <v>22.309090909090912</v>
      </c>
      <c r="G42" s="3395">
        <v>116.19964588920324</v>
      </c>
      <c r="H42" s="3396">
        <f t="shared" si="5"/>
        <v>426.06536826041184</v>
      </c>
      <c r="I42" s="3395">
        <v>426.0653682604119</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95585.98324691689</v>
      </c>
      <c r="F45" s="3343">
        <f>IF(I45="NA","NA",I45/(44/12)*1000/E45)</f>
        <v>27.708333410845775</v>
      </c>
      <c r="G45" s="3423">
        <f>SUM(G33:G43)</f>
        <v>2674.0988988551053</v>
      </c>
      <c r="H45" s="3371">
        <f t="shared" ref="H45" si="9">IF(G45="NA","NA",IF(G45="NO","NO",G45*44/12))</f>
        <v>9805.0292958020527</v>
      </c>
      <c r="I45" s="3423">
        <f>SUM(I33:I43)</f>
        <v>9711.2704084333363</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23629.095919949683</v>
      </c>
      <c r="F47" s="3419">
        <f t="shared" ref="F47" si="10">IF(I47="NA","NA",I47/(44/12)*1000/E47)</f>
        <v>14.021432274344996</v>
      </c>
      <c r="G47" s="3395">
        <v>331.31376814557609</v>
      </c>
      <c r="H47" s="3374">
        <f t="shared" ref="H47" si="11">IF(G47="NA","NA",IF(G47="NO","NO",G47*44/12))</f>
        <v>1214.8171498671124</v>
      </c>
      <c r="I47" s="3395">
        <v>1214.8171498671122</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23629.095919949683</v>
      </c>
      <c r="F50" s="3343">
        <f>IF(I50="NA","NA",I50/(44/12)*1000/E50)</f>
        <v>14.021432274344996</v>
      </c>
      <c r="G50" s="3423">
        <f>SUM(G47:G48)</f>
        <v>331.31376814557609</v>
      </c>
      <c r="H50" s="3397">
        <f t="shared" ref="H50" si="13">IF(G50="NA","NA",IF(G50="NO","NO",G50*44/12))</f>
        <v>1214.8171498671124</v>
      </c>
      <c r="I50" s="3423">
        <f>SUM(I47:I48)</f>
        <v>1214.8171498671122</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240509.39939138081</v>
      </c>
      <c r="F55" s="3354">
        <f t="shared" si="14"/>
        <v>13.976112787732944</v>
      </c>
      <c r="G55" s="3423">
        <f>SUM(G31,G45,G50,G54)</f>
        <v>5369.9549166558199</v>
      </c>
      <c r="H55" s="3398">
        <f t="shared" si="15"/>
        <v>19689.834694404675</v>
      </c>
      <c r="I55" s="3423">
        <f>SUM(I31,I45,I50,I54)</f>
        <v>12325.083805480772</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386.43737699999997</v>
      </c>
      <c r="D10" s="3127"/>
      <c r="E10" s="3127"/>
      <c r="F10" s="3078">
        <f>SUM(F11,F18)</f>
        <v>1009.8409049065666</v>
      </c>
      <c r="G10" s="3078">
        <f>SUM(G11,G18)</f>
        <v>1218.1287625307975</v>
      </c>
      <c r="H10" s="3078">
        <f>H11</f>
        <v>-3.2089145620799999</v>
      </c>
      <c r="I10" s="3128" t="s">
        <v>2146</v>
      </c>
      <c r="L10" s="3750"/>
    </row>
    <row r="11" spans="2:12" ht="18" customHeight="1" x14ac:dyDescent="0.2">
      <c r="B11" s="1252" t="s">
        <v>334</v>
      </c>
      <c r="C11" s="3033">
        <v>92.039252000000005</v>
      </c>
      <c r="D11" s="3078">
        <f>IFERROR(SUM(F11,H11)/$C$11,"NA")</f>
        <v>8.3846473817247702</v>
      </c>
      <c r="E11" s="3078">
        <f>IFERROR(SUM(G11,I11)/$C$11,"NA")</f>
        <v>12.35309145704691</v>
      </c>
      <c r="F11" s="3078">
        <f>SUM(F12:F16)</f>
        <v>774.92558785978633</v>
      </c>
      <c r="G11" s="3078">
        <f>SUM(G12:G16)</f>
        <v>1136.9692975941878</v>
      </c>
      <c r="H11" s="3078">
        <f>H12</f>
        <v>-3.2089145620799999</v>
      </c>
      <c r="I11" s="3128" t="s">
        <v>2146</v>
      </c>
    </row>
    <row r="12" spans="2:12" ht="18" customHeight="1" x14ac:dyDescent="0.2">
      <c r="B12" s="160" t="s">
        <v>335</v>
      </c>
      <c r="C12" s="3046"/>
      <c r="D12" s="3078">
        <f t="shared" ref="D12:D14" si="0">IFERROR(SUM(F12,H12)/$C$11,"NA")</f>
        <v>7.5356814027078789</v>
      </c>
      <c r="E12" s="3078">
        <f>IFERROR(SUM(G12,I12)/$C$11,"NA")</f>
        <v>12.25462357819819</v>
      </c>
      <c r="F12" s="3126">
        <v>696.78739417762404</v>
      </c>
      <c r="G12" s="3126">
        <v>1127.9063876789251</v>
      </c>
      <c r="H12" s="3126">
        <v>-3.2089145620799999</v>
      </c>
      <c r="I12" s="3034" t="s">
        <v>2146</v>
      </c>
    </row>
    <row r="13" spans="2:12" ht="18" customHeight="1" x14ac:dyDescent="0.2">
      <c r="B13" s="160" t="s">
        <v>336</v>
      </c>
      <c r="C13" s="3046"/>
      <c r="D13" s="3078">
        <f t="shared" si="0"/>
        <v>0.36034379308888503</v>
      </c>
      <c r="E13" s="3078" t="s">
        <v>2147</v>
      </c>
      <c r="F13" s="3126">
        <v>33.165773178743748</v>
      </c>
      <c r="G13" s="3126" t="s">
        <v>2154</v>
      </c>
      <c r="H13" s="3126" t="s">
        <v>2146</v>
      </c>
      <c r="I13" s="3034" t="s">
        <v>2146</v>
      </c>
    </row>
    <row r="14" spans="2:12" ht="18" customHeight="1" x14ac:dyDescent="0.2">
      <c r="B14" s="160" t="s">
        <v>337</v>
      </c>
      <c r="C14" s="3046"/>
      <c r="D14" s="3078">
        <f t="shared" si="0"/>
        <v>0.4883092260029826</v>
      </c>
      <c r="E14" s="3078" t="s">
        <v>2147</v>
      </c>
      <c r="F14" s="3126">
        <v>44.94361590601347</v>
      </c>
      <c r="G14" s="3126" t="s">
        <v>2147</v>
      </c>
      <c r="H14" s="3126" t="s">
        <v>2146</v>
      </c>
      <c r="I14" s="3034" t="s">
        <v>2146</v>
      </c>
    </row>
    <row r="15" spans="2:12" ht="18" customHeight="1" x14ac:dyDescent="0.2">
      <c r="B15" s="160" t="s">
        <v>338</v>
      </c>
      <c r="C15" s="3033">
        <v>3.2089145620799999E-3</v>
      </c>
      <c r="D15" s="3078">
        <f>IFERROR(SUM(F15,H15)/$C15,"NA")</f>
        <v>8.9764301441629684</v>
      </c>
      <c r="E15" s="3078">
        <f>IFERROR(SUM(G15,I15)/$C15,"NA")</f>
        <v>2824.2914356024953</v>
      </c>
      <c r="F15" s="3126">
        <v>2.8804597405098425E-2</v>
      </c>
      <c r="G15" s="3126">
        <v>9.0629099152626758</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294.39812499999999</v>
      </c>
      <c r="D18" s="3078">
        <f>IFERROR(SUM(F18,H18)/$C$18,"NA")</f>
        <v>0.79795113181097976</v>
      </c>
      <c r="E18" s="3078">
        <f>IFERROR(SUM(G18,I18)/$C$18,"NA")</f>
        <v>0.27567928612524173</v>
      </c>
      <c r="F18" s="3078">
        <f>SUM(F19:F21)</f>
        <v>234.9153170467803</v>
      </c>
      <c r="G18" s="3131">
        <f t="shared" ref="G18" si="2">SUM(G19:G21)</f>
        <v>81.15946493660968</v>
      </c>
      <c r="H18" s="3078" t="s">
        <v>2146</v>
      </c>
      <c r="I18" s="3128" t="s">
        <v>2146</v>
      </c>
    </row>
    <row r="19" spans="2:9" ht="18" customHeight="1" x14ac:dyDescent="0.2">
      <c r="B19" s="160" t="s">
        <v>341</v>
      </c>
      <c r="C19" s="3046"/>
      <c r="D19" s="3078">
        <f>IFERROR(SUM(F19,H19)/$C$18,"NA")</f>
        <v>0.79795113181097976</v>
      </c>
      <c r="E19" s="3078">
        <f>IFERROR(SUM(G19,I19)/$C$18,"NA")</f>
        <v>0.27567928612524173</v>
      </c>
      <c r="F19" s="3126">
        <v>234.9153170467803</v>
      </c>
      <c r="G19" s="3126">
        <v>81.15946493660968</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483.61379421318759</v>
      </c>
      <c r="J10" s="3145">
        <f>IF(SUM(J11:J16)=0,"NO",SUM(J11:J16))</f>
        <v>3.8327076999917629</v>
      </c>
      <c r="K10" s="1913">
        <f>IF(SUM(K11:K16)=0,"NO",SUM(K11:K16))</f>
        <v>1.4716759242194019E-2</v>
      </c>
      <c r="L10" s="3146" t="s">
        <v>2146</v>
      </c>
    </row>
    <row r="11" spans="2:12" ht="18" customHeight="1" x14ac:dyDescent="0.2">
      <c r="B11" s="1252" t="s">
        <v>363</v>
      </c>
      <c r="C11" s="2165" t="s">
        <v>2159</v>
      </c>
      <c r="D11" s="2165" t="s">
        <v>2275</v>
      </c>
      <c r="E11" s="691">
        <v>1399.6023582877899</v>
      </c>
      <c r="F11" s="1913">
        <f>I11*1000000/$E11</f>
        <v>3200.000000000005</v>
      </c>
      <c r="G11" s="1913">
        <f>J11*1000000/$E11</f>
        <v>0.33333333333333376</v>
      </c>
      <c r="H11" s="1913">
        <f>K11*1000000/$E11</f>
        <v>0.22580645161290358</v>
      </c>
      <c r="I11" s="3141">
        <v>4.4787275465209344</v>
      </c>
      <c r="J11" s="691">
        <v>4.665341194292639E-4</v>
      </c>
      <c r="K11" s="3142">
        <v>3.1603924219401755E-4</v>
      </c>
      <c r="L11" s="3093" t="s">
        <v>2146</v>
      </c>
    </row>
    <row r="12" spans="2:12" ht="18" customHeight="1" x14ac:dyDescent="0.2">
      <c r="B12" s="1252" t="s">
        <v>364</v>
      </c>
      <c r="C12" s="2165" t="s">
        <v>2160</v>
      </c>
      <c r="D12" s="2165" t="s">
        <v>2161</v>
      </c>
      <c r="E12" s="691">
        <v>1432.1</v>
      </c>
      <c r="F12" s="1913" t="s">
        <v>2147</v>
      </c>
      <c r="G12" s="1913">
        <f>J12*1000000/$E12</f>
        <v>600.86586132253331</v>
      </c>
      <c r="H12" s="3096"/>
      <c r="I12" s="3147" t="s">
        <v>2147</v>
      </c>
      <c r="J12" s="691">
        <v>0.86049999999999993</v>
      </c>
      <c r="K12" s="3046"/>
      <c r="L12" s="3093" t="s">
        <v>2146</v>
      </c>
    </row>
    <row r="13" spans="2:12" ht="18" customHeight="1" x14ac:dyDescent="0.2">
      <c r="B13" s="1252" t="s">
        <v>365</v>
      </c>
      <c r="C13" s="2165" t="s">
        <v>2162</v>
      </c>
      <c r="D13" s="2165" t="s">
        <v>2161</v>
      </c>
      <c r="E13" s="691">
        <v>1195.6233721999999</v>
      </c>
      <c r="F13" s="1913" t="s">
        <v>2147</v>
      </c>
      <c r="G13" s="1913">
        <f>J13*1000000/$E13</f>
        <v>190.67251242297181</v>
      </c>
      <c r="H13" s="3096"/>
      <c r="I13" s="3147" t="s">
        <v>2147</v>
      </c>
      <c r="J13" s="691">
        <v>0.22797251228899995</v>
      </c>
      <c r="K13" s="3046"/>
      <c r="L13" s="3093" t="s">
        <v>2146</v>
      </c>
    </row>
    <row r="14" spans="2:12" ht="18" customHeight="1" x14ac:dyDescent="0.2">
      <c r="B14" s="1252" t="s">
        <v>366</v>
      </c>
      <c r="C14" s="2165" t="s">
        <v>2163</v>
      </c>
      <c r="D14" s="2165" t="s">
        <v>2161</v>
      </c>
      <c r="E14" s="691">
        <v>1695</v>
      </c>
      <c r="F14" s="1913">
        <f>I14*1000000/$E14</f>
        <v>282675.55555555556</v>
      </c>
      <c r="G14" s="1913">
        <f>J14*1000000/$E14</f>
        <v>1588.6112586037366</v>
      </c>
      <c r="H14" s="1913">
        <f>K14*1000000/$E14</f>
        <v>8.4960000000000022</v>
      </c>
      <c r="I14" s="3147">
        <v>479.13506666666666</v>
      </c>
      <c r="J14" s="691">
        <v>2.6926960833333333</v>
      </c>
      <c r="K14" s="3142">
        <v>1.4400720000000002E-2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5.1072570250000004E-2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2057</v>
      </c>
      <c r="F18" s="1913" t="s">
        <v>2147</v>
      </c>
      <c r="G18" s="1913">
        <f>J18*1000000/$E18</f>
        <v>24.828668084589211</v>
      </c>
      <c r="H18" s="3148"/>
      <c r="I18" s="3150" t="s">
        <v>2147</v>
      </c>
      <c r="J18" s="2190">
        <v>5.1072570250000004E-2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178.00734319477149</v>
      </c>
      <c r="J21" s="3155">
        <f>IF(SUM(J22:J27)=0,"NO",SUM(J22:J27))</f>
        <v>133.38931809414254</v>
      </c>
      <c r="K21" s="3067">
        <f>IF(SUM(K22:K27)=0,"NO",SUM(K22:K27))</f>
        <v>4.9904327530584935E-3</v>
      </c>
      <c r="L21" s="3068" t="str">
        <f>IF(SUM(L22:L27)=0,"NO",SUM(L22:L27))</f>
        <v>NO</v>
      </c>
    </row>
    <row r="22" spans="2:12" ht="18" customHeight="1" x14ac:dyDescent="0.2">
      <c r="B22" s="1469" t="s">
        <v>371</v>
      </c>
      <c r="C22" s="2165" t="s">
        <v>2164</v>
      </c>
      <c r="D22" s="2165" t="s">
        <v>2147</v>
      </c>
      <c r="E22" s="691">
        <v>282.67679498218172</v>
      </c>
      <c r="F22" s="1913">
        <f>I22*1000000/$E22</f>
        <v>599420.78434325918</v>
      </c>
      <c r="G22" s="1913">
        <f>J22*1000000/$E22</f>
        <v>9493.7670561573832</v>
      </c>
      <c r="H22" s="1913">
        <f>K22*1000000/$E22</f>
        <v>17.654200279768492</v>
      </c>
      <c r="I22" s="3141">
        <v>169.44234616385802</v>
      </c>
      <c r="J22" s="692">
        <v>2.6836676437419915</v>
      </c>
      <c r="K22" s="4141">
        <v>4.9904327530584935E-3</v>
      </c>
      <c r="L22" s="3156" t="s">
        <v>2146</v>
      </c>
    </row>
    <row r="23" spans="2:12" ht="18" customHeight="1" x14ac:dyDescent="0.2">
      <c r="B23" s="1252" t="s">
        <v>372</v>
      </c>
      <c r="C23" s="2165" t="s">
        <v>2165</v>
      </c>
      <c r="D23" s="2165" t="s">
        <v>2161</v>
      </c>
      <c r="E23" s="691">
        <v>2614.4980636938899</v>
      </c>
      <c r="F23" s="1913">
        <f>I23*1000000/$E23</f>
        <v>193.96964306386985</v>
      </c>
      <c r="G23" s="1913">
        <f>J23*1000000/$E23</f>
        <v>2506.9359071100248</v>
      </c>
      <c r="H23" s="3096"/>
      <c r="I23" s="3147">
        <v>0.50713325620588268</v>
      </c>
      <c r="J23" s="691">
        <v>6.5543790749438449</v>
      </c>
      <c r="K23" s="3046"/>
      <c r="L23" s="3156" t="s">
        <v>2146</v>
      </c>
    </row>
    <row r="24" spans="2:12" ht="18" customHeight="1" x14ac:dyDescent="0.2">
      <c r="B24" s="1252" t="s">
        <v>373</v>
      </c>
      <c r="C24" s="2165" t="s">
        <v>2165</v>
      </c>
      <c r="D24" s="2165" t="s">
        <v>2161</v>
      </c>
      <c r="E24" s="691">
        <v>2614.4980636938899</v>
      </c>
      <c r="F24" s="1913">
        <f t="shared" ref="F24:F26" si="0">I24*1000000/$E24</f>
        <v>906.45474211805413</v>
      </c>
      <c r="G24" s="1913">
        <f t="shared" ref="G24:G26" si="1">J24*1000000/$E24</f>
        <v>4989.1715933657106</v>
      </c>
      <c r="H24" s="1879"/>
      <c r="I24" s="691">
        <v>2.3699241680937968</v>
      </c>
      <c r="J24" s="691">
        <v>13.04417947029121</v>
      </c>
      <c r="K24" s="1914"/>
      <c r="L24" s="3093" t="str">
        <f>IF(Table1.C!E21="NO","NO",-Table1.C!E21)</f>
        <v>NO</v>
      </c>
    </row>
    <row r="25" spans="2:12" ht="18" customHeight="1" x14ac:dyDescent="0.2">
      <c r="B25" s="1252" t="s">
        <v>374</v>
      </c>
      <c r="C25" s="2165" t="s">
        <v>2276</v>
      </c>
      <c r="D25" s="2165" t="s">
        <v>2171</v>
      </c>
      <c r="E25" s="691">
        <v>19575.999999999996</v>
      </c>
      <c r="F25" s="1913">
        <f t="shared" si="0"/>
        <v>20.000000000000004</v>
      </c>
      <c r="G25" s="1913">
        <f t="shared" si="1"/>
        <v>414.28571428571428</v>
      </c>
      <c r="H25" s="3096"/>
      <c r="I25" s="3147">
        <v>0.39151999999999998</v>
      </c>
      <c r="J25" s="691">
        <v>8.1100571428571406</v>
      </c>
      <c r="K25" s="3046"/>
      <c r="L25" s="3093" t="s">
        <v>2146</v>
      </c>
    </row>
    <row r="26" spans="2:12" ht="18" customHeight="1" x14ac:dyDescent="0.2">
      <c r="B26" s="1252" t="s">
        <v>375</v>
      </c>
      <c r="C26" s="2165" t="s">
        <v>2166</v>
      </c>
      <c r="D26" s="2165" t="s">
        <v>2161</v>
      </c>
      <c r="E26" s="691">
        <v>339.281579750417</v>
      </c>
      <c r="F26" s="1913">
        <f t="shared" si="0"/>
        <v>14309.215071561985</v>
      </c>
      <c r="G26" s="1913">
        <f t="shared" si="1"/>
        <v>262651.76172874542</v>
      </c>
      <c r="H26" s="3096"/>
      <c r="I26" s="3147">
        <v>4.8548530944680266</v>
      </c>
      <c r="J26" s="691">
        <v>89.112904643558863</v>
      </c>
      <c r="K26" s="3046"/>
      <c r="L26" s="3093" t="s">
        <v>2146</v>
      </c>
    </row>
    <row r="27" spans="2:12" ht="18" customHeight="1" x14ac:dyDescent="0.2">
      <c r="B27" s="2414" t="s">
        <v>376</v>
      </c>
      <c r="C27" s="621"/>
      <c r="D27" s="621"/>
      <c r="E27" s="628"/>
      <c r="F27" s="628"/>
      <c r="G27" s="628"/>
      <c r="H27" s="3148"/>
      <c r="I27" s="1913">
        <f>IF(SUM(I29:I31)=0,"NO",SUM(I29:I31))</f>
        <v>0.44156651214573817</v>
      </c>
      <c r="J27" s="1913">
        <f>IF(SUM(J29:J31)=0,"NO",SUM(J29:J31))</f>
        <v>13.88413011874948</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0.44156651214573817</v>
      </c>
      <c r="J29" s="3150">
        <v>8.5478853196994802</v>
      </c>
      <c r="K29" s="3132"/>
      <c r="L29" s="3102" t="s">
        <v>2146</v>
      </c>
    </row>
    <row r="30" spans="2:12" ht="18" customHeight="1" x14ac:dyDescent="0.2">
      <c r="B30" s="2415" t="s">
        <v>378</v>
      </c>
      <c r="C30" s="2165" t="s">
        <v>2156</v>
      </c>
      <c r="D30" s="2165" t="s">
        <v>2155</v>
      </c>
      <c r="E30" s="691">
        <v>6947</v>
      </c>
      <c r="F30" s="1913" t="s">
        <v>2147</v>
      </c>
      <c r="G30" s="1913">
        <f t="shared" ref="G30" si="2">J30*1000000/$E30</f>
        <v>23.786497632071399</v>
      </c>
      <c r="H30" s="3148"/>
      <c r="I30" s="3150" t="s">
        <v>2147</v>
      </c>
      <c r="J30" s="3150">
        <v>0.16524479905</v>
      </c>
      <c r="K30" s="3132"/>
      <c r="L30" s="3102" t="s">
        <v>2146</v>
      </c>
    </row>
    <row r="31" spans="2:12" ht="18" customHeight="1" x14ac:dyDescent="0.2">
      <c r="B31" s="1242" t="s">
        <v>379</v>
      </c>
      <c r="C31" s="621"/>
      <c r="D31" s="621"/>
      <c r="E31" s="628"/>
      <c r="F31" s="628"/>
      <c r="G31" s="628"/>
      <c r="H31" s="3148"/>
      <c r="I31" s="1913" t="s">
        <v>2147</v>
      </c>
      <c r="J31" s="1913">
        <f>IF(SUM(J32:J34)=0,"NO",SUM(J32:J34))</f>
        <v>5.1709999999999994</v>
      </c>
      <c r="K31" s="3132"/>
      <c r="L31" s="3149" t="str">
        <f>IF(SUM(L32:L34)=0,"NO",SUM(L32:L34))</f>
        <v>NO</v>
      </c>
    </row>
    <row r="32" spans="2:12" ht="18" customHeight="1" x14ac:dyDescent="0.2">
      <c r="B32" s="2592" t="s">
        <v>2173</v>
      </c>
      <c r="C32" s="310" t="s">
        <v>2172</v>
      </c>
      <c r="D32" s="310" t="s">
        <v>2172</v>
      </c>
      <c r="E32" s="2190">
        <v>6</v>
      </c>
      <c r="F32" s="3095" t="s">
        <v>2147</v>
      </c>
      <c r="G32" s="3095">
        <f t="shared" ref="G32:G33" si="3">J32*1000000/$E32</f>
        <v>184833.33333333334</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2219999.9999999995</v>
      </c>
      <c r="H34" s="3158"/>
      <c r="I34" s="3159" t="s">
        <v>2147</v>
      </c>
      <c r="J34" s="3159">
        <v>2.2199999999999998</v>
      </c>
      <c r="K34" s="3160"/>
      <c r="L34" s="3161" t="s">
        <v>2146</v>
      </c>
    </row>
    <row r="35" spans="2:12" ht="18" customHeight="1" x14ac:dyDescent="0.2">
      <c r="B35" s="1255" t="s">
        <v>380</v>
      </c>
      <c r="C35" s="2167"/>
      <c r="D35" s="2167"/>
      <c r="E35" s="3216"/>
      <c r="F35" s="3216"/>
      <c r="G35" s="3216"/>
      <c r="H35" s="3216"/>
      <c r="I35" s="3155">
        <f>IF(SUM(I36,I40)=0,"NO",SUM(I36,I40))</f>
        <v>6292.5340012036768</v>
      </c>
      <c r="J35" s="3067">
        <f>IF(SUM(J36,J40)=0,"NO",SUM(J36,J40))</f>
        <v>134.85023375084992</v>
      </c>
      <c r="K35" s="3067">
        <f>IF(SUM(K36,K40)=0,"NO",SUM(K36,K40))</f>
        <v>8.9156159709707944E-2</v>
      </c>
      <c r="L35" s="3068" t="str">
        <f>IF(SUM(L36,L40)=0,"NO",SUM(L36,L40))</f>
        <v>NO</v>
      </c>
    </row>
    <row r="36" spans="2:12" ht="18" customHeight="1" x14ac:dyDescent="0.2">
      <c r="B36" s="1468" t="s">
        <v>381</v>
      </c>
      <c r="C36" s="2170"/>
      <c r="D36" s="2170"/>
      <c r="E36" s="3025"/>
      <c r="F36" s="3025"/>
      <c r="G36" s="3025"/>
      <c r="H36" s="3025"/>
      <c r="I36" s="3162">
        <f>IF(SUM(I37:I39)=0,"NO",SUM(I37:I39))</f>
        <v>3481.0127060652749</v>
      </c>
      <c r="J36" s="1913">
        <f>IF(SUM(J37:J39)=0,"NO",SUM(J37:J39))</f>
        <v>114.76153314851794</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4046.5980636938898</v>
      </c>
      <c r="F39" s="1913">
        <f t="shared" ref="F39" si="5">SUM(I39,L39)*1000000/$E39</f>
        <v>860231.8913995804</v>
      </c>
      <c r="G39" s="1913">
        <f t="shared" ref="G39" si="6">J39*1000000/$E39</f>
        <v>28360.002980814756</v>
      </c>
      <c r="H39" s="1913">
        <f t="shared" ref="H39" si="7">K39*1000000/$E39</f>
        <v>0</v>
      </c>
      <c r="I39" s="691">
        <v>3481.0127060652749</v>
      </c>
      <c r="J39" s="691">
        <v>114.76153314851794</v>
      </c>
      <c r="K39" s="3132"/>
      <c r="L39" s="3093" t="s">
        <v>2146</v>
      </c>
    </row>
    <row r="40" spans="2:12" ht="18" customHeight="1" x14ac:dyDescent="0.2">
      <c r="B40" s="1468" t="s">
        <v>385</v>
      </c>
      <c r="C40" s="2170"/>
      <c r="D40" s="2170"/>
      <c r="E40" s="3025"/>
      <c r="F40" s="3025"/>
      <c r="G40" s="3025"/>
      <c r="H40" s="3025"/>
      <c r="I40" s="3162">
        <f>IF(SUM(I41:I43)=0,"NO",SUM(I41:I43))</f>
        <v>2811.5212951384019</v>
      </c>
      <c r="J40" s="3162">
        <f>IF(SUM(J41:J43)=0,"NO",SUM(J41:J43))</f>
        <v>20.088700602331972</v>
      </c>
      <c r="K40" s="1913">
        <f>IF(SUM(K41:K43)=0,"NO",SUM(K41:K43))</f>
        <v>8.9156159709707944E-2</v>
      </c>
      <c r="L40" s="3065" t="str">
        <f>IF(SUM(L41:L43)=0,"NO",SUM(L41:L43))</f>
        <v>NO</v>
      </c>
    </row>
    <row r="41" spans="2:12" ht="18" customHeight="1" x14ac:dyDescent="0.2">
      <c r="B41" s="1470" t="s">
        <v>386</v>
      </c>
      <c r="C41" s="277" t="s">
        <v>2169</v>
      </c>
      <c r="D41" s="277" t="s">
        <v>2170</v>
      </c>
      <c r="E41" s="691">
        <v>506.27158137408236</v>
      </c>
      <c r="F41" s="1913">
        <f t="shared" ref="F41:F42" si="8">SUM(I41,L41)*1000000/$E41</f>
        <v>2900000</v>
      </c>
      <c r="G41" s="1913">
        <f t="shared" ref="G41:H42" si="9">J41*1000000/$E41</f>
        <v>35000</v>
      </c>
      <c r="H41" s="1913">
        <f t="shared" si="9"/>
        <v>81</v>
      </c>
      <c r="I41" s="692">
        <v>1468.1875859848387</v>
      </c>
      <c r="J41" s="692">
        <v>17.719505348092884</v>
      </c>
      <c r="K41" s="692">
        <v>4.1007998091300672E-2</v>
      </c>
      <c r="L41" s="3156" t="s">
        <v>2146</v>
      </c>
    </row>
    <row r="42" spans="2:12" ht="18" customHeight="1" x14ac:dyDescent="0.2">
      <c r="B42" s="1470" t="s">
        <v>387</v>
      </c>
      <c r="C42" s="277" t="s">
        <v>2169</v>
      </c>
      <c r="D42" s="277" t="s">
        <v>2170</v>
      </c>
      <c r="E42" s="691">
        <v>28822.1822423868</v>
      </c>
      <c r="F42" s="1913">
        <f t="shared" si="8"/>
        <v>46607.633587786237</v>
      </c>
      <c r="G42" s="1913">
        <f t="shared" si="9"/>
        <v>82.200411971404307</v>
      </c>
      <c r="H42" s="1913">
        <f t="shared" si="9"/>
        <v>1.670524501354345</v>
      </c>
      <c r="I42" s="691">
        <v>1343.3337091535629</v>
      </c>
      <c r="J42" s="691">
        <v>2.3691952542390884</v>
      </c>
      <c r="K42" s="691">
        <v>4.8148161618407272E-2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41.122219994145475</v>
      </c>
      <c r="M9" s="3358">
        <f>100*C10/SUM(C10,'Table1.A(a)s3'!C16)</f>
        <v>58.877780005854525</v>
      </c>
    </row>
    <row r="10" spans="1:13" ht="18" customHeight="1" thickTop="1" thickBot="1" x14ac:dyDescent="0.25">
      <c r="B10" s="223" t="s">
        <v>430</v>
      </c>
      <c r="C10" s="3338">
        <f>IF(SUM(C11:C13)=0,"NO",SUM(C11:C13))</f>
        <v>112950</v>
      </c>
      <c r="D10" s="3339"/>
      <c r="E10" s="3340"/>
      <c r="F10" s="3340"/>
      <c r="G10" s="3338">
        <f>IF(SUM(G11:G13)=0,"NO",SUM(G11:G13))</f>
        <v>7861.3199999999988</v>
      </c>
      <c r="H10" s="3338">
        <f>IF(SUM(H11:H13)=0,"NO",SUM(H11:H13))</f>
        <v>1.2893526666666669E-2</v>
      </c>
      <c r="I10" s="1154">
        <f>IF(SUM(I11:I13)=0,"NO",SUM(I11:I13))</f>
        <v>3.9805506901754384E-2</v>
      </c>
      <c r="J10" s="4"/>
      <c r="K10" s="68" t="s">
        <v>431</v>
      </c>
      <c r="L10" s="3359">
        <f>100-M10</f>
        <v>41.044152163816563</v>
      </c>
      <c r="M10" s="3360">
        <f>100*C14/SUM(C14,'Table1.A(a)s3'!C88)</f>
        <v>58.955847836183437</v>
      </c>
    </row>
    <row r="11" spans="1:13" ht="18" customHeight="1" x14ac:dyDescent="0.2">
      <c r="B11" s="1258" t="s">
        <v>178</v>
      </c>
      <c r="C11" s="3341">
        <v>112950</v>
      </c>
      <c r="D11" s="116">
        <f>IF(G11="NO","NA",G11*1000/$C11)</f>
        <v>69.599999999999994</v>
      </c>
      <c r="E11" s="116">
        <f t="shared" ref="E11:F13" si="0">IF(H11="NO","NA",H11*1000000/$C11)</f>
        <v>0.11415251586247603</v>
      </c>
      <c r="F11" s="116">
        <f t="shared" si="0"/>
        <v>0.35241705977648857</v>
      </c>
      <c r="G11" s="3062">
        <v>7861.3199999999988</v>
      </c>
      <c r="H11" s="3062">
        <v>1.2893526666666669E-2</v>
      </c>
      <c r="I11" s="3063">
        <v>3.9805506901754384E-2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35950</v>
      </c>
      <c r="D14" s="3348"/>
      <c r="E14" s="3349"/>
      <c r="F14" s="3350"/>
      <c r="G14" s="3347">
        <f>IF(SUM(G15:G18,G20:G22)=0,"NO",SUM(G15:G18,G20:G22))</f>
        <v>2628.3449999999998</v>
      </c>
      <c r="H14" s="3347">
        <f>IF(SUM(H15:H18,H20:H22)=0,"NO",SUM(H15:H18,H20:H22))</f>
        <v>0.25165000000000004</v>
      </c>
      <c r="I14" s="1155">
        <f>IF(SUM(I15:I18,I20:I22)=0,"NO",SUM(I15:I18,I20:I22))</f>
        <v>7.1899999999999992E-2</v>
      </c>
      <c r="J14" s="4"/>
      <c r="K14" s="1047"/>
      <c r="L14" s="1047"/>
      <c r="M14" s="1047"/>
    </row>
    <row r="15" spans="1:13" ht="18" customHeight="1" x14ac:dyDescent="0.2">
      <c r="B15" s="1260" t="s">
        <v>190</v>
      </c>
      <c r="C15" s="143">
        <v>31200</v>
      </c>
      <c r="D15" s="116">
        <f>IF(G15="NO","NA",G15*1000/$C15)</f>
        <v>73.59999999999998</v>
      </c>
      <c r="E15" s="116">
        <f t="shared" ref="E15:F17" si="1">IF(H15="NO","NA",H15*1000000/$C15)</f>
        <v>7.0000000000000009</v>
      </c>
      <c r="F15" s="116">
        <f t="shared" si="1"/>
        <v>2</v>
      </c>
      <c r="G15" s="3064">
        <v>2296.3199999999997</v>
      </c>
      <c r="H15" s="3064">
        <v>0.21840000000000004</v>
      </c>
      <c r="I15" s="135">
        <v>6.2399999999999997E-2</v>
      </c>
      <c r="J15" s="4"/>
      <c r="K15" s="1047"/>
      <c r="L15" s="1047"/>
      <c r="M15" s="1047"/>
    </row>
    <row r="16" spans="1:13" ht="18" customHeight="1" x14ac:dyDescent="0.2">
      <c r="B16" s="1260" t="s">
        <v>191</v>
      </c>
      <c r="C16" s="3351">
        <v>4750</v>
      </c>
      <c r="D16" s="116">
        <f>IF(G16="NO","NA",G16*1000/$C16)</f>
        <v>69.900000000000006</v>
      </c>
      <c r="E16" s="116">
        <f t="shared" si="1"/>
        <v>6.9999999999999982</v>
      </c>
      <c r="F16" s="116">
        <f t="shared" si="1"/>
        <v>2</v>
      </c>
      <c r="G16" s="3064">
        <v>332.02499999999998</v>
      </c>
      <c r="H16" s="3064">
        <v>3.3249999999999995E-2</v>
      </c>
      <c r="I16" s="135">
        <v>9.4999999999999998E-3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21241.524367521084</v>
      </c>
      <c r="D10" s="2913">
        <f t="shared" ref="D10:N10" si="0">IF(SUM(D11,D16,D27,D35,D39,D45,D52,D57)=0,"NO",SUM(D11,D16,D27,D35,D39,D45,D52,D57))</f>
        <v>3.2395559717251121</v>
      </c>
      <c r="E10" s="2913">
        <f t="shared" si="0"/>
        <v>7.0675909159558241</v>
      </c>
      <c r="F10" s="2913">
        <f t="shared" si="0"/>
        <v>1547.7184967079174</v>
      </c>
      <c r="G10" s="2913">
        <f t="shared" si="0"/>
        <v>1620.6064364210433</v>
      </c>
      <c r="H10" s="2913" t="str">
        <f t="shared" si="0"/>
        <v>NO</v>
      </c>
      <c r="I10" s="2913">
        <f t="shared" si="0"/>
        <v>9.5963033265742681E-3</v>
      </c>
      <c r="J10" s="2913" t="str">
        <f t="shared" si="0"/>
        <v>NO</v>
      </c>
      <c r="K10" s="2913">
        <f t="shared" si="0"/>
        <v>44.982792531642843</v>
      </c>
      <c r="L10" s="2914">
        <f t="shared" si="0"/>
        <v>10.631644366936392</v>
      </c>
      <c r="M10" s="2915">
        <f t="shared" si="0"/>
        <v>217.47547625731926</v>
      </c>
      <c r="N10" s="2916">
        <f t="shared" si="0"/>
        <v>1885.1071077539145</v>
      </c>
      <c r="O10" s="3020">
        <f t="shared" ref="O10:O58" si="1">IF(SUM(C10:J10)=0,"NO",SUM(C10,F10:H10)+28*SUM(D10)+265*SUM(E10)+23500*SUM(I10)+16100*SUM(J10))</f>
        <v>26598.98158876114</v>
      </c>
    </row>
    <row r="11" spans="1:15" ht="18" customHeight="1" x14ac:dyDescent="0.2">
      <c r="B11" s="1263" t="s">
        <v>444</v>
      </c>
      <c r="C11" s="2137">
        <f>IF(SUM(C12:C15)=0,"NO",SUM(C12:C15))</f>
        <v>6238.6898869835768</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6238.6898869835768</v>
      </c>
    </row>
    <row r="12" spans="1:15" ht="18" customHeight="1" x14ac:dyDescent="0.2">
      <c r="B12" s="1264" t="s">
        <v>445</v>
      </c>
      <c r="C12" s="2920">
        <f>'Table2(I).A-H'!H11</f>
        <v>3540.9025280000005</v>
      </c>
      <c r="D12" s="2136"/>
      <c r="E12" s="2136"/>
      <c r="F12" s="628"/>
      <c r="G12" s="628"/>
      <c r="H12" s="2135"/>
      <c r="I12" s="628"/>
      <c r="J12" s="2135"/>
      <c r="K12" s="2135"/>
      <c r="L12" s="2135"/>
      <c r="M12" s="2135"/>
      <c r="N12" s="2919" t="s">
        <v>2146</v>
      </c>
      <c r="O12" s="2934">
        <f t="shared" si="1"/>
        <v>3540.9025280000005</v>
      </c>
    </row>
    <row r="13" spans="1:15" ht="18" customHeight="1" x14ac:dyDescent="0.2">
      <c r="B13" s="1264" t="s">
        <v>446</v>
      </c>
      <c r="C13" s="1878">
        <f>'Table2(I).A-H'!H12</f>
        <v>1149.4867374748344</v>
      </c>
      <c r="D13" s="2108"/>
      <c r="E13" s="2108"/>
      <c r="F13" s="628"/>
      <c r="G13" s="628"/>
      <c r="H13" s="2135"/>
      <c r="I13" s="628"/>
      <c r="J13" s="2135"/>
      <c r="K13" s="628"/>
      <c r="L13" s="628"/>
      <c r="M13" s="628"/>
      <c r="N13" s="1838"/>
      <c r="O13" s="1880">
        <f t="shared" si="1"/>
        <v>1149.4867374748344</v>
      </c>
    </row>
    <row r="14" spans="1:15" ht="18" customHeight="1" x14ac:dyDescent="0.2">
      <c r="B14" s="1264" t="s">
        <v>447</v>
      </c>
      <c r="C14" s="1878">
        <f>'Table2(I).A-H'!H13</f>
        <v>99.647365428071936</v>
      </c>
      <c r="D14" s="2108"/>
      <c r="E14" s="2108"/>
      <c r="F14" s="628"/>
      <c r="G14" s="628"/>
      <c r="H14" s="2135"/>
      <c r="I14" s="628"/>
      <c r="J14" s="2135"/>
      <c r="K14" s="628"/>
      <c r="L14" s="628"/>
      <c r="M14" s="628"/>
      <c r="N14" s="1838"/>
      <c r="O14" s="1880">
        <f t="shared" si="1"/>
        <v>99.647365428071936</v>
      </c>
    </row>
    <row r="15" spans="1:15" ht="18" customHeight="1" thickBot="1" x14ac:dyDescent="0.25">
      <c r="B15" s="1264" t="s">
        <v>448</v>
      </c>
      <c r="C15" s="1878">
        <f>'Table2(I).A-H'!H14</f>
        <v>1448.6532560806702</v>
      </c>
      <c r="D15" s="1879"/>
      <c r="E15" s="1879"/>
      <c r="F15" s="3021"/>
      <c r="G15" s="3021"/>
      <c r="H15" s="3021"/>
      <c r="I15" s="3021"/>
      <c r="J15" s="3021"/>
      <c r="K15" s="2606" t="s">
        <v>2146</v>
      </c>
      <c r="L15" s="2606" t="s">
        <v>2146</v>
      </c>
      <c r="M15" s="2606" t="s">
        <v>2146</v>
      </c>
      <c r="N15" s="2607" t="s">
        <v>2146</v>
      </c>
      <c r="O15" s="1880">
        <f t="shared" si="1"/>
        <v>1448.6532560806702</v>
      </c>
    </row>
    <row r="16" spans="1:15" ht="18" customHeight="1" x14ac:dyDescent="0.2">
      <c r="B16" s="1265" t="s">
        <v>449</v>
      </c>
      <c r="C16" s="2137">
        <f>IF(SUM(C17:C26)=0,"NO",SUM(C17:C26))</f>
        <v>2004.6535722962215</v>
      </c>
      <c r="D16" s="2137">
        <f t="shared" ref="D16:N16" si="3">IF(SUM(D17:D26)=0,"NO",SUM(D17:D26))</f>
        <v>0.48708379999999996</v>
      </c>
      <c r="E16" s="2137">
        <f t="shared" si="3"/>
        <v>6.9890831464516125</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5.1280822910000001</v>
      </c>
      <c r="N16" s="2918" t="str">
        <f t="shared" si="3"/>
        <v>NO</v>
      </c>
      <c r="O16" s="2941">
        <f t="shared" si="1"/>
        <v>3870.3989525058987</v>
      </c>
    </row>
    <row r="17" spans="2:15" ht="18" customHeight="1" x14ac:dyDescent="0.2">
      <c r="B17" s="1266" t="s">
        <v>450</v>
      </c>
      <c r="C17" s="2920">
        <f>SUM('Table2(I).A-H'!H23,'Table2(I).A-H'!K23:L23)</f>
        <v>783.85532458867567</v>
      </c>
      <c r="D17" s="2139" t="str">
        <f>'Table2(I).A-H'!I23</f>
        <v>NO</v>
      </c>
      <c r="E17" s="2139" t="str">
        <f>'Table2(I).A-H'!J23</f>
        <v>NO</v>
      </c>
      <c r="F17" s="2135"/>
      <c r="G17" s="2135"/>
      <c r="H17" s="2135"/>
      <c r="I17" s="2135"/>
      <c r="J17" s="2135"/>
      <c r="K17" s="692" t="s">
        <v>2146</v>
      </c>
      <c r="L17" s="692" t="s">
        <v>2146</v>
      </c>
      <c r="M17" s="692" t="s">
        <v>2146</v>
      </c>
      <c r="N17" s="692" t="s">
        <v>2146</v>
      </c>
      <c r="O17" s="2934">
        <f t="shared" si="1"/>
        <v>783.85532458867567</v>
      </c>
    </row>
    <row r="18" spans="2:15" ht="18" customHeight="1" x14ac:dyDescent="0.2">
      <c r="B18" s="1264" t="s">
        <v>451</v>
      </c>
      <c r="C18" s="1910"/>
      <c r="D18" s="2136"/>
      <c r="E18" s="2139">
        <f>'Table2(I).A-H'!J24</f>
        <v>6.9890831464516125</v>
      </c>
      <c r="F18" s="628"/>
      <c r="G18" s="628"/>
      <c r="H18" s="2135"/>
      <c r="I18" s="628"/>
      <c r="J18" s="2135"/>
      <c r="K18" s="692" t="s">
        <v>2146</v>
      </c>
      <c r="L18" s="628"/>
      <c r="M18" s="628"/>
      <c r="N18" s="1838"/>
      <c r="O18" s="2934">
        <f t="shared" si="1"/>
        <v>1852.1070338096774</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1048.8860002651136</v>
      </c>
      <c r="D22" s="1914"/>
      <c r="E22" s="628"/>
      <c r="F22" s="628"/>
      <c r="G22" s="628"/>
      <c r="H22" s="2135"/>
      <c r="I22" s="628"/>
      <c r="J22" s="2135"/>
      <c r="K22" s="1914"/>
      <c r="L22" s="1914"/>
      <c r="M22" s="1914"/>
      <c r="N22" s="2921"/>
      <c r="O22" s="1880">
        <f t="shared" si="1"/>
        <v>1048.8860002651136</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46.86107299999999</v>
      </c>
      <c r="D24" s="1878">
        <f>'Table2(I).A-H'!I35</f>
        <v>0.48708379999999996</v>
      </c>
      <c r="E24" s="628"/>
      <c r="F24" s="628"/>
      <c r="G24" s="628"/>
      <c r="H24" s="2135"/>
      <c r="I24" s="628"/>
      <c r="J24" s="2135"/>
      <c r="K24" s="692" t="s">
        <v>2146</v>
      </c>
      <c r="L24" s="692" t="s">
        <v>2146</v>
      </c>
      <c r="M24" s="691">
        <v>5.1280822910000001</v>
      </c>
      <c r="N24" s="692" t="s">
        <v>2146</v>
      </c>
      <c r="O24" s="1880">
        <f t="shared" si="1"/>
        <v>60.499419399999994</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125.05117444243233</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125.05117444243233</v>
      </c>
    </row>
    <row r="27" spans="2:15" ht="18" customHeight="1" x14ac:dyDescent="0.2">
      <c r="B27" s="1263" t="s">
        <v>459</v>
      </c>
      <c r="C27" s="2137">
        <f>IF(SUM(C28:C34)=0,"NO",SUM(C28:C34))</f>
        <v>12559.720129267935</v>
      </c>
      <c r="D27" s="2137">
        <f t="shared" ref="D27:N27" si="4">IF(SUM(D28:D34)=0,"NO",SUM(D28:D34))</f>
        <v>2.7524721717251124</v>
      </c>
      <c r="E27" s="2137">
        <f t="shared" si="4"/>
        <v>7.8507769504211899E-2</v>
      </c>
      <c r="F27" s="2138" t="str">
        <f t="shared" si="4"/>
        <v>NO</v>
      </c>
      <c r="G27" s="2138">
        <f t="shared" si="4"/>
        <v>1620.6064364210433</v>
      </c>
      <c r="H27" s="2138" t="str">
        <f t="shared" si="4"/>
        <v>NO</v>
      </c>
      <c r="I27" s="2138" t="str">
        <f t="shared" si="4"/>
        <v>NO</v>
      </c>
      <c r="J27" s="2138" t="str">
        <f t="shared" si="4"/>
        <v>NO</v>
      </c>
      <c r="K27" s="2137">
        <f t="shared" si="4"/>
        <v>44.982792531642843</v>
      </c>
      <c r="L27" s="2137">
        <f t="shared" si="4"/>
        <v>10.631644366936392</v>
      </c>
      <c r="M27" s="2917">
        <f t="shared" si="4"/>
        <v>0.11506119740335179</v>
      </c>
      <c r="N27" s="2918">
        <f t="shared" si="4"/>
        <v>1885.1071077539145</v>
      </c>
      <c r="O27" s="2941">
        <f t="shared" si="1"/>
        <v>14278.200345415898</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2919.3603177849045</v>
      </c>
      <c r="D30" s="1879"/>
      <c r="E30" s="628"/>
      <c r="F30" s="628"/>
      <c r="G30" s="2140">
        <f>SUM('Table2(II)'!X41:Y41)</f>
        <v>1620.6064364210433</v>
      </c>
      <c r="H30" s="2136"/>
      <c r="I30" s="2142" t="s">
        <v>2146</v>
      </c>
      <c r="J30" s="2135"/>
      <c r="K30" s="691" t="s">
        <v>2147</v>
      </c>
      <c r="L30" s="691" t="s">
        <v>2147</v>
      </c>
      <c r="M30" s="691" t="s">
        <v>2147</v>
      </c>
      <c r="N30" s="2911">
        <v>45.665519999999994</v>
      </c>
      <c r="O30" s="1880">
        <f t="shared" si="1"/>
        <v>4539.9667542059478</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9640.3598114830311</v>
      </c>
      <c r="D34" s="1881">
        <f>'Table2(I).A-H'!I67</f>
        <v>2.7524721717251124</v>
      </c>
      <c r="E34" s="1881">
        <f>'Table2(I).A-H'!J67</f>
        <v>7.8507769504211899E-2</v>
      </c>
      <c r="F34" s="2146" t="s">
        <v>2146</v>
      </c>
      <c r="G34" s="2146" t="s">
        <v>2146</v>
      </c>
      <c r="H34" s="2146" t="s">
        <v>2146</v>
      </c>
      <c r="I34" s="2146" t="s">
        <v>2146</v>
      </c>
      <c r="J34" s="2146" t="s">
        <v>2146</v>
      </c>
      <c r="K34" s="2606">
        <v>44.982792531642843</v>
      </c>
      <c r="L34" s="2606">
        <v>10.631644366936392</v>
      </c>
      <c r="M34" s="2606">
        <v>0.11506119740335179</v>
      </c>
      <c r="N34" s="2607">
        <v>1839.4415877539145</v>
      </c>
      <c r="O34" s="1882">
        <f t="shared" si="1"/>
        <v>9738.2335912099516</v>
      </c>
    </row>
    <row r="35" spans="2:15" ht="18" customHeight="1" x14ac:dyDescent="0.2">
      <c r="B35" s="2470" t="s">
        <v>2014</v>
      </c>
      <c r="C35" s="2920">
        <f>IF(SUM(C36:C38)=0,"NO",SUM(C36:C38))</f>
        <v>291.00466500000005</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166.7236927689159</v>
      </c>
      <c r="N35" s="2048" t="str">
        <f t="shared" ref="N35" si="7">IF(SUM(N36:N38)=0,"NO",SUM(N36:N38))</f>
        <v>NO</v>
      </c>
      <c r="O35" s="2934">
        <f t="shared" si="1"/>
        <v>291.00466500000005</v>
      </c>
    </row>
    <row r="36" spans="2:15" ht="18" customHeight="1" x14ac:dyDescent="0.2">
      <c r="B36" s="1270" t="s">
        <v>466</v>
      </c>
      <c r="C36" s="1878">
        <f>'Table2(I).A-H'!H73</f>
        <v>291.00466500000005</v>
      </c>
      <c r="D36" s="2140" t="str">
        <f>'Table2(I).A-H'!I73</f>
        <v>NO</v>
      </c>
      <c r="E36" s="2140" t="str">
        <f>'Table2(I).A-H'!J73</f>
        <v>NO</v>
      </c>
      <c r="F36" s="628"/>
      <c r="G36" s="628"/>
      <c r="H36" s="2135"/>
      <c r="I36" s="628"/>
      <c r="J36" s="2135"/>
      <c r="K36" s="2147" t="s">
        <v>2147</v>
      </c>
      <c r="L36" s="2147" t="s">
        <v>2147</v>
      </c>
      <c r="M36" s="691" t="s">
        <v>2147</v>
      </c>
      <c r="N36" s="2141" t="s">
        <v>2147</v>
      </c>
      <c r="O36" s="1880">
        <f t="shared" si="1"/>
        <v>291.00466500000005</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166.7236927689159</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1547.7184967079174</v>
      </c>
      <c r="G45" s="2137" t="str">
        <f t="shared" ref="G45:J45" si="9">IF(SUM(G46:G51)=0,"NO",SUM(G46:G51))</f>
        <v>NO</v>
      </c>
      <c r="H45" s="2920" t="str">
        <f t="shared" si="9"/>
        <v>NO</v>
      </c>
      <c r="I45" s="2920" t="str">
        <f t="shared" si="9"/>
        <v>NO</v>
      </c>
      <c r="J45" s="2139" t="str">
        <f t="shared" si="9"/>
        <v>NO</v>
      </c>
      <c r="K45" s="1929"/>
      <c r="L45" s="1929"/>
      <c r="M45" s="1929"/>
      <c r="N45" s="2153"/>
      <c r="O45" s="2941">
        <f t="shared" si="1"/>
        <v>1547.7184967079174</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1434.4614783076422</v>
      </c>
      <c r="G46" s="1878" t="s">
        <v>2146</v>
      </c>
      <c r="H46" s="1878" t="s">
        <v>2146</v>
      </c>
      <c r="I46" s="1878" t="s">
        <v>2146</v>
      </c>
      <c r="J46" s="2139" t="str">
        <f t="shared" ref="J46" si="10">IF(SUM(J47:J52)=0,"NO",SUM(J47:J52))</f>
        <v>NO</v>
      </c>
      <c r="K46" s="628"/>
      <c r="L46" s="628"/>
      <c r="M46" s="628"/>
      <c r="N46" s="1838"/>
      <c r="O46" s="1880">
        <f t="shared" si="1"/>
        <v>1434.4614783076422</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28.517653841661964</v>
      </c>
      <c r="G47" s="1878" t="s">
        <v>2146</v>
      </c>
      <c r="H47" s="1878" t="s">
        <v>2146</v>
      </c>
      <c r="I47" s="1878" t="s">
        <v>2146</v>
      </c>
      <c r="J47" s="2139" t="str">
        <f t="shared" ref="J47" si="11">IF(SUM(J48:J53)=0,"NO",SUM(J48:J53))</f>
        <v>NO</v>
      </c>
      <c r="K47" s="628"/>
      <c r="L47" s="628"/>
      <c r="M47" s="628"/>
      <c r="N47" s="1838"/>
      <c r="O47" s="1880">
        <f t="shared" si="1"/>
        <v>28.517653841661964</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7.8604171299165264</v>
      </c>
      <c r="G48" s="1878" t="s">
        <v>2146</v>
      </c>
      <c r="H48" s="1878" t="s">
        <v>2146</v>
      </c>
      <c r="I48" s="1878" t="s">
        <v>2146</v>
      </c>
      <c r="J48" s="2139" t="str">
        <f t="shared" ref="J48" si="12">IF(SUM(J49:J54)=0,"NO",SUM(J49:J54))</f>
        <v>NO</v>
      </c>
      <c r="K48" s="628"/>
      <c r="L48" s="628"/>
      <c r="M48" s="628"/>
      <c r="N48" s="1838"/>
      <c r="O48" s="1880">
        <f t="shared" si="1"/>
        <v>7.8604171299165264</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38.884409748671104</v>
      </c>
      <c r="G49" s="1878" t="s">
        <v>2146</v>
      </c>
      <c r="H49" s="1878" t="s">
        <v>2146</v>
      </c>
      <c r="I49" s="1878" t="s">
        <v>2146</v>
      </c>
      <c r="J49" s="2139" t="str">
        <f t="shared" ref="J49" si="13">IF(SUM(J50:J55)=0,"NO",SUM(J50:J55))</f>
        <v>NO</v>
      </c>
      <c r="K49" s="628"/>
      <c r="L49" s="628"/>
      <c r="M49" s="628"/>
      <c r="N49" s="1838"/>
      <c r="O49" s="1880">
        <f t="shared" si="1"/>
        <v>38.884409748671104</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37.994537680025701</v>
      </c>
      <c r="G50" s="1878" t="s">
        <v>2146</v>
      </c>
      <c r="H50" s="1878" t="s">
        <v>2146</v>
      </c>
      <c r="I50" s="1878" t="s">
        <v>2146</v>
      </c>
      <c r="J50" s="2139" t="str">
        <f t="shared" ref="J50" si="14">IF(SUM(J51:J56)=0,"NO",SUM(J51:J56))</f>
        <v>NO</v>
      </c>
      <c r="K50" s="628"/>
      <c r="L50" s="628"/>
      <c r="M50" s="628"/>
      <c r="N50" s="1838"/>
      <c r="O50" s="1880">
        <f t="shared" si="1"/>
        <v>37.994537680025701</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9.5963033265742681E-3</v>
      </c>
      <c r="J52" s="2139" t="str">
        <f t="shared" si="16"/>
        <v>NO</v>
      </c>
      <c r="K52" s="2139" t="str">
        <f t="shared" si="16"/>
        <v>NO</v>
      </c>
      <c r="L52" s="2139" t="str">
        <f t="shared" si="16"/>
        <v>NO</v>
      </c>
      <c r="M52" s="2139" t="str">
        <f t="shared" si="16"/>
        <v>NO</v>
      </c>
      <c r="N52" s="2048" t="str">
        <f t="shared" si="16"/>
        <v>NO</v>
      </c>
      <c r="O52" s="2934">
        <f t="shared" si="1"/>
        <v>225.51312817449531</v>
      </c>
    </row>
    <row r="53" spans="2:15" ht="18" customHeight="1" x14ac:dyDescent="0.2">
      <c r="B53" s="1270" t="s">
        <v>481</v>
      </c>
      <c r="C53" s="2135"/>
      <c r="D53" s="2135"/>
      <c r="E53" s="2135"/>
      <c r="F53" s="2920" t="s">
        <v>2146</v>
      </c>
      <c r="G53" s="2920" t="s">
        <v>2146</v>
      </c>
      <c r="H53" s="2920" t="s">
        <v>2146</v>
      </c>
      <c r="I53" s="2920">
        <f>SUM('Table2(II).B-Hs2'!J163:M163)/1000</f>
        <v>8.9346719146398447E-3</v>
      </c>
      <c r="J53" s="2920" t="s">
        <v>2146</v>
      </c>
      <c r="K53" s="2135"/>
      <c r="L53" s="2135"/>
      <c r="M53" s="2135"/>
      <c r="N53" s="2149"/>
      <c r="O53" s="2934">
        <f t="shared" si="1"/>
        <v>209.96478999403635</v>
      </c>
    </row>
    <row r="54" spans="2:15" ht="18" customHeight="1" x14ac:dyDescent="0.2">
      <c r="B54" s="1270" t="s">
        <v>482</v>
      </c>
      <c r="C54" s="2135"/>
      <c r="D54" s="2135"/>
      <c r="E54" s="2135"/>
      <c r="F54" s="2135"/>
      <c r="G54" s="2920" t="s">
        <v>2146</v>
      </c>
      <c r="H54" s="3025"/>
      <c r="I54" s="2920">
        <f>SUM('Table2(II).B-Hs2'!J165:M165)/1000</f>
        <v>6.6163141193442416E-4</v>
      </c>
      <c r="J54" s="2135"/>
      <c r="K54" s="2135"/>
      <c r="L54" s="2135"/>
      <c r="M54" s="2135"/>
      <c r="N54" s="2149"/>
      <c r="O54" s="2934">
        <f t="shared" si="1"/>
        <v>15.548338180458968</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147.45611397335256</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45.50864</v>
      </c>
      <c r="N57" s="2073" t="str">
        <f>N58</f>
        <v>NA</v>
      </c>
      <c r="O57" s="2941">
        <f t="shared" si="1"/>
        <v>147.45611397335256</v>
      </c>
    </row>
    <row r="58" spans="2:15" ht="18" customHeight="1" thickBot="1" x14ac:dyDescent="0.25">
      <c r="B58" s="2596" t="s">
        <v>2180</v>
      </c>
      <c r="C58" s="2500">
        <f>'Table2(I).A-H'!H97</f>
        <v>147.45611397335256</v>
      </c>
      <c r="D58" s="2500" t="str">
        <f>'Table2(I).A-H'!I97</f>
        <v>NO</v>
      </c>
      <c r="E58" s="2500" t="str">
        <f>'Table2(I).A-H'!J97</f>
        <v>NO</v>
      </c>
      <c r="F58" s="2500" t="s">
        <v>2146</v>
      </c>
      <c r="G58" s="2500" t="s">
        <v>2146</v>
      </c>
      <c r="H58" s="2500" t="s">
        <v>2146</v>
      </c>
      <c r="I58" s="2500" t="s">
        <v>2146</v>
      </c>
      <c r="J58" s="2500" t="s">
        <v>2146</v>
      </c>
      <c r="K58" s="2912" t="s">
        <v>2147</v>
      </c>
      <c r="L58" s="2912" t="s">
        <v>2147</v>
      </c>
      <c r="M58" s="2912">
        <v>45.50864</v>
      </c>
      <c r="N58" s="2922" t="s">
        <v>2147</v>
      </c>
      <c r="O58" s="2925">
        <f t="shared" si="1"/>
        <v>147.45611397335256</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7.2905134613641606E-2</v>
      </c>
      <c r="D10" s="2044">
        <f t="shared" ref="D10:X10" si="0">IF(SUM(D11,D16,D20,D26,D33,D37)=0,"NO",SUM(D11,D16,D20,D26,D33,D37))</f>
        <v>11.394950036262522</v>
      </c>
      <c r="E10" s="2044" t="str">
        <f t="shared" si="0"/>
        <v>NO</v>
      </c>
      <c r="F10" s="2044">
        <f t="shared" si="0"/>
        <v>0.16916449387581373</v>
      </c>
      <c r="G10" s="2044">
        <f t="shared" si="0"/>
        <v>206.22809015949557</v>
      </c>
      <c r="H10" s="2044">
        <f t="shared" si="0"/>
        <v>0.23089366863985547</v>
      </c>
      <c r="I10" s="2044">
        <f t="shared" si="0"/>
        <v>589.69315623593263</v>
      </c>
      <c r="J10" s="2044" t="str">
        <f t="shared" si="0"/>
        <v>NO</v>
      </c>
      <c r="K10" s="2044">
        <f t="shared" si="0"/>
        <v>19.739720908714165</v>
      </c>
      <c r="L10" s="2044" t="str">
        <f t="shared" si="0"/>
        <v>NO</v>
      </c>
      <c r="M10" s="2044" t="str">
        <f t="shared" si="0"/>
        <v>NO</v>
      </c>
      <c r="N10" s="2044" t="str">
        <f t="shared" si="0"/>
        <v>NO</v>
      </c>
      <c r="O10" s="2044">
        <f t="shared" si="0"/>
        <v>7.0034370515659079</v>
      </c>
      <c r="P10" s="2044" t="str">
        <f t="shared" si="0"/>
        <v>NO</v>
      </c>
      <c r="Q10" s="2044" t="str">
        <f t="shared" si="0"/>
        <v>NO</v>
      </c>
      <c r="R10" s="2044">
        <f t="shared" si="0"/>
        <v>7.5014187342383408E-4</v>
      </c>
      <c r="S10" s="2044" t="str">
        <f t="shared" si="0"/>
        <v>NO</v>
      </c>
      <c r="T10" s="2044" t="str">
        <f t="shared" si="0"/>
        <v>NO</v>
      </c>
      <c r="U10" s="2044" t="str">
        <f t="shared" si="0"/>
        <v>NO</v>
      </c>
      <c r="V10" s="2045" t="str">
        <f t="shared" si="0"/>
        <v>NO</v>
      </c>
      <c r="W10" s="2046"/>
      <c r="X10" s="2044">
        <f t="shared" si="0"/>
        <v>200.77986774886799</v>
      </c>
      <c r="Y10" s="2044">
        <f t="shared" ref="Y10" si="1">IF(SUM(Y11,Y16,Y20,Y26,Y33,Y37)=0,"NO",SUM(Y11,Y16,Y20,Y26,Y33,Y37))</f>
        <v>26.075307499643998</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9.5963033265742688</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200.77986774886799</v>
      </c>
      <c r="Y16" s="2050">
        <f t="shared" ref="Y16" si="35">IF(SUM(Y17:Y19)=0,"NO",SUM(Y17:Y19))</f>
        <v>26.075307499643998</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200.77986774886799</v>
      </c>
      <c r="Y17" s="2050">
        <f>'Table2(II).B-Hs1'!G26</f>
        <v>26.075307499643998</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7.2905134613641606E-2</v>
      </c>
      <c r="D26" s="2069">
        <f t="shared" ref="D26:AK26" si="58">IF(SUM(D27:D32)=0,"NO",SUM(D27:D32))</f>
        <v>11.394950036262522</v>
      </c>
      <c r="E26" s="2069" t="str">
        <f t="shared" si="58"/>
        <v>NO</v>
      </c>
      <c r="F26" s="2069">
        <f t="shared" si="58"/>
        <v>0.16916449387581373</v>
      </c>
      <c r="G26" s="2069">
        <f t="shared" si="58"/>
        <v>206.22809015949557</v>
      </c>
      <c r="H26" s="2069">
        <f t="shared" si="58"/>
        <v>0.23089366863985547</v>
      </c>
      <c r="I26" s="2069">
        <f t="shared" si="58"/>
        <v>589.69315623593263</v>
      </c>
      <c r="J26" s="2069" t="str">
        <f t="shared" si="58"/>
        <v>NO</v>
      </c>
      <c r="K26" s="2069">
        <f t="shared" si="58"/>
        <v>19.739720908714165</v>
      </c>
      <c r="L26" s="2069" t="str">
        <f t="shared" si="58"/>
        <v>NO</v>
      </c>
      <c r="M26" s="2069" t="str">
        <f t="shared" si="58"/>
        <v>NO</v>
      </c>
      <c r="N26" s="2069" t="str">
        <f t="shared" si="58"/>
        <v>NO</v>
      </c>
      <c r="O26" s="2069">
        <f t="shared" si="58"/>
        <v>7.0034370515659079</v>
      </c>
      <c r="P26" s="2069" t="str">
        <f t="shared" si="58"/>
        <v>NO</v>
      </c>
      <c r="Q26" s="2069" t="str">
        <f t="shared" si="58"/>
        <v>NO</v>
      </c>
      <c r="R26" s="2069">
        <f t="shared" si="58"/>
        <v>7.5014187342383408E-4</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6.7570173385243237E-2</v>
      </c>
      <c r="D27" s="2044">
        <f>IF(SUM('Table2(II).B-Hs2'!J14:M14,'Table2(II).B-Hs2'!J27:M27,'Table2(II).B-Hs2'!J40:M40,'Table2(II).B-Hs2'!J53:M53,'Table2(II).B-Hs2'!J66:M66,'Table2(II).B-Hs2'!J79:M79)=0,"NO",SUM('Table2(II).B-Hs2'!J14:M14,'Table2(II).B-Hs2'!J27:M27,'Table2(II).B-Hs2'!J40:M40,'Table2(II).B-Hs2'!J53:M53,'Table2(II).B-Hs2'!J66:M66,'Table2(II).B-Hs2'!J79:M79))</f>
        <v>10.561104560698141</v>
      </c>
      <c r="E27" s="2044" t="s">
        <v>2146</v>
      </c>
      <c r="F27" s="2044">
        <f>IF(SUM('Table2(II).B-Hs2'!J15:M15,'Table2(II).B-Hs2'!J28:M28,'Table2(II).B-Hs2'!J41:M41,'Table2(II).B-Hs2'!J54:M54,'Table2(II).B-Hs2'!J67:M67,'Table2(II).B-Hs2'!J80:M80)=0,"NO",SUM('Table2(II).B-Hs2'!J15:M15,'Table2(II).B-Hs2'!J28:M28,'Table2(II).B-Hs2'!J41:M41,'Table2(II).B-Hs2'!J54:M54,'Table2(II).B-Hs2'!J67:M67,'Table2(II).B-Hs2'!J80:M80))</f>
        <v>0.15678558502622764</v>
      </c>
      <c r="G27" s="2044">
        <f>IF(SUM('Table2(II).B-Hs2'!J16:M16,'Table2(II).B-Hs2'!J29:M29,'Table2(II).B-Hs2'!J42:M42,'Table2(II).B-Hs2'!J55:M55,'Table2(II).B-Hs2'!J68:M68,'Table2(II).B-Hs2'!J81:M81)=0,"NO",SUM('Table2(II).B-Hs2'!J16:M16,'Table2(II).B-Hs2'!J29:M29,'Table2(II).B-Hs2'!J42:M42,'Table2(II).B-Hs2'!J55:M55,'Table2(II).B-Hs2'!J68:M68,'Table2(II).B-Hs2'!J81:M81))</f>
        <v>191.13698757751519</v>
      </c>
      <c r="H27" s="2044">
        <f>IF(SUM('Table2(II).B-Hs2'!J17:M17,'Table2(II).B-Hs2'!J30:M30,'Table2(II).B-Hs2'!J43:M43,'Table2(II).B-Hs2'!J56:M56,'Table2(II).B-Hs2'!J69:M69,'Table2(II).B-Hs2'!J82:M82)=0,"NO",SUM('Table2(II).B-Hs2'!J17:M17,'Table2(II).B-Hs2'!J30:M30,'Table2(II).B-Hs2'!J43:M43,'Table2(II).B-Hs2'!J56:M56,'Table2(II).B-Hs2'!J69:M69,'Table2(II).B-Hs2'!J82:M82))</f>
        <v>0.2139976190460344</v>
      </c>
      <c r="I27" s="2044">
        <f>IF(SUM('Table2(II).B-Hs2'!J18:M18,'Table2(II).B-Hs2'!J31:M31,'Table2(II).B-Hs2'!J44:M44,'Table2(II).B-Hs2'!J57:M57,'Table2(II).B-Hs2'!J70:M70,'Table2(II).B-Hs2'!J83:M83)=0,"NO",SUM('Table2(II).B-Hs2'!J18:M18,'Table2(II).B-Hs2'!J31:M31,'Table2(II).B-Hs2'!J44:M44,'Table2(II).B-Hs2'!J57:M57,'Table2(II).B-Hs2'!J70:M70,'Table2(II).B-Hs2'!J83:M83))</f>
        <v>546.5413241757816</v>
      </c>
      <c r="J27" s="2044" t="s">
        <v>2146</v>
      </c>
      <c r="K27" s="2044">
        <f>IF(SUM('Table2(II).B-Hs2'!J19:M19,'Table2(II).B-Hs2'!J32:M32,'Table2(II).B-Hs2'!J45:M45,'Table2(II).B-Hs2'!J58:M58,'Table2(II).B-Hs2'!J71:M71,'Table2(II).B-Hs2'!J84:M84)=0,"NO",SUM('Table2(II).B-Hs2'!J19:M19,'Table2(II).B-Hs2'!J32:M32,'Table2(II).B-Hs2'!J45:M45,'Table2(II).B-Hs2'!J58:M58,'Table2(II).B-Hs2'!J71:M71,'Table2(II).B-Hs2'!J84:M84))</f>
        <v>18.295232173243267</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f>IF(SUM('Table2(II).B-Hs2'!J21:M21,'Table2(II).B-Hs2'!J34:M34,'Table2(II).B-Hs2'!J47:M47,'Table2(II).B-Hs2'!J60:M60,'Table2(II).B-Hs2'!J73:M73,'Table2(II).B-Hs2'!J86:M86)=0,"NO",SUM('Table2(II).B-Hs2'!J21:M21,'Table2(II).B-Hs2'!J34:M34,'Table2(II).B-Hs2'!J47:M47,'Table2(II).B-Hs2'!J60:M60,'Table2(II).B-Hs2'!J73:M73,'Table2(II).B-Hs2'!J86:M86))</f>
        <v>6.4909482490468937</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6.9524892477594233E-4</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1.3433214092962791E-3</v>
      </c>
      <c r="D28" s="2044">
        <f>IF(SUM('Table2(II).B-Hs2'!J93:M93,'Table2(II).B-Hs2'!J106:M106)=0,"NO",SUM('Table2(II).B-Hs2'!J93:M93,'Table2(II).B-Hs2'!J106:M106))</f>
        <v>0.20995887906513347</v>
      </c>
      <c r="E28" s="2044" t="s">
        <v>2146</v>
      </c>
      <c r="F28" s="2044">
        <f>IF(SUM('Table2(II).B-Hs2'!J94:M94,'Table2(II).B-Hs2'!J107:M107)=0,"NO",SUM('Table2(II).B-Hs2'!J94:M94,'Table2(II).B-Hs2'!J107:M107))</f>
        <v>3.1169585999724957E-3</v>
      </c>
      <c r="G28" s="2044">
        <f>IF(SUM('Table2(II).B-Hs2'!J95:M95,'Table2(II).B-Hs2'!J108:M108)=0,"NO",SUM('Table2(II).B-Hs2'!J95:M95,'Table2(II).B-Hs2'!J108:M108))</f>
        <v>3.7998778848382702</v>
      </c>
      <c r="H28" s="2044">
        <f>IF(SUM('Table2(II).B-Hs2'!J96:M96,'Table2(II).B-Hs2'!J109:M109)=0,"NO",SUM('Table2(II).B-Hs2'!J96:M96,'Table2(II).B-Hs2'!J109:M109))</f>
        <v>4.2543561574721039E-3</v>
      </c>
      <c r="I28" s="2044">
        <f>IF(SUM('Table2(II).B-Hs2'!J97:M97,'Table2(II).B-Hs2'!J110:M110)=0,"NO",SUM('Table2(II).B-Hs2'!J97:M97,'Table2(II).B-Hs2'!J110:M110))</f>
        <v>10.865454756858812</v>
      </c>
      <c r="J28" s="2044" t="s">
        <v>2146</v>
      </c>
      <c r="K28" s="2044">
        <f>IF(SUM('Table2(II).B-Hs2'!J98:M98,'Table2(II).B-Hs2'!J111:M111)=0,"NO",SUM('Table2(II).B-Hs2'!J98:M98,'Table2(II).B-Hs2'!J111:M111))</f>
        <v>0.36371635346034292</v>
      </c>
      <c r="L28" s="2044" t="s">
        <v>2146</v>
      </c>
      <c r="M28" s="2044" t="str">
        <f>IF(SUM('Table2(II).B-Hs2'!J99:M99,'Table2(II).B-Hs2'!J112:M112)=0,"NO",SUM('Table2(II).B-Hs2'!J99:M99,'Table2(II).B-Hs2'!J112:M112))</f>
        <v>NO</v>
      </c>
      <c r="N28" s="2044" t="s">
        <v>2146</v>
      </c>
      <c r="O28" s="2044">
        <f>IF(SUM('Table2(II).B-Hs2'!J100:M100,'Table2(II).B-Hs2'!J113:M113)=0,"NO",SUM('Table2(II).B-Hs2'!J100:M100,'Table2(II).B-Hs2'!J113:M113))</f>
        <v>0.12904258362437679</v>
      </c>
      <c r="P28" s="2044" t="s">
        <v>2146</v>
      </c>
      <c r="Q28" s="2044" t="s">
        <v>2146</v>
      </c>
      <c r="R28" s="2044">
        <f>IF(SUM('Table2(II).B-Hs2'!J101:M101,'Table2(II).B-Hs2'!J114:M114)=0,"NO",SUM('Table2(II).B-Hs2'!J101:M101,'Table2(II).B-Hs2'!J114:M114))</f>
        <v>1.3821819874828149E-5</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3.7026421160881579E-4</v>
      </c>
      <c r="D29" s="2044">
        <f>IF(SUM('Table2(II).B-Hs2'!J119:M119)=0,"NO",SUM('Table2(II).B-Hs2'!J119:M119))</f>
        <v>5.7871674112636877E-2</v>
      </c>
      <c r="E29" s="2044" t="s">
        <v>2146</v>
      </c>
      <c r="F29" s="2044">
        <f>IF(SUM('Table2(II).B-Hs2'!J120:M120)=0,"NO",SUM('Table2(II).B-Hs2'!J120:M120))</f>
        <v>8.5913781366793506E-4</v>
      </c>
      <c r="G29" s="2044">
        <f>IF(SUM('Table2(II).B-Hs2'!J121:M121)=0,"NO",SUM('Table2(II).B-Hs2'!J121:M121))</f>
        <v>1.0473731599174578</v>
      </c>
      <c r="H29" s="2044">
        <f>IF(SUM('Table2(II).B-Hs2'!J122:M122)=0,"NO",SUM('Table2(II).B-Hs2'!J122:M122))</f>
        <v>1.1726425393418934E-3</v>
      </c>
      <c r="I29" s="2044">
        <f>IF(SUM('Table2(II).B-Hs2'!J123:M123)=0,"NO",SUM('Table2(II).B-Hs2'!J123:M123))</f>
        <v>2.9948819481907498</v>
      </c>
      <c r="J29" s="2044" t="s">
        <v>2146</v>
      </c>
      <c r="K29" s="2044">
        <f>IF(SUM('Table2(II).B-Hs2'!J124:M124)=0,"NO",SUM('Table2(II).B-Hs2'!J124:M124))</f>
        <v>0.10025236546611503</v>
      </c>
      <c r="L29" s="2044" t="s">
        <v>2146</v>
      </c>
      <c r="M29" s="2044" t="str">
        <f>IF(SUM('Table2(II).B-Hs2'!J125:M125)=0,"NO",SUM('Table2(II).B-Hs2'!J125:M125))</f>
        <v>NO</v>
      </c>
      <c r="N29" s="2044" t="s">
        <v>2146</v>
      </c>
      <c r="O29" s="2044">
        <f>IF(SUM('Table2(II).B-Hs2'!J126:M126)=0,"NO",SUM('Table2(II).B-Hs2'!J126:M126))</f>
        <v>3.5568442637026715E-2</v>
      </c>
      <c r="P29" s="2044" t="s">
        <v>2146</v>
      </c>
      <c r="Q29" s="2044" t="s">
        <v>2146</v>
      </c>
      <c r="R29" s="2044">
        <f>IF(SUM('Table2(II).B-Hs2'!J127:M127)=0,"NO",SUM('Table2(II).B-Hs2'!J127:M127))</f>
        <v>3.8097548386676206E-6</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1.8316464739090441E-3</v>
      </c>
      <c r="D30" s="2044">
        <f>IF(SUM('Table2(II).B-Hs2'!J133:M133)=0,"NO",SUM('Table2(II).B-Hs2'!J133:M133))</f>
        <v>0.28628326612244703</v>
      </c>
      <c r="E30" s="2044" t="s">
        <v>2146</v>
      </c>
      <c r="F30" s="2044">
        <f>IF(SUM('Table2(II).B-Hs2'!J134:M134)=0,"NO",SUM('Table2(II).B-Hs2'!J134:M134))</f>
        <v>4.250037399426942E-3</v>
      </c>
      <c r="G30" s="2044">
        <f>IF(SUM('Table2(II).B-Hs2'!J135:M135)=0,"NO",SUM('Table2(II).B-Hs2'!J135:M135))</f>
        <v>5.1812119429370975</v>
      </c>
      <c r="H30" s="2044">
        <f>IF(SUM('Table2(II).B-Hs2'!J136:M136)=0,"NO",SUM('Table2(II).B-Hs2'!J136:M136))</f>
        <v>5.8009024501956127E-3</v>
      </c>
      <c r="I30" s="2044">
        <f>IF(SUM('Table2(II).B-Hs2'!J137:M137)=0,"NO",SUM('Table2(II).B-Hs2'!J137:M137))</f>
        <v>14.815271873947507</v>
      </c>
      <c r="J30" s="2044" t="s">
        <v>2146</v>
      </c>
      <c r="K30" s="2044">
        <f>IF(SUM('Table2(II).B-Hs2'!J138:M138)=0,"NO",SUM('Table2(II).B-Hs2'!J138:M138))</f>
        <v>0.49593475672191689</v>
      </c>
      <c r="L30" s="2044" t="s">
        <v>2146</v>
      </c>
      <c r="M30" s="2044" t="str">
        <f>IF(SUM('Table2(II).B-Hs2'!J139:M139)=0,"NO",SUM('Table2(II).B-Hs2'!J139:M139))</f>
        <v>NO</v>
      </c>
      <c r="N30" s="2044" t="s">
        <v>2146</v>
      </c>
      <c r="O30" s="2044">
        <f>IF(SUM('Table2(II).B-Hs2'!J140:M140)=0,"NO",SUM('Table2(II).B-Hs2'!J140:M140))</f>
        <v>0.17595222680439823</v>
      </c>
      <c r="P30" s="2044" t="s">
        <v>2146</v>
      </c>
      <c r="Q30" s="2044" t="s">
        <v>2146</v>
      </c>
      <c r="R30" s="2044">
        <f>IF(SUM('Table2(II).B-Hs2'!J141:M141)=0,"NO",SUM('Table2(II).B-Hs2'!J141:M141))</f>
        <v>1.88463367452749E-5</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1.7897291335842315E-3</v>
      </c>
      <c r="D31" s="2044">
        <f>IF(SUM('Table2(II).B-Hs2'!J148:M148)=0,"NO",SUM('Table2(II).B-Hs2'!J148:M148))</f>
        <v>0.27973165626416308</v>
      </c>
      <c r="E31" s="2044" t="s">
        <v>2146</v>
      </c>
      <c r="F31" s="2044">
        <f>IF(SUM('Table2(II).B-Hs2'!J149:M149)=0,"NO",SUM('Table2(II).B-Hs2'!J149:M149))</f>
        <v>4.1527750365186918E-3</v>
      </c>
      <c r="G31" s="2044">
        <f>IF(SUM('Table2(II).B-Hs2'!J150:M150)=0,"NO",SUM('Table2(II).B-Hs2'!J150:M150))</f>
        <v>5.06263959428754</v>
      </c>
      <c r="H31" s="2044">
        <f>IF(SUM('Table2(II).B-Hs2'!J151:M151)=0,"NO",SUM('Table2(II).B-Hs2'!J151:M151))</f>
        <v>5.6681484468114633E-3</v>
      </c>
      <c r="I31" s="2044">
        <f>IF(SUM('Table2(II).B-Hs2'!J152:M152)=0,"NO",SUM('Table2(II).B-Hs2'!J152:M152))</f>
        <v>14.476223481153932</v>
      </c>
      <c r="J31" s="2044" t="s">
        <v>2146</v>
      </c>
      <c r="K31" s="2044">
        <f>IF(SUM('Table2(II).B-Hs2'!J153:M153)=0,"NO",SUM('Table2(II).B-Hs2'!J153:M153))</f>
        <v>0.48458525982252337</v>
      </c>
      <c r="L31" s="2044" t="s">
        <v>2146</v>
      </c>
      <c r="M31" s="2044" t="str">
        <f>IF(SUM('Table2(II).B-Hs2'!J154:M154)=0,"NO",SUM('Table2(II).B-Hs2'!J154:M154))</f>
        <v>NO</v>
      </c>
      <c r="N31" s="2044" t="s">
        <v>2146</v>
      </c>
      <c r="O31" s="2044">
        <f>IF(SUM('Table2(II).B-Hs2'!J155:M155)=0,"NO",SUM('Table2(II).B-Hs2'!J155:M155))</f>
        <v>0.17192554945321259</v>
      </c>
      <c r="P31" s="2044" t="s">
        <v>2146</v>
      </c>
      <c r="Q31" s="2044" t="s">
        <v>2146</v>
      </c>
      <c r="R31" s="2044">
        <f>IF(SUM('Table2(II).B-Hs2'!J156:M156)=0,"NO",SUM('Table2(II).B-Hs2'!J156:M156))</f>
        <v>1.8415037189121065E-5</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9.5963033265742688</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8.9346719146398446</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0.66163141193442421</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0.904023669209156</v>
      </c>
      <c r="D39" s="4196">
        <f t="shared" ref="D39:AK39" si="72">IF(SUM(D40:D45)=0,"NO",SUM(D40:D45))</f>
        <v>7.714381174549727</v>
      </c>
      <c r="E39" s="4196" t="str">
        <f t="shared" si="72"/>
        <v>NO</v>
      </c>
      <c r="F39" s="4196">
        <f t="shared" si="72"/>
        <v>0.27912141489509262</v>
      </c>
      <c r="G39" s="4196">
        <f t="shared" si="72"/>
        <v>653.7430458056009</v>
      </c>
      <c r="H39" s="4196">
        <f t="shared" si="72"/>
        <v>0.25860090887663811</v>
      </c>
      <c r="I39" s="4196">
        <f t="shared" si="72"/>
        <v>766.60110310671246</v>
      </c>
      <c r="J39" s="4196" t="str">
        <f t="shared" si="72"/>
        <v>NO</v>
      </c>
      <c r="K39" s="4196">
        <f t="shared" si="72"/>
        <v>94.750660361827997</v>
      </c>
      <c r="L39" s="4196" t="str">
        <f t="shared" si="72"/>
        <v>NO</v>
      </c>
      <c r="M39" s="4196" t="str">
        <f t="shared" si="72"/>
        <v>NO</v>
      </c>
      <c r="N39" s="4196" t="str">
        <f t="shared" si="72"/>
        <v>NO</v>
      </c>
      <c r="O39" s="4196">
        <f t="shared" si="72"/>
        <v>23.46151412274579</v>
      </c>
      <c r="P39" s="4196" t="str">
        <f t="shared" si="72"/>
        <v>NO</v>
      </c>
      <c r="Q39" s="4196" t="str">
        <f t="shared" si="72"/>
        <v>NO</v>
      </c>
      <c r="R39" s="4196">
        <f t="shared" si="72"/>
        <v>6.0461434997961033E-3</v>
      </c>
      <c r="S39" s="4196" t="str">
        <f t="shared" si="72"/>
        <v>NO</v>
      </c>
      <c r="T39" s="4196" t="str">
        <f t="shared" si="72"/>
        <v>NO</v>
      </c>
      <c r="U39" s="4196" t="str">
        <f t="shared" si="72"/>
        <v>NO</v>
      </c>
      <c r="V39" s="4196" t="str">
        <f t="shared" si="72"/>
        <v>NO</v>
      </c>
      <c r="W39" s="4196">
        <f t="shared" si="72"/>
        <v>1547.7184967079174</v>
      </c>
      <c r="X39" s="4196">
        <f t="shared" si="72"/>
        <v>1331.170523174995</v>
      </c>
      <c r="Y39" s="4196">
        <f t="shared" si="72"/>
        <v>289.43591324604836</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1620.6064364210433</v>
      </c>
      <c r="AI39" s="4197" t="str">
        <f t="shared" si="72"/>
        <v>NO</v>
      </c>
      <c r="AJ39" s="4197">
        <f t="shared" si="72"/>
        <v>225.51312817449534</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1331.170523174995</v>
      </c>
      <c r="Y41" s="4199">
        <f>IF(SUM(Y16)=0,"NO",Y16*11100/1000)</f>
        <v>289.43591324604836</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1620.6064364210433</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0.904023669209156</v>
      </c>
      <c r="D43" s="4199">
        <f>IF(SUM(D26)=0,"NO",D26*677/1000)</f>
        <v>7.714381174549727</v>
      </c>
      <c r="E43" s="4199" t="str">
        <f>IF(SUM(E26)=0,"NO",E26*116/1000)</f>
        <v>NO</v>
      </c>
      <c r="F43" s="4199">
        <f>IF(SUM(F26)=0,"NO",F26*1650/1000)</f>
        <v>0.27912141489509262</v>
      </c>
      <c r="G43" s="4199">
        <f>IF(SUM(G26)=0,"NO",G26*3170/1000)</f>
        <v>653.7430458056009</v>
      </c>
      <c r="H43" s="4199">
        <f>IF(SUM(H26)=0,"NO",H26*1120/1000)</f>
        <v>0.25860090887663811</v>
      </c>
      <c r="I43" s="4199">
        <f>IF(SUM(I26)=0,"NO",I26*1300/1000)</f>
        <v>766.60110310671246</v>
      </c>
      <c r="J43" s="4199" t="str">
        <f>IF(SUM(J26)=0,"NO",J26*328/1000)</f>
        <v>NO</v>
      </c>
      <c r="K43" s="4199">
        <f>IF(SUM(K26)=0,"NO",K26*4800/1000)</f>
        <v>94.750660361827997</v>
      </c>
      <c r="L43" s="4199" t="str">
        <f>IF(SUM(L26)=0,"NO",L26*16/1000)</f>
        <v>NO</v>
      </c>
      <c r="M43" s="4199" t="str">
        <f>IF(SUM(M26)=0,"NO",M26*138/1000)</f>
        <v>NO</v>
      </c>
      <c r="N43" s="4199" t="str">
        <f>IF(SUM(N26)=0,"NO",N26*4/1000)</f>
        <v>NO</v>
      </c>
      <c r="O43" s="4199">
        <f>IF(SUM(O26)=0,"NO",O26*3350/1000)</f>
        <v>23.46151412274579</v>
      </c>
      <c r="P43" s="4199" t="str">
        <f>IF(SUM(P26)=0,"NO",P26*1210/1000)</f>
        <v>NO</v>
      </c>
      <c r="Q43" s="4199" t="str">
        <f>IF(SUM(Q26)=0,"NO",Q26*1330/1000)</f>
        <v>NO</v>
      </c>
      <c r="R43" s="4199">
        <f>IF(SUM(R26)=0,"NO",R26*8060/1000)</f>
        <v>6.0461434997961033E-3</v>
      </c>
      <c r="S43" s="4199" t="str">
        <f>IF(SUM(S26)=0,"NO",S26*716/1000)</f>
        <v>NO</v>
      </c>
      <c r="T43" s="4199" t="str">
        <f>IF(SUM(T26)=0,"NO",T26*858/1000)</f>
        <v>NO</v>
      </c>
      <c r="U43" s="4199" t="str">
        <f>IF(SUM(U26)=0,"NO",U26*804/1000)</f>
        <v>NO</v>
      </c>
      <c r="V43" s="4199" t="str">
        <f>IF(SUM(V26)=0,"NO",V26*1/1000)</f>
        <v>NO</v>
      </c>
      <c r="W43" s="4199">
        <f t="shared" si="73"/>
        <v>1547.7184967079174</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225.51312817449534</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6238.6898869835768</v>
      </c>
      <c r="I10" s="628"/>
      <c r="J10" s="628"/>
      <c r="K10" s="3192" t="str">
        <f>IF(SUM(K11:K14)=0,"NO",SUM(K11:K14))</f>
        <v>NO</v>
      </c>
      <c r="L10" s="3192" t="str">
        <f>IF(SUM(L11:L14)=0,"NO",SUM(L11:L14))</f>
        <v>NO</v>
      </c>
      <c r="M10" s="628"/>
      <c r="N10" s="1838"/>
    </row>
    <row r="11" spans="2:14" ht="18" customHeight="1" x14ac:dyDescent="0.2">
      <c r="B11" s="287" t="s">
        <v>491</v>
      </c>
      <c r="C11" s="2099" t="s">
        <v>2181</v>
      </c>
      <c r="D11" s="691">
        <v>6425.4099999999989</v>
      </c>
      <c r="E11" s="1913">
        <f>IF(SUM($D11)=0,"NA",H11/$D11)</f>
        <v>0.55107806785870495</v>
      </c>
      <c r="F11" s="628"/>
      <c r="G11" s="628"/>
      <c r="H11" s="3180">
        <v>3540.9025280000005</v>
      </c>
      <c r="I11" s="628"/>
      <c r="J11" s="628"/>
      <c r="K11" s="3180" t="s">
        <v>2146</v>
      </c>
      <c r="L11" s="691" t="s">
        <v>2146</v>
      </c>
      <c r="M11" s="628"/>
      <c r="N11" s="1838"/>
    </row>
    <row r="12" spans="2:14" ht="18" customHeight="1" x14ac:dyDescent="0.2">
      <c r="B12" s="287" t="s">
        <v>492</v>
      </c>
      <c r="C12" s="2100" t="s">
        <v>2182</v>
      </c>
      <c r="D12" s="691">
        <v>1534.6726170699999</v>
      </c>
      <c r="E12" s="1913">
        <f>IF(SUM($D12)=0,"NA",H12/$D12)</f>
        <v>0.74901104293464027</v>
      </c>
      <c r="F12" s="628"/>
      <c r="G12" s="628"/>
      <c r="H12" s="3180">
        <v>1149.4867374748344</v>
      </c>
      <c r="I12" s="628"/>
      <c r="J12" s="628"/>
      <c r="K12" s="3180" t="s">
        <v>2146</v>
      </c>
      <c r="L12" s="691" t="s">
        <v>2146</v>
      </c>
      <c r="M12" s="628"/>
      <c r="N12" s="1838"/>
    </row>
    <row r="13" spans="2:14" ht="18" customHeight="1" x14ac:dyDescent="0.2">
      <c r="B13" s="287" t="s">
        <v>493</v>
      </c>
      <c r="C13" s="2100" t="s">
        <v>2267</v>
      </c>
      <c r="D13" s="691">
        <v>251.80072074794728</v>
      </c>
      <c r="E13" s="1913">
        <f>IF(SUM($D13)=0,"NA",H13/$D13)</f>
        <v>0.39573900000000012</v>
      </c>
      <c r="F13" s="628"/>
      <c r="G13" s="628"/>
      <c r="H13" s="3180">
        <v>99.647365428071936</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1448.6532560806702</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32.241764101300006</v>
      </c>
      <c r="I15" s="628"/>
      <c r="J15" s="628"/>
      <c r="K15" s="3180" t="s">
        <v>2146</v>
      </c>
      <c r="L15" s="691" t="s">
        <v>2146</v>
      </c>
      <c r="M15" s="628"/>
      <c r="N15" s="1838"/>
    </row>
    <row r="16" spans="2:14" ht="18" customHeight="1" x14ac:dyDescent="0.2">
      <c r="B16" s="160" t="s">
        <v>496</v>
      </c>
      <c r="C16" s="484" t="s">
        <v>2316</v>
      </c>
      <c r="D16" s="2905">
        <v>360.40199999999999</v>
      </c>
      <c r="E16" s="1913">
        <f>IF(SUM($D16)=0,"NA",H16/$D16)</f>
        <v>0.41492000000000001</v>
      </c>
      <c r="F16" s="628"/>
      <c r="G16" s="628"/>
      <c r="H16" s="3180">
        <v>149.53799784</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1266.8734941393702</v>
      </c>
      <c r="I18" s="628"/>
      <c r="J18" s="628"/>
      <c r="K18" s="3181" t="str">
        <f>K19</f>
        <v>NO</v>
      </c>
      <c r="L18" s="3193" t="str">
        <f>L19</f>
        <v>NO</v>
      </c>
      <c r="M18" s="628"/>
      <c r="N18" s="1838"/>
    </row>
    <row r="19" spans="2:14" ht="18" customHeight="1" x14ac:dyDescent="0.2">
      <c r="B19" s="3182" t="s">
        <v>2265</v>
      </c>
      <c r="C19" s="484" t="s">
        <v>2267</v>
      </c>
      <c r="D19" s="2905">
        <v>1882.0281752520532</v>
      </c>
      <c r="E19" s="1913">
        <f>IF(SUM($D19)=0,"NA",H19/$D19)</f>
        <v>0.4135390548171991</v>
      </c>
      <c r="F19" s="628"/>
      <c r="G19" s="628"/>
      <c r="H19" s="3180">
        <v>778.29215273307204</v>
      </c>
      <c r="I19" s="628"/>
      <c r="J19" s="628"/>
      <c r="K19" s="3180" t="s">
        <v>2146</v>
      </c>
      <c r="L19" s="3180" t="s">
        <v>2146</v>
      </c>
      <c r="M19" s="628"/>
      <c r="N19" s="1838"/>
    </row>
    <row r="20" spans="2:14" ht="18" customHeight="1" x14ac:dyDescent="0.2">
      <c r="B20" s="3183" t="s">
        <v>2264</v>
      </c>
      <c r="C20" s="484" t="s">
        <v>2267</v>
      </c>
      <c r="D20" s="2905">
        <v>448.07912290375975</v>
      </c>
      <c r="E20" s="1913">
        <f>IF(SUM($D20)=0,"NA",H20/$D20)</f>
        <v>0.51210621499464504</v>
      </c>
      <c r="F20" s="628"/>
      <c r="G20" s="628"/>
      <c r="H20" s="3180">
        <v>229.46410364836476</v>
      </c>
      <c r="I20" s="628"/>
      <c r="J20" s="628"/>
      <c r="K20" s="3180" t="s">
        <v>2146</v>
      </c>
      <c r="L20" s="3180" t="s">
        <v>2146</v>
      </c>
      <c r="M20" s="2135"/>
      <c r="N20" s="2149"/>
    </row>
    <row r="21" spans="2:14" ht="18" customHeight="1" thickBot="1" x14ac:dyDescent="0.25">
      <c r="B21" s="3183" t="s">
        <v>2266</v>
      </c>
      <c r="C21" s="484" t="s">
        <v>2267</v>
      </c>
      <c r="D21" s="2905">
        <v>1093.7630797666666</v>
      </c>
      <c r="E21" s="1913">
        <f>IF(SUM($D21)=0,"NA",H21/$D21)</f>
        <v>0.23690435575244612</v>
      </c>
      <c r="F21" s="628"/>
      <c r="G21" s="628"/>
      <c r="H21" s="3180">
        <v>259.11723775793348</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2174.2159818207588</v>
      </c>
      <c r="I22" s="3067">
        <f>IF(SUM(I23:I26,I30,I33:I35,I47)=0,"IE",SUM(I23:I26,I30,I33:I35,I47))</f>
        <v>0.48708379999999996</v>
      </c>
      <c r="J22" s="3067">
        <f>IF(SUM(J23:J26,J30,J33:J35,J47)=0,"IE",SUM(J23:J26,J30,J33:J35,J47))</f>
        <v>6.9890831464516125</v>
      </c>
      <c r="K22" s="3067">
        <f>IF(SUM(K23:K26,K30,K33:K35,K47)=0,"NO",SUM(K23:K26,K30,K33:K35,K47))</f>
        <v>-169.562409524537</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677.19497030928574</v>
      </c>
      <c r="E23" s="1913">
        <f>IF(SUM($D23)=0,"NA",H23/$D23)</f>
        <v>1.4078925212302915</v>
      </c>
      <c r="F23" s="1913" t="str">
        <f>IFERROR(IF(SUM($D23)=0,"NA",I23/$D23),"NA")</f>
        <v>NA</v>
      </c>
      <c r="G23" s="1913" t="str">
        <f>IFERROR(IF(SUM($D23)=0,"NA",J23/$D23),"NA")</f>
        <v>NA</v>
      </c>
      <c r="H23" s="691">
        <v>953.41773411321265</v>
      </c>
      <c r="I23" s="691" t="s">
        <v>2146</v>
      </c>
      <c r="J23" s="691" t="s">
        <v>2146</v>
      </c>
      <c r="K23" s="3180">
        <v>-169.562409524537</v>
      </c>
      <c r="L23" s="691" t="s">
        <v>2146</v>
      </c>
      <c r="M23" s="691" t="s">
        <v>2146</v>
      </c>
      <c r="N23" s="2911" t="s">
        <v>2146</v>
      </c>
    </row>
    <row r="24" spans="2:14" ht="18" customHeight="1" x14ac:dyDescent="0.2">
      <c r="B24" s="287" t="s">
        <v>500</v>
      </c>
      <c r="C24" s="484" t="s">
        <v>220</v>
      </c>
      <c r="D24" s="691">
        <v>657.274</v>
      </c>
      <c r="E24" s="2108"/>
      <c r="F24" s="2108"/>
      <c r="G24" s="1913">
        <f>IF(SUM($D24)=0,"NA",J24/$D24)</f>
        <v>1.0633439245203085E-2</v>
      </c>
      <c r="H24" s="2108"/>
      <c r="I24" s="2108"/>
      <c r="J24" s="691">
        <v>6.9890831464516125</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1048.8860002651136</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46.86107299999999</v>
      </c>
      <c r="I35" s="3196">
        <f>I46</f>
        <v>0.48708379999999996</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46.86107299999999</v>
      </c>
      <c r="I42" s="3198">
        <f>IF(SUM(I44:I45)=0,"NO",SUM(I44:I45))</f>
        <v>0.48708379999999996</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46.86107299999999</v>
      </c>
      <c r="I45" s="3198">
        <f>I46</f>
        <v>0.48708379999999996</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46.86107299999999</v>
      </c>
      <c r="I46" s="691">
        <v>0.48708379999999996</v>
      </c>
      <c r="J46" s="628"/>
      <c r="K46" s="691" t="s">
        <v>2146</v>
      </c>
      <c r="L46" s="691" t="s">
        <v>2146</v>
      </c>
      <c r="M46" s="691" t="s">
        <v>2146</v>
      </c>
      <c r="N46" s="1838"/>
    </row>
    <row r="47" spans="2:16" ht="18" customHeight="1" x14ac:dyDescent="0.2">
      <c r="B47" s="287" t="s">
        <v>520</v>
      </c>
      <c r="C47" s="2104"/>
      <c r="D47" s="628"/>
      <c r="E47" s="628"/>
      <c r="F47" s="628"/>
      <c r="G47" s="628"/>
      <c r="H47" s="3198">
        <f>H50</f>
        <v>125.05117444243233</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125.05117444243233</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125.05117444243233</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12559.720129267935</v>
      </c>
      <c r="I52" s="3192">
        <f>IF(SUM(I53,I62:I67)=0,"IE",SUM(I53,I62:I67))</f>
        <v>2.7524721717251124</v>
      </c>
      <c r="J52" s="1909">
        <f>J67</f>
        <v>7.8507769504211899E-2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1787.9999999999998</v>
      </c>
      <c r="E63" s="4130">
        <f>IF(SUM($D63)=0,"NA",H63/$D63)</f>
        <v>1.6327518555843987</v>
      </c>
      <c r="F63" s="1892"/>
      <c r="G63" s="2107"/>
      <c r="H63" s="691">
        <v>2919.3603177849045</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9640.3598114830311</v>
      </c>
      <c r="I67" s="3199">
        <f t="shared" ref="I67:N67" si="8">IF(SUM(I69:I70)=0,I70,SUM(I69:I70))</f>
        <v>2.7524721717251124</v>
      </c>
      <c r="J67" s="3199">
        <f t="shared" si="8"/>
        <v>7.8507769504211899E-2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9640.3598114830311</v>
      </c>
      <c r="I70" s="3095">
        <f t="shared" si="9"/>
        <v>2.7524721717251124</v>
      </c>
      <c r="J70" s="3095">
        <f t="shared" si="9"/>
        <v>7.8507769504211899E-2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9640.3598114830311</v>
      </c>
      <c r="I71" s="3123">
        <v>2.7524721717251124</v>
      </c>
      <c r="J71" s="3123">
        <v>7.8507769504211899E-2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291.00466500000005</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543.81443298399995</v>
      </c>
      <c r="E73" s="4130">
        <f t="shared" ref="E73:G74" si="11">IF(SUM($D73)=0,"NA",H73/$D73)</f>
        <v>0.53511758303877521</v>
      </c>
      <c r="F73" s="276" t="s">
        <v>2147</v>
      </c>
      <c r="G73" s="276" t="s">
        <v>2147</v>
      </c>
      <c r="H73" s="3122">
        <v>291.00466500000005</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309.702272727273</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147.45611397335256</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147.45611397335256</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226.85517524851198</v>
      </c>
      <c r="H22" s="2611" t="str">
        <f>H23</f>
        <v>NO</v>
      </c>
    </row>
    <row r="23" spans="2:8" ht="18" customHeight="1" x14ac:dyDescent="0.2">
      <c r="B23" s="169" t="s">
        <v>636</v>
      </c>
      <c r="C23" s="2507"/>
      <c r="D23" s="76"/>
      <c r="E23" s="76"/>
      <c r="F23" s="4322"/>
      <c r="G23" s="3188">
        <f>IF(SUM(G24,G27)=0,"NO",SUM(G24,G27))</f>
        <v>226.85517524851198</v>
      </c>
      <c r="H23" s="2611" t="str">
        <f>H24</f>
        <v>NO</v>
      </c>
    </row>
    <row r="24" spans="2:8" ht="18" customHeight="1" x14ac:dyDescent="0.2">
      <c r="B24" s="171" t="s">
        <v>637</v>
      </c>
      <c r="C24" s="2507"/>
      <c r="D24" s="76"/>
      <c r="E24" s="76"/>
      <c r="F24" s="4322"/>
      <c r="G24" s="3188">
        <f>IF(SUM(G25:G26)=0,"NO",SUM(G25:G26))</f>
        <v>226.85517524851198</v>
      </c>
      <c r="H24" s="2611" t="str">
        <f>H25</f>
        <v>NO</v>
      </c>
    </row>
    <row r="25" spans="2:8" ht="18" customHeight="1" x14ac:dyDescent="0.25">
      <c r="B25" s="2609" t="s">
        <v>1741</v>
      </c>
      <c r="C25" s="2620" t="s">
        <v>1741</v>
      </c>
      <c r="D25" s="73" t="s">
        <v>638</v>
      </c>
      <c r="E25" s="691">
        <v>1787999.9999999998</v>
      </c>
      <c r="F25" s="4320">
        <f t="shared" ref="F25:F28" si="2">IF(SUM(E25)=0,"NA",G25*1000/E25)</f>
        <v>0.11229299091100001</v>
      </c>
      <c r="G25" s="691">
        <v>200.77986774886799</v>
      </c>
      <c r="H25" s="2610" t="s">
        <v>2146</v>
      </c>
    </row>
    <row r="26" spans="2:8" ht="18" customHeight="1" x14ac:dyDescent="0.25">
      <c r="B26" s="2609" t="s">
        <v>1742</v>
      </c>
      <c r="C26" s="2620" t="s">
        <v>1742</v>
      </c>
      <c r="D26" s="73" t="s">
        <v>638</v>
      </c>
      <c r="E26" s="691">
        <v>1787999.9999999998</v>
      </c>
      <c r="F26" s="4320">
        <f t="shared" si="2"/>
        <v>1.4583505313000001E-2</v>
      </c>
      <c r="G26" s="691">
        <v>26.075307499643998</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35.435316074106488</v>
      </c>
      <c r="K10" s="3224">
        <f>IF(SUM(K11,K90,K117,K130,K146,K159)=0,"NO",SUM(K11,K90,K117,K130,K146,K159))</f>
        <v>759.91933579007275</v>
      </c>
      <c r="L10" s="3225">
        <f>IF(SUM(L11,L90,L117,L130,L146,L159)=0,"NO",SUM(L11,L90,L117,L130,L146,L159))</f>
        <v>202.10271866294536</v>
      </c>
      <c r="M10" s="3498">
        <f>IF(SUM(M11,M90,M117,M130,M146,M159)=0,"NO",SUM(M11,M90,M117,M130,M146,M159))</f>
        <v>-162.9243026961511</v>
      </c>
    </row>
    <row r="11" spans="1:13" ht="18" customHeight="1" x14ac:dyDescent="0.2">
      <c r="B11" s="147" t="s">
        <v>667</v>
      </c>
      <c r="C11" s="2508"/>
      <c r="D11" s="2108"/>
      <c r="E11" s="2108"/>
      <c r="F11" s="2108"/>
      <c r="G11" s="2108"/>
      <c r="H11" s="2108"/>
      <c r="I11" s="2108"/>
      <c r="J11" s="3103">
        <f>IF(SUM(J12,J25,J38,J51,J64,J77)=0,"NO",SUM(J12,J25,J38,J51,J64,J77))</f>
        <v>20.972108561357924</v>
      </c>
      <c r="K11" s="3103">
        <f t="shared" ref="K11:M11" si="0">IF(SUM(K12,K25,K38,K51,K64,K77)=0,"NO",SUM(K12,K25,K38,K51,K64,K77))</f>
        <v>719.04958667210724</v>
      </c>
      <c r="L11" s="3103">
        <f t="shared" si="0"/>
        <v>195.57821704156041</v>
      </c>
      <c r="M11" s="3226">
        <f t="shared" si="0"/>
        <v>-162.13526691235819</v>
      </c>
    </row>
    <row r="12" spans="1:13" ht="18" customHeight="1" x14ac:dyDescent="0.2">
      <c r="B12" s="104" t="s">
        <v>668</v>
      </c>
      <c r="C12" s="2508"/>
      <c r="D12" s="2108"/>
      <c r="E12" s="2108"/>
      <c r="F12" s="2108"/>
      <c r="G12" s="2108"/>
      <c r="H12" s="2108"/>
      <c r="I12" s="2108"/>
      <c r="J12" s="3103">
        <f>IF(SUM(J13:J24)=0,"NO",SUM(J13:J24))</f>
        <v>12.061169090974929</v>
      </c>
      <c r="K12" s="3103">
        <f>IF(SUM(K13:K24)=0,"NO",SUM(K13:K24))</f>
        <v>338.24456168625738</v>
      </c>
      <c r="L12" s="3103">
        <f>IF(SUM(L13:L24)=0,"NO",SUM(L13:L24))</f>
        <v>9.9395445851119018</v>
      </c>
      <c r="M12" s="3226">
        <f>IF(SUM(M13:M24)=0,"NO",SUM(M13:M24))</f>
        <v>-3.3102481809707625</v>
      </c>
    </row>
    <row r="13" spans="1:13" ht="18" customHeight="1" x14ac:dyDescent="0.2">
      <c r="B13" s="2616" t="s">
        <v>559</v>
      </c>
      <c r="C13" s="2618" t="s">
        <v>559</v>
      </c>
      <c r="D13" s="3227">
        <v>6.0209625174734258E-2</v>
      </c>
      <c r="E13" s="3227">
        <v>0.22771962733077716</v>
      </c>
      <c r="F13" s="3227">
        <v>1.1575070688627973E-3</v>
      </c>
      <c r="G13" s="3103">
        <f>IF(SUM(D13)=0,"NA",J13/D13)</f>
        <v>1.7500000000000002E-2</v>
      </c>
      <c r="H13" s="3103">
        <f>IF(SUM(E13)=0,"NA",K13/E13)</f>
        <v>0.12976122132496956</v>
      </c>
      <c r="I13" s="3103">
        <f>IF(SUM(F13)=0,"NA",(SUM(L13:M13))/F13)</f>
        <v>0.50033208225800296</v>
      </c>
      <c r="J13" s="3227">
        <v>1.0536684405578495E-3</v>
      </c>
      <c r="K13" s="3227">
        <v>2.9549176962108563E-2</v>
      </c>
      <c r="L13" s="3227">
        <v>8.6832249542764112E-4</v>
      </c>
      <c r="M13" s="3497">
        <v>-2.8918457343516009E-4</v>
      </c>
    </row>
    <row r="14" spans="1:13" ht="18" customHeight="1" x14ac:dyDescent="0.2">
      <c r="B14" s="2616" t="s">
        <v>560</v>
      </c>
      <c r="C14" s="2618" t="s">
        <v>560</v>
      </c>
      <c r="D14" s="3227">
        <v>9.4106632434612436</v>
      </c>
      <c r="E14" s="3227">
        <v>35.592195110287783</v>
      </c>
      <c r="F14" s="3227">
        <v>0.1809164098826623</v>
      </c>
      <c r="G14" s="3103">
        <f t="shared" ref="G14:G24" si="1">IF(SUM(D14)=0,"NA",J14/D14)</f>
        <v>1.7499999999999998E-2</v>
      </c>
      <c r="H14" s="3103">
        <f t="shared" ref="H14:H24" si="2">IF(SUM(E14)=0,"NA",K14/E14)</f>
        <v>0.12976122132496956</v>
      </c>
      <c r="I14" s="3103">
        <f t="shared" ref="I14:I78" si="3">IF(SUM(F14)=0,"NA",(SUM(L14:M14))/F14)</f>
        <v>0.50033208225800396</v>
      </c>
      <c r="J14" s="3227">
        <v>0.16468660676057176</v>
      </c>
      <c r="K14" s="3227">
        <v>4.6184867071475519</v>
      </c>
      <c r="L14" s="3227">
        <v>0.13571734697694904</v>
      </c>
      <c r="M14" s="3497">
        <v>-4.5199062905714085E-2</v>
      </c>
    </row>
    <row r="15" spans="1:13" ht="18" customHeight="1" x14ac:dyDescent="0.2">
      <c r="B15" s="2616" t="s">
        <v>562</v>
      </c>
      <c r="C15" s="2618" t="s">
        <v>562</v>
      </c>
      <c r="D15" s="3227">
        <v>0.13970663140686704</v>
      </c>
      <c r="E15" s="3227">
        <v>0.52838631609618603</v>
      </c>
      <c r="F15" s="3227">
        <v>2.6858066787686426E-3</v>
      </c>
      <c r="G15" s="3103">
        <f t="shared" ref="G15" si="4">IF(SUM(D15)=0,"NA",J15/D15)</f>
        <v>1.7500000000000005E-2</v>
      </c>
      <c r="H15" s="3103">
        <f t="shared" ref="H15" si="5">IF(SUM(E15)=0,"NA",K15/E15)</f>
        <v>0.12976122132496953</v>
      </c>
      <c r="I15" s="3103">
        <f t="shared" si="3"/>
        <v>0.50033208225800185</v>
      </c>
      <c r="J15" s="3227">
        <v>2.4448660496201738E-3</v>
      </c>
      <c r="K15" s="3227">
        <v>6.8564053708042513E-2</v>
      </c>
      <c r="L15" s="3227">
        <v>2.0148009634497061E-3</v>
      </c>
      <c r="M15" s="3497">
        <v>-6.7100571531894288E-4</v>
      </c>
    </row>
    <row r="16" spans="1:13" ht="18" customHeight="1" x14ac:dyDescent="0.2">
      <c r="B16" s="2616" t="s">
        <v>563</v>
      </c>
      <c r="C16" s="2618" t="s">
        <v>563</v>
      </c>
      <c r="D16" s="3227">
        <v>170.31606998337745</v>
      </c>
      <c r="E16" s="3227">
        <v>644.15468245320221</v>
      </c>
      <c r="F16" s="3227">
        <v>3.2742614552833476</v>
      </c>
      <c r="G16" s="3103">
        <f t="shared" si="1"/>
        <v>1.7500000000000002E-2</v>
      </c>
      <c r="H16" s="3103">
        <f t="shared" si="2"/>
        <v>0.12976122132496956</v>
      </c>
      <c r="I16" s="3103">
        <f t="shared" si="3"/>
        <v>0.5003320822579973</v>
      </c>
      <c r="J16" s="3227">
        <v>2.9805312247091056</v>
      </c>
      <c r="K16" s="3227">
        <v>83.586298317325458</v>
      </c>
      <c r="L16" s="3227">
        <v>2.4562397535311788</v>
      </c>
      <c r="M16" s="3497">
        <v>-0.81802170175216127</v>
      </c>
    </row>
    <row r="17" spans="2:13" ht="18" customHeight="1" x14ac:dyDescent="0.2">
      <c r="B17" s="2616" t="s">
        <v>564</v>
      </c>
      <c r="C17" s="2618" t="s">
        <v>564</v>
      </c>
      <c r="D17" s="3227">
        <v>0.19068644914652866</v>
      </c>
      <c r="E17" s="3227">
        <v>0.72119776548448422</v>
      </c>
      <c r="F17" s="3227">
        <v>3.6658742216530904E-3</v>
      </c>
      <c r="G17" s="3103">
        <f t="shared" si="1"/>
        <v>1.7500000000000002E-2</v>
      </c>
      <c r="H17" s="3103">
        <f t="shared" si="2"/>
        <v>0.12976122132496956</v>
      </c>
      <c r="I17" s="3103">
        <f t="shared" si="3"/>
        <v>0.5003320822580013</v>
      </c>
      <c r="J17" s="3227">
        <v>3.3370128600642519E-3</v>
      </c>
      <c r="K17" s="3227">
        <v>9.3583502866105658E-2</v>
      </c>
      <c r="L17" s="3227">
        <v>2.7500143521343584E-3</v>
      </c>
      <c r="M17" s="3497">
        <v>-9.1585986951873792E-4</v>
      </c>
    </row>
    <row r="18" spans="2:13" ht="18" customHeight="1" x14ac:dyDescent="0.2">
      <c r="B18" s="2616" t="s">
        <v>565</v>
      </c>
      <c r="C18" s="2618" t="s">
        <v>565</v>
      </c>
      <c r="D18" s="3227">
        <v>487.00553250782957</v>
      </c>
      <c r="E18" s="3227">
        <v>1841.9101273071344</v>
      </c>
      <c r="F18" s="3227">
        <v>9.3624955282009275</v>
      </c>
      <c r="G18" s="3103">
        <f t="shared" si="1"/>
        <v>1.7500000000000002E-2</v>
      </c>
      <c r="H18" s="3103">
        <f t="shared" si="2"/>
        <v>0.12976122132496956</v>
      </c>
      <c r="I18" s="3103">
        <f t="shared" si="3"/>
        <v>0.50033208225800463</v>
      </c>
      <c r="J18" s="3227">
        <v>8.5225968188870187</v>
      </c>
      <c r="K18" s="3227">
        <v>239.00850769020394</v>
      </c>
      <c r="L18" s="3227">
        <v>7.0234262054785006</v>
      </c>
      <c r="M18" s="3497">
        <v>-2.3390693227224739</v>
      </c>
    </row>
    <row r="19" spans="2:13" ht="18" customHeight="1" x14ac:dyDescent="0.2">
      <c r="B19" s="2616" t="s">
        <v>567</v>
      </c>
      <c r="C19" s="2618" t="s">
        <v>567</v>
      </c>
      <c r="D19" s="3227">
        <v>16.302297544145208</v>
      </c>
      <c r="E19" s="3227">
        <v>61.657137220412459</v>
      </c>
      <c r="F19" s="3227">
        <v>0.31340544956541466</v>
      </c>
      <c r="G19" s="3103">
        <f t="shared" si="1"/>
        <v>1.7500000000000002E-2</v>
      </c>
      <c r="H19" s="3103">
        <f t="shared" si="2"/>
        <v>0.12976122132496956</v>
      </c>
      <c r="I19" s="3103">
        <f t="shared" si="3"/>
        <v>0.50033208225799863</v>
      </c>
      <c r="J19" s="3227">
        <v>0.28529020702254115</v>
      </c>
      <c r="K19" s="3227">
        <v>8.0007054291219593</v>
      </c>
      <c r="L19" s="3227">
        <v>0.2351061253687412</v>
      </c>
      <c r="M19" s="3497">
        <v>-7.829932419667314E-2</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v>5.7838768427529681</v>
      </c>
      <c r="E21" s="3227">
        <v>21.875277836997945</v>
      </c>
      <c r="F21" s="3227">
        <v>0.11119282525824073</v>
      </c>
      <c r="G21" s="3103">
        <f t="shared" si="1"/>
        <v>1.7500000000000005E-2</v>
      </c>
      <c r="H21" s="3103">
        <f t="shared" si="2"/>
        <v>0.12976122132496956</v>
      </c>
      <c r="I21" s="3103">
        <f t="shared" si="3"/>
        <v>0.5003320822580074</v>
      </c>
      <c r="J21" s="3227">
        <v>0.10121784474817697</v>
      </c>
      <c r="K21" s="3227">
        <v>2.838562768951892</v>
      </c>
      <c r="L21" s="3227">
        <v>8.3413081525923971E-2</v>
      </c>
      <c r="M21" s="3497">
        <v>-2.7779743732317629E-2</v>
      </c>
    </row>
    <row r="22" spans="2:13" ht="18" customHeight="1" x14ac:dyDescent="0.2">
      <c r="B22" s="2616" t="s">
        <v>574</v>
      </c>
      <c r="C22" s="2618" t="s">
        <v>574</v>
      </c>
      <c r="D22" s="3227">
        <v>6.1951412978079488E-4</v>
      </c>
      <c r="E22" s="3227">
        <v>0.82229635623130048</v>
      </c>
      <c r="F22" s="3227">
        <v>1.1909922747410949E-5</v>
      </c>
      <c r="G22" s="3103">
        <f t="shared" si="1"/>
        <v>1.7500000000000005E-2</v>
      </c>
      <c r="H22" s="3103">
        <f t="shared" si="2"/>
        <v>3.6974500497446864E-4</v>
      </c>
      <c r="I22" s="3103">
        <f t="shared" si="3"/>
        <v>0.50033208225799464</v>
      </c>
      <c r="J22" s="3227">
        <v>1.0841497271163913E-5</v>
      </c>
      <c r="K22" s="3227">
        <v>3.0403997032522965E-4</v>
      </c>
      <c r="L22" s="3227">
        <v>8.9344195975774336E-6</v>
      </c>
      <c r="M22" s="3497">
        <v>-2.9755031498334576E-6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f>IF(SUM(J26:J37)=0,"NO",SUM(J26:J37))</f>
        <v>2.556632244364631E-2</v>
      </c>
      <c r="K25" s="3103">
        <f>IF(SUM(K26:K37)=0,"NO",SUM(K26:K37))</f>
        <v>6.9364106431728878</v>
      </c>
      <c r="L25" s="3103">
        <f>IF(SUM(L26:L37)=0,"NO",SUM(L26:L37))</f>
        <v>7.5033283693983801</v>
      </c>
      <c r="M25" s="3226">
        <f>IF(SUM(M26:M37)=0,"NO",SUM(M26:M37))</f>
        <v>-2.0486476894731553</v>
      </c>
    </row>
    <row r="26" spans="2:13" ht="18" customHeight="1" x14ac:dyDescent="0.2">
      <c r="B26" s="2616" t="s">
        <v>559</v>
      </c>
      <c r="C26" s="2618" t="s">
        <v>559</v>
      </c>
      <c r="D26" s="3227">
        <v>3.7224731832661938E-4</v>
      </c>
      <c r="E26" s="3227">
        <v>3.6985161273577268E-2</v>
      </c>
      <c r="F26" s="3227">
        <v>8.3446435766564183E-4</v>
      </c>
      <c r="G26" s="3103">
        <f>IF(SUM(D26)=0,"NA",J26/D26)</f>
        <v>6.000000000000001E-3</v>
      </c>
      <c r="H26" s="3103">
        <f>IF(SUM(E26)=0,"NA",K26/E26)</f>
        <v>1.6384071907424483E-2</v>
      </c>
      <c r="I26" s="3103">
        <f t="shared" si="3"/>
        <v>0.57105259124462671</v>
      </c>
      <c r="J26" s="3227">
        <v>2.2334839099597166E-6</v>
      </c>
      <c r="K26" s="3227">
        <v>6.0596754181398127E-4</v>
      </c>
      <c r="L26" s="3227">
        <v>6.5549369570594483E-4</v>
      </c>
      <c r="M26" s="3497">
        <v>-1.7897066195969713E-4</v>
      </c>
    </row>
    <row r="27" spans="2:13" ht="18" customHeight="1" x14ac:dyDescent="0.2">
      <c r="B27" s="2616" t="s">
        <v>560</v>
      </c>
      <c r="C27" s="2618" t="s">
        <v>560</v>
      </c>
      <c r="D27" s="3227">
        <v>5.8181630360378593E-2</v>
      </c>
      <c r="E27" s="3227">
        <v>5.7807185602077782</v>
      </c>
      <c r="F27" s="3227">
        <v>0.13042537693720513</v>
      </c>
      <c r="G27" s="3103">
        <f t="shared" ref="G27:G37" si="6">IF(SUM(D27)=0,"NA",J27/D27)</f>
        <v>6.000000000000001E-3</v>
      </c>
      <c r="H27" s="3103">
        <f t="shared" ref="H27:H37" si="7">IF(SUM(E27)=0,"NA",K27/E27)</f>
        <v>1.6384071907424483E-2</v>
      </c>
      <c r="I27" s="3103">
        <f t="shared" si="3"/>
        <v>0.5710525912446266</v>
      </c>
      <c r="J27" s="3227">
        <v>3.490897821622716E-4</v>
      </c>
      <c r="K27" s="3227">
        <v>9.4711708567027569E-2</v>
      </c>
      <c r="L27" s="3227">
        <v>0.10245256320062665</v>
      </c>
      <c r="M27" s="3497">
        <v>-2.7972813736578499E-2</v>
      </c>
    </row>
    <row r="28" spans="2:13" ht="18" customHeight="1" x14ac:dyDescent="0.2">
      <c r="B28" s="2616" t="s">
        <v>562</v>
      </c>
      <c r="C28" s="2618" t="s">
        <v>562</v>
      </c>
      <c r="D28" s="3227">
        <v>8.6373928990135518E-4</v>
      </c>
      <c r="E28" s="3227">
        <v>8.581804451656759E-2</v>
      </c>
      <c r="F28" s="3227">
        <v>1.9362386678248649E-3</v>
      </c>
      <c r="G28" s="3103">
        <f t="shared" si="6"/>
        <v>6.0000000000000001E-3</v>
      </c>
      <c r="H28" s="3103">
        <f t="shared" si="7"/>
        <v>1.6384071907424486E-2</v>
      </c>
      <c r="I28" s="3103">
        <f t="shared" si="3"/>
        <v>0.57105259124462648</v>
      </c>
      <c r="J28" s="3227">
        <v>5.1824357394081308E-6</v>
      </c>
      <c r="K28" s="3227">
        <v>1.4060490123139989E-3</v>
      </c>
      <c r="L28" s="3227">
        <v>1.5209663881771487E-3</v>
      </c>
      <c r="M28" s="3497">
        <v>-4.1527227964771607E-4</v>
      </c>
    </row>
    <row r="29" spans="2:13" ht="18" customHeight="1" x14ac:dyDescent="0.2">
      <c r="B29" s="2616" t="s">
        <v>563</v>
      </c>
      <c r="C29" s="2618" t="s">
        <v>563</v>
      </c>
      <c r="D29" s="3227">
        <v>1.0529828102275827</v>
      </c>
      <c r="E29" s="3227">
        <v>104.62060339250218</v>
      </c>
      <c r="F29" s="3227">
        <v>2.3604646188439395</v>
      </c>
      <c r="G29" s="3103">
        <f t="shared" si="6"/>
        <v>6.000000000000001E-3</v>
      </c>
      <c r="H29" s="3103">
        <f t="shared" si="7"/>
        <v>1.6384071907424486E-2</v>
      </c>
      <c r="I29" s="3103">
        <f t="shared" si="3"/>
        <v>0.57105259124462637</v>
      </c>
      <c r="J29" s="3227">
        <v>6.3178968613654971E-3</v>
      </c>
      <c r="K29" s="3227">
        <v>1.7141114889808939</v>
      </c>
      <c r="L29" s="3227">
        <v>1.8542070279880152</v>
      </c>
      <c r="M29" s="3497">
        <v>-0.50625759085592414</v>
      </c>
    </row>
    <row r="30" spans="2:13" ht="18" customHeight="1" x14ac:dyDescent="0.2">
      <c r="B30" s="2616" t="s">
        <v>564</v>
      </c>
      <c r="C30" s="2618" t="s">
        <v>564</v>
      </c>
      <c r="D30" s="3227">
        <v>1.1789231228399499E-3</v>
      </c>
      <c r="E30" s="3227">
        <v>0.11713358211254268</v>
      </c>
      <c r="F30" s="3227">
        <v>2.6427841867610897E-3</v>
      </c>
      <c r="G30" s="3103">
        <f t="shared" si="6"/>
        <v>5.9999999999999993E-3</v>
      </c>
      <c r="H30" s="3103">
        <f t="shared" si="7"/>
        <v>1.6384071907424486E-2</v>
      </c>
      <c r="I30" s="3103">
        <f t="shared" si="3"/>
        <v>0.5710525912446266</v>
      </c>
      <c r="J30" s="3227">
        <v>7.0735387370396991E-6</v>
      </c>
      <c r="K30" s="3227">
        <v>1.9191250321061097E-3</v>
      </c>
      <c r="L30" s="3227">
        <v>2.0759764723556665E-3</v>
      </c>
      <c r="M30" s="3497">
        <v>-5.6680771440542328E-4</v>
      </c>
    </row>
    <row r="31" spans="2:13" ht="18" customHeight="1" x14ac:dyDescent="0.2">
      <c r="B31" s="2616" t="s">
        <v>565</v>
      </c>
      <c r="C31" s="2618" t="s">
        <v>565</v>
      </c>
      <c r="D31" s="3227">
        <v>3.0109223061953223</v>
      </c>
      <c r="E31" s="3227">
        <v>299.1544642348116</v>
      </c>
      <c r="F31" s="3227">
        <v>6.749564669841071</v>
      </c>
      <c r="G31" s="3103">
        <f t="shared" si="6"/>
        <v>6.0000000000000001E-3</v>
      </c>
      <c r="H31" s="3103">
        <f t="shared" si="7"/>
        <v>1.6384071907424486E-2</v>
      </c>
      <c r="I31" s="3103">
        <f t="shared" si="3"/>
        <v>0.57105259124462637</v>
      </c>
      <c r="J31" s="3227">
        <v>1.8065533837171934E-2</v>
      </c>
      <c r="K31" s="3227">
        <v>4.9013682534502001</v>
      </c>
      <c r="L31" s="3227">
        <v>5.3019605321634975</v>
      </c>
      <c r="M31" s="3497">
        <v>-1.4476041376775726</v>
      </c>
    </row>
    <row r="32" spans="2:13" ht="18" customHeight="1" x14ac:dyDescent="0.2">
      <c r="B32" s="2616" t="s">
        <v>567</v>
      </c>
      <c r="C32" s="2618" t="s">
        <v>567</v>
      </c>
      <c r="D32" s="3227" t="s">
        <v>2146</v>
      </c>
      <c r="E32" s="3227">
        <v>10.014065061030573</v>
      </c>
      <c r="F32" s="3227">
        <v>0.22593873004806234</v>
      </c>
      <c r="G32" s="3103" t="str">
        <f t="shared" si="6"/>
        <v>NA</v>
      </c>
      <c r="H32" s="3103">
        <f t="shared" si="7"/>
        <v>1.6384071907424486E-2</v>
      </c>
      <c r="I32" s="3103">
        <f t="shared" si="3"/>
        <v>0.57105259124462648</v>
      </c>
      <c r="J32" s="3227">
        <v>6.0473585667667005E-4</v>
      </c>
      <c r="K32" s="3227">
        <v>0.16407116204555208</v>
      </c>
      <c r="L32" s="3227">
        <v>0.17748081365226426</v>
      </c>
      <c r="M32" s="3497">
        <v>-4.8457916395798092E-2</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v>3.5758944487661468E-2</v>
      </c>
      <c r="E34" s="3227">
        <v>3.5528807428200633</v>
      </c>
      <c r="F34" s="3227">
        <v>8.0160589945515115E-2</v>
      </c>
      <c r="G34" s="3103">
        <f t="shared" si="6"/>
        <v>6.0000000000000001E-3</v>
      </c>
      <c r="H34" s="3103">
        <f t="shared" si="7"/>
        <v>1.6384071907424486E-2</v>
      </c>
      <c r="I34" s="3103">
        <f t="shared" si="3"/>
        <v>0.57105259124462604</v>
      </c>
      <c r="J34" s="3227">
        <v>2.145536669259688E-4</v>
      </c>
      <c r="K34" s="3227">
        <v>5.8210653568867642E-2</v>
      </c>
      <c r="L34" s="3227">
        <v>6.29682512747997E-2</v>
      </c>
      <c r="M34" s="3497">
        <v>-1.7192338670715377E-2</v>
      </c>
    </row>
    <row r="35" spans="2:13" ht="18" customHeight="1" x14ac:dyDescent="0.2">
      <c r="B35" s="2616" t="s">
        <v>574</v>
      </c>
      <c r="C35" s="2618" t="s">
        <v>574</v>
      </c>
      <c r="D35" s="3227">
        <v>3.8301595933721571E-6</v>
      </c>
      <c r="E35" s="3227">
        <v>3.8055094903360204E-4</v>
      </c>
      <c r="F35" s="3227">
        <v>8.58604349175143E-6</v>
      </c>
      <c r="G35" s="3103">
        <f t="shared" si="6"/>
        <v>6.000000000000001E-3</v>
      </c>
      <c r="H35" s="3103">
        <f t="shared" si="7"/>
        <v>1.6384071907424486E-2</v>
      </c>
      <c r="I35" s="3103">
        <f t="shared" si="3"/>
        <v>0.57105259124462671</v>
      </c>
      <c r="J35" s="3227">
        <v>2.2980957560232947E-8</v>
      </c>
      <c r="K35" s="3227">
        <v>6.2349741134051664E-6</v>
      </c>
      <c r="L35" s="3227">
        <v>6.7445629381275748E-6</v>
      </c>
      <c r="M35" s="3497">
        <v>-1.8414805536238577E-6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IE</v>
      </c>
      <c r="E41" s="3227" t="str">
        <f t="shared" si="11"/>
        <v>IE</v>
      </c>
      <c r="F41" s="3227" t="str">
        <f t="shared" si="11"/>
        <v>IE</v>
      </c>
      <c r="G41" s="3103" t="str">
        <f t="shared" si="12"/>
        <v>NA</v>
      </c>
      <c r="H41" s="3103" t="str">
        <f t="shared" si="13"/>
        <v>NA</v>
      </c>
      <c r="I41" s="3103" t="str">
        <f t="shared" si="3"/>
        <v>NA</v>
      </c>
      <c r="J41" s="3227" t="str">
        <f t="shared" ref="J41:L41" si="16">IF(J15="NO","NO","IE")</f>
        <v>IE</v>
      </c>
      <c r="K41" s="3227" t="str">
        <f t="shared" si="16"/>
        <v>IE</v>
      </c>
      <c r="L41" s="3227" t="str">
        <f t="shared" si="16"/>
        <v>IE</v>
      </c>
      <c r="M41" s="3497" t="str">
        <f t="shared" ref="M41" si="17">IF(M15="NO","NO","IE")</f>
        <v>IE</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f>IF(SUM(J52:J63)=0,"NO",SUM(J52:J63))</f>
        <v>2.9081288766932931</v>
      </c>
      <c r="K51" s="3103">
        <f>IF(SUM(K52:K63)=0,"NO",SUM(K52:K63))</f>
        <v>38.006348184650669</v>
      </c>
      <c r="L51" s="3103">
        <f>IF(SUM(L52:L63)=0,"NO",SUM(L52:L63))</f>
        <v>4.2590447457609981</v>
      </c>
      <c r="M51" s="3226">
        <f>IF(SUM(M52:M63)=0,"NO",SUM(M52:M63))</f>
        <v>-1.3566640526591527</v>
      </c>
    </row>
    <row r="52" spans="2:13" ht="18" customHeight="1" x14ac:dyDescent="0.2">
      <c r="B52" s="2616" t="s">
        <v>559</v>
      </c>
      <c r="C52" s="2618" t="s">
        <v>559</v>
      </c>
      <c r="D52" s="3227">
        <v>4.9814759612374082E-3</v>
      </c>
      <c r="E52" s="3227">
        <v>1.6756419307516677E-2</v>
      </c>
      <c r="F52" s="3227">
        <v>4.905905130445417E-4</v>
      </c>
      <c r="G52" s="3103">
        <f>IF(SUM(D52)=0,"NA",J52/D52)</f>
        <v>5.1000000000000004E-2</v>
      </c>
      <c r="H52" s="3103">
        <f>IF(SUM(E52)=0,"NA",K52/E52)</f>
        <v>0.19814790704617799</v>
      </c>
      <c r="I52" s="3103">
        <f t="shared" si="3"/>
        <v>0.51683247783759112</v>
      </c>
      <c r="J52" s="3227">
        <v>2.5405527402310785E-4</v>
      </c>
      <c r="K52" s="3227">
        <v>3.3202494153725965E-3</v>
      </c>
      <c r="L52" s="3227">
        <v>3.7207181175248367E-4</v>
      </c>
      <c r="M52" s="3497">
        <v>-1.1851870129205812E-4</v>
      </c>
    </row>
    <row r="53" spans="2:13" ht="18" customHeight="1" x14ac:dyDescent="0.2">
      <c r="B53" s="2616" t="s">
        <v>560</v>
      </c>
      <c r="C53" s="2618" t="s">
        <v>560</v>
      </c>
      <c r="D53" s="3227">
        <v>0.77859632227497155</v>
      </c>
      <c r="E53" s="3227">
        <v>2.6190001816427593</v>
      </c>
      <c r="F53" s="3227">
        <v>7.6678472840525189E-2</v>
      </c>
      <c r="G53" s="3103">
        <f t="shared" ref="G53:G63" si="36">IF(SUM(D53)=0,"NA",J53/D53)</f>
        <v>5.1000000000000018E-2</v>
      </c>
      <c r="H53" s="3103">
        <f t="shared" ref="H53:H63" si="37">IF(SUM(E53)=0,"NA",K53/E53)</f>
        <v>0.19814790704617799</v>
      </c>
      <c r="I53" s="3103">
        <f t="shared" si="3"/>
        <v>0.51683247783759212</v>
      </c>
      <c r="J53" s="3227">
        <v>3.9708412436023563E-2</v>
      </c>
      <c r="K53" s="3227">
        <v>0.51894940454607275</v>
      </c>
      <c r="L53" s="3227">
        <v>5.8154198977748206E-2</v>
      </c>
      <c r="M53" s="3497">
        <v>-1.8524273862777069E-2</v>
      </c>
    </row>
    <row r="54" spans="2:13" ht="18" customHeight="1" x14ac:dyDescent="0.2">
      <c r="B54" s="2616" t="s">
        <v>562</v>
      </c>
      <c r="C54" s="2618" t="s">
        <v>562</v>
      </c>
      <c r="D54" s="3227">
        <v>1.1558703844427892E-2</v>
      </c>
      <c r="E54" s="3227">
        <v>3.8880542589334842E-2</v>
      </c>
      <c r="F54" s="3227">
        <v>1.1383354036620125E-3</v>
      </c>
      <c r="G54" s="3103">
        <f t="shared" si="36"/>
        <v>5.1000000000000011E-2</v>
      </c>
      <c r="H54" s="3103">
        <f t="shared" si="37"/>
        <v>0.19814790704617802</v>
      </c>
      <c r="I54" s="3103">
        <f t="shared" si="3"/>
        <v>0.51683247783759045</v>
      </c>
      <c r="J54" s="3227">
        <v>5.8949389606582263E-4</v>
      </c>
      <c r="K54" s="3227">
        <v>7.7040981388964858E-3</v>
      </c>
      <c r="L54" s="3227">
        <v>8.6333205547345186E-4</v>
      </c>
      <c r="M54" s="3497">
        <v>-2.7500334818856013E-4</v>
      </c>
    </row>
    <row r="55" spans="2:13" ht="18" customHeight="1" x14ac:dyDescent="0.2">
      <c r="B55" s="2616" t="s">
        <v>563</v>
      </c>
      <c r="C55" s="2618" t="s">
        <v>563</v>
      </c>
      <c r="D55" s="3227">
        <v>14.091192329671689</v>
      </c>
      <c r="E55" s="3227">
        <v>47.399190331571816</v>
      </c>
      <c r="F55" s="3227">
        <v>1.3877423735887591</v>
      </c>
      <c r="G55" s="3103">
        <f t="shared" si="36"/>
        <v>5.1000000000000011E-2</v>
      </c>
      <c r="H55" s="3103">
        <f t="shared" si="37"/>
        <v>0.19814790704617802</v>
      </c>
      <c r="I55" s="3103">
        <f t="shared" si="3"/>
        <v>0.51683247783759012</v>
      </c>
      <c r="J55" s="3227">
        <v>0.71865080881325627</v>
      </c>
      <c r="K55" s="3227">
        <v>9.3920503598843919</v>
      </c>
      <c r="L55" s="3227">
        <v>1.0524863515654275</v>
      </c>
      <c r="M55" s="3497">
        <v>-0.33525602202333044</v>
      </c>
    </row>
    <row r="56" spans="2:13" ht="18" customHeight="1" x14ac:dyDescent="0.2">
      <c r="B56" s="2616" t="s">
        <v>564</v>
      </c>
      <c r="C56" s="2618" t="s">
        <v>564</v>
      </c>
      <c r="D56" s="3227">
        <v>1.5776546686687532E-2</v>
      </c>
      <c r="E56" s="3227">
        <v>5.3068294128851334E-2</v>
      </c>
      <c r="F56" s="3227">
        <v>1.5537210644635158E-3</v>
      </c>
      <c r="G56" s="3103">
        <f t="shared" si="36"/>
        <v>5.0999999999999997E-2</v>
      </c>
      <c r="H56" s="3103">
        <f t="shared" si="37"/>
        <v>0.19814790704617799</v>
      </c>
      <c r="I56" s="3103">
        <f t="shared" si="3"/>
        <v>0.51683247783759112</v>
      </c>
      <c r="J56" s="3227">
        <v>8.0460388102106413E-4</v>
      </c>
      <c r="K56" s="3227">
        <v>1.0515371412142867E-2</v>
      </c>
      <c r="L56" s="3227">
        <v>1.1783672860393272E-3</v>
      </c>
      <c r="M56" s="3497">
        <v>-3.7535377842418881E-4</v>
      </c>
    </row>
    <row r="57" spans="2:13" ht="18" customHeight="1" x14ac:dyDescent="0.2">
      <c r="B57" s="2616" t="s">
        <v>565</v>
      </c>
      <c r="C57" s="2618" t="s">
        <v>565</v>
      </c>
      <c r="D57" s="3227">
        <v>40.292666598353115</v>
      </c>
      <c r="E57" s="3227">
        <v>135.53429180299912</v>
      </c>
      <c r="F57" s="3227">
        <v>3.9681411959495869</v>
      </c>
      <c r="G57" s="3103">
        <f t="shared" si="36"/>
        <v>5.1000000000000004E-2</v>
      </c>
      <c r="H57" s="3103">
        <f t="shared" si="37"/>
        <v>0.19814790704617802</v>
      </c>
      <c r="I57" s="3103">
        <f t="shared" si="3"/>
        <v>0.51683247783759056</v>
      </c>
      <c r="J57" s="3227">
        <v>2.0549259965160092</v>
      </c>
      <c r="K57" s="3227">
        <v>26.855836253750237</v>
      </c>
      <c r="L57" s="3227">
        <v>3.009502721330815</v>
      </c>
      <c r="M57" s="3497">
        <v>-0.95863847461877016</v>
      </c>
    </row>
    <row r="58" spans="2:13" ht="18" customHeight="1" x14ac:dyDescent="0.2">
      <c r="B58" s="2616" t="s">
        <v>567</v>
      </c>
      <c r="C58" s="2618" t="s">
        <v>567</v>
      </c>
      <c r="D58" s="3227">
        <v>1.348779420124623</v>
      </c>
      <c r="E58" s="3227">
        <v>4.5369512355015607</v>
      </c>
      <c r="F58" s="3227">
        <v>0.13283179380002291</v>
      </c>
      <c r="G58" s="3103">
        <f t="shared" si="36"/>
        <v>5.1000000000000011E-2</v>
      </c>
      <c r="H58" s="3103">
        <f t="shared" si="37"/>
        <v>0.19814790704617799</v>
      </c>
      <c r="I58" s="3103">
        <f t="shared" si="3"/>
        <v>0.5168324778375909</v>
      </c>
      <c r="J58" s="3227">
        <v>6.8787750426355793E-2</v>
      </c>
      <c r="K58" s="3227">
        <v>0.89898739168520558</v>
      </c>
      <c r="L58" s="3227">
        <v>0.10074178946265033</v>
      </c>
      <c r="M58" s="3497">
        <v>-3.2090004337372559E-2</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v>0.47853218436945355</v>
      </c>
      <c r="E60" s="3227">
        <v>1.6096606700164893</v>
      </c>
      <c r="F60" s="3227">
        <v>4.7127267433369244E-2</v>
      </c>
      <c r="G60" s="3103">
        <f t="shared" si="36"/>
        <v>5.1000000000000004E-2</v>
      </c>
      <c r="H60" s="3103">
        <f t="shared" si="37"/>
        <v>0.19814790704617802</v>
      </c>
      <c r="I60" s="3103">
        <f t="shared" si="3"/>
        <v>0.51683247783759145</v>
      </c>
      <c r="J60" s="3227">
        <v>2.4405141402842133E-2</v>
      </c>
      <c r="K60" s="3227">
        <v>0.31895089281831596</v>
      </c>
      <c r="L60" s="3227">
        <v>3.5742084917336159E-2</v>
      </c>
      <c r="M60" s="3497">
        <v>-1.1385182516033106E-2</v>
      </c>
    </row>
    <row r="61" spans="2:13" ht="18" customHeight="1" x14ac:dyDescent="0.2">
      <c r="B61" s="2616" t="s">
        <v>574</v>
      </c>
      <c r="C61" s="2618" t="s">
        <v>574</v>
      </c>
      <c r="D61" s="3227">
        <v>5.1255837188718439E-5</v>
      </c>
      <c r="E61" s="3227">
        <v>1.7241161185461775E-4</v>
      </c>
      <c r="F61" s="3227">
        <v>5.0478267201543732E-6</v>
      </c>
      <c r="G61" s="3103">
        <f t="shared" si="36"/>
        <v>5.0999999999999997E-2</v>
      </c>
      <c r="H61" s="3103">
        <f t="shared" si="37"/>
        <v>0.19814790704617799</v>
      </c>
      <c r="I61" s="3103">
        <f t="shared" si="3"/>
        <v>0.51683247783759045</v>
      </c>
      <c r="J61" s="3227">
        <v>2.6140476966246403E-6</v>
      </c>
      <c r="K61" s="3227">
        <v>3.4163000039450517E-5</v>
      </c>
      <c r="L61" s="3227">
        <v>3.8283537558132758E-6</v>
      </c>
      <c r="M61" s="3497">
        <v>-1.2194729643410941E-6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f>IF(SUM(J65:J76)=0,"NO",SUM(J65:J76))</f>
        <v>0.81907038453682668</v>
      </c>
      <c r="K64" s="3103">
        <f>IF(SUM(K65:K76)=0,"NO",SUM(K65:K76))</f>
        <v>196.37824953992586</v>
      </c>
      <c r="L64" s="3103">
        <f>IF(SUM(L65:L76)=0,"NO",SUM(L65:L76))</f>
        <v>0.8043960884305682</v>
      </c>
      <c r="M64" s="3226">
        <f>IF(SUM(M65:M76)=0,"NO",SUM(M65:M76))</f>
        <v>-0.185736884222135</v>
      </c>
    </row>
    <row r="65" spans="2:13" ht="18" customHeight="1" x14ac:dyDescent="0.2">
      <c r="B65" s="2616" t="s">
        <v>559</v>
      </c>
      <c r="C65" s="2618" t="s">
        <v>559</v>
      </c>
      <c r="D65" s="3227">
        <v>2.0444088161233751E-2</v>
      </c>
      <c r="E65" s="3227">
        <v>0.17813607132887671</v>
      </c>
      <c r="F65" s="3227">
        <v>1.1289105124535417E-4</v>
      </c>
      <c r="G65" s="3103">
        <f>IF(SUM(D65)=0,"NA",J65/D65)</f>
        <v>3.4999999999999996E-3</v>
      </c>
      <c r="H65" s="3103">
        <f>IF(SUM(E65)=0,"NA",K65/E65)</f>
        <v>9.6306606625823368E-2</v>
      </c>
      <c r="I65" s="3103">
        <f t="shared" si="3"/>
        <v>0.47874750932523213</v>
      </c>
      <c r="J65" s="3227">
        <v>7.1554308564318126E-5</v>
      </c>
      <c r="K65" s="3227">
        <v>1.7155680547339743E-2</v>
      </c>
      <c r="L65" s="3227">
        <v>7.0272356327529678E-5</v>
      </c>
      <c r="M65" s="3497">
        <v>-1.6226046718709227E-5</v>
      </c>
    </row>
    <row r="66" spans="2:13" ht="18" customHeight="1" x14ac:dyDescent="0.2">
      <c r="B66" s="2616" t="s">
        <v>560</v>
      </c>
      <c r="C66" s="2618" t="s">
        <v>560</v>
      </c>
      <c r="D66" s="3227">
        <v>3.1953766270203783</v>
      </c>
      <c r="E66" s="3227">
        <v>27.842368623359377</v>
      </c>
      <c r="F66" s="3227">
        <v>1.7644681616721971E-2</v>
      </c>
      <c r="G66" s="3103">
        <f t="shared" ref="G66:G76" si="38">IF(SUM(D66)=0,"NA",J66/D66)</f>
        <v>3.5000000000000001E-3</v>
      </c>
      <c r="H66" s="3103">
        <f t="shared" ref="H66:H76" si="39">IF(SUM(E66)=0,"NA",K66/E66)</f>
        <v>9.6306606625823382E-2</v>
      </c>
      <c r="I66" s="3103">
        <f t="shared" si="3"/>
        <v>0.47874750932519533</v>
      </c>
      <c r="J66" s="3227">
        <v>1.1183818194571324E-2</v>
      </c>
      <c r="K66" s="3227">
        <v>2.6814040425410393</v>
      </c>
      <c r="L66" s="3227">
        <v>1.0983451214048756E-2</v>
      </c>
      <c r="M66" s="3497">
        <v>-2.5361038372070511E-3</v>
      </c>
    </row>
    <row r="67" spans="2:13" ht="18" customHeight="1" x14ac:dyDescent="0.2">
      <c r="B67" s="2616" t="s">
        <v>562</v>
      </c>
      <c r="C67" s="2618" t="s">
        <v>562</v>
      </c>
      <c r="D67" s="3227">
        <v>4.743717770874803E-2</v>
      </c>
      <c r="E67" s="3227">
        <v>0.41333574798359629</v>
      </c>
      <c r="F67" s="3227">
        <v>2.619453025940224E-4</v>
      </c>
      <c r="G67" s="3103">
        <f t="shared" si="38"/>
        <v>3.4999999999999996E-3</v>
      </c>
      <c r="H67" s="3103">
        <f t="shared" si="39"/>
        <v>9.6306606625823368E-2</v>
      </c>
      <c r="I67" s="3103">
        <f t="shared" si="3"/>
        <v>0.47874750932521842</v>
      </c>
      <c r="J67" s="3227">
        <v>1.6603012198061808E-4</v>
      </c>
      <c r="K67" s="3227">
        <v>3.9806963285446674E-2</v>
      </c>
      <c r="L67" s="3227">
        <v>1.630555605528286E-4</v>
      </c>
      <c r="M67" s="3497">
        <v>-3.7649899356499692E-5</v>
      </c>
    </row>
    <row r="68" spans="2:13" ht="18" customHeight="1" x14ac:dyDescent="0.2">
      <c r="B68" s="2616" t="s">
        <v>563</v>
      </c>
      <c r="C68" s="2618" t="s">
        <v>563</v>
      </c>
      <c r="D68" s="3227">
        <v>57.830566789114606</v>
      </c>
      <c r="E68" s="3227">
        <v>503.89676904589345</v>
      </c>
      <c r="F68" s="3227">
        <v>0.31933698521792281</v>
      </c>
      <c r="G68" s="3103">
        <f t="shared" si="38"/>
        <v>3.5000000000000005E-3</v>
      </c>
      <c r="H68" s="3103">
        <f t="shared" si="39"/>
        <v>9.6306606625823382E-2</v>
      </c>
      <c r="I68" s="3103">
        <f t="shared" si="3"/>
        <v>0.47874750932519078</v>
      </c>
      <c r="J68" s="3227">
        <v>0.20240698376190114</v>
      </c>
      <c r="K68" s="3227">
        <v>48.528587916526234</v>
      </c>
      <c r="L68" s="3227">
        <v>0.19878070197982112</v>
      </c>
      <c r="M68" s="3497">
        <v>-4.5898915671325306E-2</v>
      </c>
    </row>
    <row r="69" spans="2:13" ht="18" customHeight="1" x14ac:dyDescent="0.2">
      <c r="B69" s="2616" t="s">
        <v>564</v>
      </c>
      <c r="C69" s="2618" t="s">
        <v>564</v>
      </c>
      <c r="D69" s="3227">
        <v>6.4747298562159744E-2</v>
      </c>
      <c r="E69" s="3227">
        <v>0.56416453030619906</v>
      </c>
      <c r="F69" s="3227">
        <v>3.5753077086798853E-4</v>
      </c>
      <c r="G69" s="3103">
        <f t="shared" si="38"/>
        <v>3.4999999999999996E-3</v>
      </c>
      <c r="H69" s="3103">
        <f t="shared" si="39"/>
        <v>9.6306606625823368E-2</v>
      </c>
      <c r="I69" s="3103">
        <f t="shared" si="3"/>
        <v>0.47874750932521248</v>
      </c>
      <c r="J69" s="3227">
        <v>2.2661554496755909E-4</v>
      </c>
      <c r="K69" s="3227">
        <v>5.433277149244152E-2</v>
      </c>
      <c r="L69" s="3227">
        <v>2.2255554759505192E-4</v>
      </c>
      <c r="M69" s="3497">
        <v>-5.1388581534879174E-5</v>
      </c>
    </row>
    <row r="70" spans="2:13" ht="18" customHeight="1" x14ac:dyDescent="0.2">
      <c r="B70" s="2616" t="s">
        <v>565</v>
      </c>
      <c r="C70" s="2618" t="s">
        <v>565</v>
      </c>
      <c r="D70" s="3227">
        <v>165.36200005737038</v>
      </c>
      <c r="E70" s="3227">
        <v>1440.8535516473623</v>
      </c>
      <c r="F70" s="3227">
        <v>0.91311922915246801</v>
      </c>
      <c r="G70" s="3103">
        <f t="shared" si="38"/>
        <v>3.5000000000000005E-3</v>
      </c>
      <c r="H70" s="3103">
        <f t="shared" si="39"/>
        <v>9.6306606625823382E-2</v>
      </c>
      <c r="I70" s="3103">
        <f t="shared" si="3"/>
        <v>0.47874750932513982</v>
      </c>
      <c r="J70" s="3227">
        <v>0.57876700020079641</v>
      </c>
      <c r="K70" s="3227">
        <v>138.76371620392302</v>
      </c>
      <c r="L70" s="3227">
        <v>0.56839792997456584</v>
      </c>
      <c r="M70" s="3497">
        <v>-0.13124437330093019</v>
      </c>
    </row>
    <row r="71" spans="2:13" ht="18" customHeight="1" x14ac:dyDescent="0.2">
      <c r="B71" s="2616" t="s">
        <v>567</v>
      </c>
      <c r="C71" s="2618" t="s">
        <v>567</v>
      </c>
      <c r="D71" s="3227">
        <v>5.5354207447055428</v>
      </c>
      <c r="E71" s="3227">
        <v>48.231943476157667</v>
      </c>
      <c r="F71" s="3227">
        <v>3.0566267471888984E-2</v>
      </c>
      <c r="G71" s="3103">
        <f t="shared" si="38"/>
        <v>3.4999999999999996E-3</v>
      </c>
      <c r="H71" s="3103">
        <f t="shared" si="39"/>
        <v>9.6306606625823382E-2</v>
      </c>
      <c r="I71" s="3103">
        <f t="shared" si="3"/>
        <v>0.47874750932515792</v>
      </c>
      <c r="J71" s="3227">
        <v>1.9373972606469399E-2</v>
      </c>
      <c r="K71" s="3227">
        <v>4.6450548071572646</v>
      </c>
      <c r="L71" s="3227">
        <v>1.9026872508420389E-2</v>
      </c>
      <c r="M71" s="3497">
        <v>-4.3933480868869465E-3</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v>1.9639067299256259</v>
      </c>
      <c r="E73" s="3227">
        <v>17.112165950676477</v>
      </c>
      <c r="F73" s="3227">
        <v>1.0844577343856958E-2</v>
      </c>
      <c r="G73" s="3103">
        <f t="shared" si="38"/>
        <v>3.5000000000000001E-3</v>
      </c>
      <c r="H73" s="3103">
        <f t="shared" si="39"/>
        <v>9.6306606625823382E-2</v>
      </c>
      <c r="I73" s="3103">
        <f t="shared" si="3"/>
        <v>0.47874750932518051</v>
      </c>
      <c r="J73" s="3227">
        <v>6.8736735547396911E-3</v>
      </c>
      <c r="K73" s="3227">
        <v>1.6480146347276086</v>
      </c>
      <c r="L73" s="3227">
        <v>6.7505262367753005E-3</v>
      </c>
      <c r="M73" s="3497">
        <v>-1.5587118437195002E-3</v>
      </c>
    </row>
    <row r="74" spans="2:13" ht="18" customHeight="1" x14ac:dyDescent="0.2">
      <c r="B74" s="2616" t="s">
        <v>574</v>
      </c>
      <c r="C74" s="2618" t="s">
        <v>574</v>
      </c>
      <c r="D74" s="3227">
        <v>2.1035509604340398E-4</v>
      </c>
      <c r="E74" s="3227">
        <v>1.832893210871342E-3</v>
      </c>
      <c r="F74" s="3227">
        <v>1.1615684563612364E-6</v>
      </c>
      <c r="G74" s="3103">
        <f t="shared" si="38"/>
        <v>3.5000000000000001E-3</v>
      </c>
      <c r="H74" s="3103">
        <f t="shared" si="39"/>
        <v>9.6306606625823368E-2</v>
      </c>
      <c r="I74" s="3103">
        <f t="shared" si="3"/>
        <v>0.47874750932523019</v>
      </c>
      <c r="J74" s="3227">
        <v>7.3624283615191398E-7</v>
      </c>
      <c r="K74" s="3227">
        <v>1.7651972544652865E-4</v>
      </c>
      <c r="L74" s="3227">
        <v>7.230524613224766E-7</v>
      </c>
      <c r="M74" s="3497">
        <v>-1.6695445592878228E-7</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f>IF(SUM(J78:J89)=0,"NO",SUM(J78:J89))</f>
        <v>5.1581738867092293</v>
      </c>
      <c r="K77" s="3103">
        <f>IF(SUM(K78:K89)=0,"NO",SUM(K78:K89))</f>
        <v>139.48401661810047</v>
      </c>
      <c r="L77" s="3103">
        <f>IF(SUM(L78:L89)=0,"NO",SUM(L78:L89))</f>
        <v>173.07190325285856</v>
      </c>
      <c r="M77" s="3226">
        <f>IF(SUM(M78:M89)=0,"NO",SUM(M78:M89))</f>
        <v>-155.23397010503299</v>
      </c>
    </row>
    <row r="78" spans="2:13" ht="18" customHeight="1" x14ac:dyDescent="0.2">
      <c r="B78" s="2616" t="s">
        <v>559</v>
      </c>
      <c r="C78" s="2618" t="s">
        <v>559</v>
      </c>
      <c r="D78" s="3227">
        <v>7.1284596602648714E-2</v>
      </c>
      <c r="E78" s="3227">
        <v>0.32820997182469869</v>
      </c>
      <c r="F78" s="3227">
        <v>2.209938201552207E-3</v>
      </c>
      <c r="G78" s="3103">
        <f>IF(SUM(D78)=0,"NA",J78/D78)</f>
        <v>6.3214229442057788E-3</v>
      </c>
      <c r="H78" s="3103">
        <f>IF(SUM(E78)=0,"NA",K78/E78)</f>
        <v>3.7126776129352348E-2</v>
      </c>
      <c r="I78" s="3103">
        <f t="shared" si="3"/>
        <v>0.70514587365453119</v>
      </c>
      <c r="J78" s="3227">
        <v>4.5062008453243687E-4</v>
      </c>
      <c r="K78" s="3227">
        <v>1.2185378147356631E-2</v>
      </c>
      <c r="L78" s="3227">
        <v>1.8826506931338954E-3</v>
      </c>
      <c r="M78" s="3497">
        <v>-3.2432188927784079E-4</v>
      </c>
    </row>
    <row r="79" spans="2:13" ht="18" customHeight="1" x14ac:dyDescent="0.2">
      <c r="B79" s="2616" t="s">
        <v>560</v>
      </c>
      <c r="C79" s="2618" t="s">
        <v>560</v>
      </c>
      <c r="D79" s="3227">
        <v>11.141662668164406</v>
      </c>
      <c r="E79" s="3227">
        <v>51.298667098898349</v>
      </c>
      <c r="F79" s="3227">
        <v>0.34540962750246834</v>
      </c>
      <c r="G79" s="3103">
        <f t="shared" ref="G79:G89" si="40">IF(SUM(D79)=0,"NA",J79/D79)</f>
        <v>6.3214229442057788E-3</v>
      </c>
      <c r="H79" s="3103">
        <f t="shared" ref="H79:H89" si="41">IF(SUM(E79)=0,"NA",K79/E79)</f>
        <v>3.7126776129352348E-2</v>
      </c>
      <c r="I79" s="3103">
        <f t="shared" ref="I79:I89" si="42">IF(SUM(F79)=0,"NA",(SUM(L79:M79))/F79)</f>
        <v>0.70514587365454984</v>
      </c>
      <c r="J79" s="3227">
        <v>7.0431162027135452E-2</v>
      </c>
      <c r="K79" s="3227">
        <v>1.9045541291149719</v>
      </c>
      <c r="L79" s="3227">
        <v>70.808842505337125</v>
      </c>
      <c r="M79" s="3497">
        <v>-70.565278331783205</v>
      </c>
    </row>
    <row r="80" spans="2:13" ht="18" customHeight="1" x14ac:dyDescent="0.2">
      <c r="B80" s="2616" t="s">
        <v>562</v>
      </c>
      <c r="C80" s="2618" t="s">
        <v>562</v>
      </c>
      <c r="D80" s="3227">
        <v>0.16540429929021574</v>
      </c>
      <c r="E80" s="3227">
        <v>0.76155779785542854</v>
      </c>
      <c r="F80" s="3227">
        <v>5.1278017569484323E-3</v>
      </c>
      <c r="G80" s="3103">
        <f t="shared" si="40"/>
        <v>6.3214229442057771E-3</v>
      </c>
      <c r="H80" s="3103">
        <f t="shared" si="41"/>
        <v>3.7126776129352355E-2</v>
      </c>
      <c r="I80" s="3103">
        <f t="shared" si="42"/>
        <v>0.70514587365567694</v>
      </c>
      <c r="J80" s="3227">
        <v>1.0455905326034491E-3</v>
      </c>
      <c r="K80" s="3227">
        <v>2.827418587054107E-2</v>
      </c>
      <c r="L80" s="3227">
        <v>70.518955749838412</v>
      </c>
      <c r="M80" s="3497">
        <v>-70.515339901588575</v>
      </c>
    </row>
    <row r="81" spans="2:13" ht="18" customHeight="1" x14ac:dyDescent="0.2">
      <c r="B81" s="2616" t="s">
        <v>563</v>
      </c>
      <c r="C81" s="2618" t="s">
        <v>563</v>
      </c>
      <c r="D81" s="3227">
        <v>201.6440445938573</v>
      </c>
      <c r="E81" s="3227">
        <v>928.41356125888603</v>
      </c>
      <c r="F81" s="3227">
        <v>6.2512926845531762</v>
      </c>
      <c r="G81" s="3103">
        <f t="shared" si="40"/>
        <v>6.3214229442057788E-3</v>
      </c>
      <c r="H81" s="3103">
        <f t="shared" si="41"/>
        <v>3.7126776129352362E-2</v>
      </c>
      <c r="I81" s="3103">
        <f t="shared" si="42"/>
        <v>0.70514587365452996</v>
      </c>
      <c r="J81" s="3227">
        <v>1.2746772900580627</v>
      </c>
      <c r="K81" s="3227">
        <v>34.469002444313425</v>
      </c>
      <c r="L81" s="3227">
        <v>5.3254885124346956</v>
      </c>
      <c r="M81" s="3497">
        <v>-0.91741527091527386</v>
      </c>
    </row>
    <row r="82" spans="2:13" ht="18" customHeight="1" x14ac:dyDescent="0.2">
      <c r="B82" s="2616" t="s">
        <v>564</v>
      </c>
      <c r="C82" s="2618" t="s">
        <v>564</v>
      </c>
      <c r="D82" s="3227">
        <v>0.22576135568945233</v>
      </c>
      <c r="E82" s="3227">
        <v>1.0394549695352795</v>
      </c>
      <c r="F82" s="3227">
        <v>6.9989684749622071E-3</v>
      </c>
      <c r="G82" s="3103">
        <f t="shared" si="40"/>
        <v>6.321422944205778E-3</v>
      </c>
      <c r="H82" s="3103">
        <f t="shared" si="41"/>
        <v>3.7126776129352348E-2</v>
      </c>
      <c r="I82" s="3103">
        <f t="shared" si="42"/>
        <v>0.70514587365453285</v>
      </c>
      <c r="J82" s="3227">
        <v>1.4271330137703056E-3</v>
      </c>
      <c r="K82" s="3227">
        <v>3.8591611950479089E-2</v>
      </c>
      <c r="L82" s="3227">
        <v>5.9624349863516418E-3</v>
      </c>
      <c r="M82" s="3497">
        <v>-1.0271412463938835E-3</v>
      </c>
    </row>
    <row r="83" spans="2:13" ht="18" customHeight="1" x14ac:dyDescent="0.2">
      <c r="B83" s="2616" t="s">
        <v>565</v>
      </c>
      <c r="C83" s="2618" t="s">
        <v>565</v>
      </c>
      <c r="D83" s="3227">
        <v>576.58543509164076</v>
      </c>
      <c r="E83" s="3227">
        <v>2654.7262441676971</v>
      </c>
      <c r="F83" s="3227">
        <v>17.875084382819828</v>
      </c>
      <c r="G83" s="3103">
        <f t="shared" si="40"/>
        <v>6.3214229442057771E-3</v>
      </c>
      <c r="H83" s="3103">
        <f t="shared" si="41"/>
        <v>3.7126776129352355E-2</v>
      </c>
      <c r="I83" s="3103">
        <f t="shared" si="42"/>
        <v>0.70514587365453174</v>
      </c>
      <c r="J83" s="3227">
        <v>3.6448403986831686</v>
      </c>
      <c r="K83" s="3227">
        <v>98.561426951930486</v>
      </c>
      <c r="L83" s="3227">
        <v>20.327819483597281</v>
      </c>
      <c r="M83" s="3497">
        <v>-7.7232774898253176</v>
      </c>
    </row>
    <row r="84" spans="2:13" ht="18" customHeight="1" x14ac:dyDescent="0.2">
      <c r="B84" s="2616" t="s">
        <v>567</v>
      </c>
      <c r="C84" s="2618" t="s">
        <v>567</v>
      </c>
      <c r="D84" s="3227">
        <v>19.300945667045852</v>
      </c>
      <c r="E84" s="3227">
        <v>88.865801806834909</v>
      </c>
      <c r="F84" s="3227">
        <v>0.59836064435417302</v>
      </c>
      <c r="G84" s="3103">
        <f t="shared" si="40"/>
        <v>6.3214229442057788E-3</v>
      </c>
      <c r="H84" s="3103">
        <f t="shared" si="41"/>
        <v>3.7126776129352348E-2</v>
      </c>
      <c r="I84" s="3103">
        <f t="shared" si="42"/>
        <v>0.70514587365453241</v>
      </c>
      <c r="J84" s="3227">
        <v>0.12200944078453275</v>
      </c>
      <c r="K84" s="3227">
        <v>3.2993007292377552</v>
      </c>
      <c r="L84" s="3227">
        <v>5.8801395546895323</v>
      </c>
      <c r="M84" s="3497">
        <v>-5.45820801536592</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v>6.8477643954518532</v>
      </c>
      <c r="E86" s="3227">
        <v>31.528614404895389</v>
      </c>
      <c r="F86" s="3227">
        <v>0.2122918113304692</v>
      </c>
      <c r="G86" s="3103">
        <f t="shared" si="40"/>
        <v>6.3214229442057788E-3</v>
      </c>
      <c r="H86" s="3103">
        <f t="shared" si="41"/>
        <v>3.7126776129352355E-2</v>
      </c>
      <c r="I86" s="3103">
        <f t="shared" si="42"/>
        <v>0.70514587365453196</v>
      </c>
      <c r="J86" s="3227">
        <v>4.3287614965924759E-2</v>
      </c>
      <c r="K86" s="3227">
        <v>1.1705558086792249</v>
      </c>
      <c r="L86" s="3227">
        <v>0.1808570498723443</v>
      </c>
      <c r="M86" s="3497">
        <v>-3.1160355102017548E-2</v>
      </c>
    </row>
    <row r="87" spans="2:13" ht="18" customHeight="1" x14ac:dyDescent="0.2">
      <c r="B87" s="2616" t="s">
        <v>574</v>
      </c>
      <c r="C87" s="2618" t="s">
        <v>574</v>
      </c>
      <c r="D87" s="3227">
        <v>7.3346769229841577E-4</v>
      </c>
      <c r="E87" s="3227">
        <v>3.3770466846500318E-3</v>
      </c>
      <c r="F87" s="3227">
        <v>2.2738689002476311E-5</v>
      </c>
      <c r="G87" s="3103">
        <f t="shared" si="40"/>
        <v>6.321422944205778E-3</v>
      </c>
      <c r="H87" s="3103">
        <f t="shared" si="41"/>
        <v>3.7126776129352355E-2</v>
      </c>
      <c r="I87" s="3103">
        <f t="shared" si="42"/>
        <v>0.70514587365459047</v>
      </c>
      <c r="J87" s="3227">
        <v>4.6365594989288691E-6</v>
      </c>
      <c r="K87" s="3227">
        <v>1.2537885623937331E-4</v>
      </c>
      <c r="L87" s="3227">
        <v>2.1955311409699432E-2</v>
      </c>
      <c r="M87" s="3497">
        <v>-2.1939277316977021E-2</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f>IF(SUM(J91,J104)=0,"NO",SUM(J91,J104))</f>
        <v>14.381495090139476</v>
      </c>
      <c r="K90" s="3103">
        <f t="shared" ref="K90:M90" si="43">IF(SUM(K91,K104)=0,"NO",SUM(K91,K104))</f>
        <v>0.86154458215334362</v>
      </c>
      <c r="L90" s="3103">
        <f t="shared" si="43"/>
        <v>0.13373924354073119</v>
      </c>
      <c r="M90" s="3226" t="str">
        <f t="shared" si="43"/>
        <v>NO</v>
      </c>
    </row>
    <row r="91" spans="2:13" ht="18" customHeight="1" x14ac:dyDescent="0.2">
      <c r="B91" s="104" t="s">
        <v>674</v>
      </c>
      <c r="C91" s="2508"/>
      <c r="D91" s="2108"/>
      <c r="E91" s="2108"/>
      <c r="F91" s="2108"/>
      <c r="G91" s="2108"/>
      <c r="H91" s="2108"/>
      <c r="I91" s="2108"/>
      <c r="J91" s="3103">
        <f>IF(SUM(J92:J103)=0,"NO",SUM(J92:J103))</f>
        <v>14.381495090139476</v>
      </c>
      <c r="K91" s="3103">
        <f>IF(SUM(K92:K103)=0,"NO",SUM(K92:K103))</f>
        <v>0.86154458215334362</v>
      </c>
      <c r="L91" s="3103">
        <f>IF(SUM(L92:L103)=0,"NO",SUM(L92:L103))</f>
        <v>0.13373924354073119</v>
      </c>
      <c r="M91" s="3226" t="str">
        <f>IF(SUM(M92:M103)=0,"NO",SUM(M92:M103))</f>
        <v>NO</v>
      </c>
    </row>
    <row r="92" spans="2:13" ht="18" customHeight="1" x14ac:dyDescent="0.2">
      <c r="B92" s="2616" t="s">
        <v>559</v>
      </c>
      <c r="C92" s="2618" t="s">
        <v>559</v>
      </c>
      <c r="D92" s="3227">
        <v>2.0939550428623723E-3</v>
      </c>
      <c r="E92" s="3227">
        <v>3.0487614921500309E-3</v>
      </c>
      <c r="F92" s="3227">
        <v>1.1683512528515601E-5</v>
      </c>
      <c r="G92" s="3103">
        <f>IF(SUM(D92)=0,"NA",J92/D92)</f>
        <v>0.60000000000000009</v>
      </c>
      <c r="H92" s="3103">
        <f>IF(SUM(E92)=0,"NA",K92/E92)</f>
        <v>2.4687031518907832E-2</v>
      </c>
      <c r="I92" s="3103">
        <f t="shared" ref="I92:I103" si="44">IF(SUM(F92)=0,"NA",(SUM(L92:M92))/F92)</f>
        <v>0.99999999999997002</v>
      </c>
      <c r="J92" s="3227">
        <v>1.2563730257174235E-3</v>
      </c>
      <c r="K92" s="3227">
        <v>7.5264871050340285E-5</v>
      </c>
      <c r="L92" s="3227">
        <v>1.1683512528515251E-5</v>
      </c>
      <c r="M92" s="3497" t="s">
        <v>2146</v>
      </c>
    </row>
    <row r="93" spans="2:13" ht="18" customHeight="1" x14ac:dyDescent="0.2">
      <c r="B93" s="2616" t="s">
        <v>560</v>
      </c>
      <c r="C93" s="2618" t="s">
        <v>560</v>
      </c>
      <c r="D93" s="3227">
        <v>0.32728165468789949</v>
      </c>
      <c r="E93" s="3227">
        <v>0.47651629833257764</v>
      </c>
      <c r="F93" s="3227">
        <v>1.8261133761842249E-3</v>
      </c>
      <c r="G93" s="3103">
        <f t="shared" ref="G93:G103" si="45">IF(SUM(D93)=0,"NA",J93/D93)</f>
        <v>0.6</v>
      </c>
      <c r="H93" s="3103">
        <f t="shared" ref="H93:H103" si="46">IF(SUM(E93)=0,"NA",K93/E93)</f>
        <v>2.4687031518907832E-2</v>
      </c>
      <c r="I93" s="3103">
        <f t="shared" si="44"/>
        <v>0.99999999999994782</v>
      </c>
      <c r="J93" s="3227">
        <v>0.1963689928127397</v>
      </c>
      <c r="K93" s="3227">
        <v>1.1763772876209631E-2</v>
      </c>
      <c r="L93" s="3227">
        <v>1.8261133761841297E-3</v>
      </c>
      <c r="M93" s="3497" t="s">
        <v>2146</v>
      </c>
    </row>
    <row r="94" spans="2:13" ht="18" customHeight="1" x14ac:dyDescent="0.2">
      <c r="B94" s="2616" t="s">
        <v>562</v>
      </c>
      <c r="C94" s="2618" t="s">
        <v>562</v>
      </c>
      <c r="D94" s="3227">
        <v>4.8586817225110737E-3</v>
      </c>
      <c r="E94" s="3227">
        <v>7.0741546188862192E-3</v>
      </c>
      <c r="F94" s="3227">
        <v>2.7109688419780909E-5</v>
      </c>
      <c r="G94" s="3103">
        <f t="shared" si="45"/>
        <v>0.6</v>
      </c>
      <c r="H94" s="3103">
        <f t="shared" si="46"/>
        <v>2.4687031518907835E-2</v>
      </c>
      <c r="I94" s="3103">
        <f t="shared" si="44"/>
        <v>0.99999999999996414</v>
      </c>
      <c r="J94" s="3227">
        <v>2.9152090335066443E-3</v>
      </c>
      <c r="K94" s="3227">
        <v>1.7463987804607154E-4</v>
      </c>
      <c r="L94" s="3227">
        <v>2.7109688419779936E-5</v>
      </c>
      <c r="M94" s="3497" t="s">
        <v>2146</v>
      </c>
    </row>
    <row r="95" spans="2:13" ht="18" customHeight="1" x14ac:dyDescent="0.2">
      <c r="B95" s="2616" t="s">
        <v>563</v>
      </c>
      <c r="C95" s="2618" t="s">
        <v>563</v>
      </c>
      <c r="D95" s="3227">
        <v>5.9232089983487928</v>
      </c>
      <c r="E95" s="3227">
        <v>8.6240874968533241</v>
      </c>
      <c r="F95" s="3227">
        <v>3.3049365972358635E-2</v>
      </c>
      <c r="G95" s="3103">
        <f t="shared" si="45"/>
        <v>0.59999999999999987</v>
      </c>
      <c r="H95" s="3103">
        <f t="shared" si="46"/>
        <v>2.4687031518907835E-2</v>
      </c>
      <c r="I95" s="3103">
        <f t="shared" si="44"/>
        <v>0.9999999999999899</v>
      </c>
      <c r="J95" s="3227">
        <v>3.553925399009275</v>
      </c>
      <c r="K95" s="3227">
        <v>0.21290311985663699</v>
      </c>
      <c r="L95" s="3227">
        <v>3.3049365972358302E-2</v>
      </c>
      <c r="M95" s="3497" t="s">
        <v>2146</v>
      </c>
    </row>
    <row r="96" spans="2:13" ht="18" customHeight="1" x14ac:dyDescent="0.2">
      <c r="B96" s="2616" t="s">
        <v>564</v>
      </c>
      <c r="C96" s="2618" t="s">
        <v>564</v>
      </c>
      <c r="D96" s="3227">
        <v>6.6316448680276202E-3</v>
      </c>
      <c r="E96" s="3227">
        <v>9.655557588103313E-3</v>
      </c>
      <c r="F96" s="3227">
        <v>3.700218214539738E-5</v>
      </c>
      <c r="G96" s="3103">
        <f t="shared" si="45"/>
        <v>0.6</v>
      </c>
      <c r="H96" s="3103">
        <f t="shared" si="46"/>
        <v>2.4687031518907835E-2</v>
      </c>
      <c r="I96" s="3103">
        <f t="shared" si="44"/>
        <v>0.99999999999994948</v>
      </c>
      <c r="J96" s="3227">
        <v>3.9789869208165718E-3</v>
      </c>
      <c r="K96" s="3227">
        <v>2.3836705451013619E-4</v>
      </c>
      <c r="L96" s="3227">
        <v>3.700218214539551E-5</v>
      </c>
      <c r="M96" s="3497" t="s">
        <v>2146</v>
      </c>
    </row>
    <row r="97" spans="2:13" ht="18" customHeight="1" x14ac:dyDescent="0.2">
      <c r="B97" s="2616" t="s">
        <v>565</v>
      </c>
      <c r="C97" s="2618" t="s">
        <v>565</v>
      </c>
      <c r="D97" s="3227">
        <v>16.936954643666663</v>
      </c>
      <c r="E97" s="3227">
        <v>24.659906280182948</v>
      </c>
      <c r="F97" s="3227">
        <v>9.4502087066625731E-2</v>
      </c>
      <c r="G97" s="3103">
        <f t="shared" si="45"/>
        <v>0.6</v>
      </c>
      <c r="H97" s="3103">
        <f t="shared" si="46"/>
        <v>2.4687031518907832E-2</v>
      </c>
      <c r="I97" s="3103">
        <f t="shared" si="44"/>
        <v>0.99999999999998634</v>
      </c>
      <c r="J97" s="3227">
        <v>10.162172786199998</v>
      </c>
      <c r="K97" s="3227">
        <v>0.6087798835921896</v>
      </c>
      <c r="L97" s="3227">
        <v>9.4502087066624441E-2</v>
      </c>
      <c r="M97" s="3497" t="s">
        <v>2146</v>
      </c>
    </row>
    <row r="98" spans="2:13" ht="18" customHeight="1" x14ac:dyDescent="0.2">
      <c r="B98" s="2616" t="s">
        <v>567</v>
      </c>
      <c r="C98" s="2618" t="s">
        <v>567</v>
      </c>
      <c r="D98" s="3227">
        <v>0.56695716098113691</v>
      </c>
      <c r="E98" s="3227">
        <v>0.82547959469806298</v>
      </c>
      <c r="F98" s="3227">
        <v>3.1634160991345236E-3</v>
      </c>
      <c r="G98" s="3103">
        <f t="shared" si="45"/>
        <v>0.6</v>
      </c>
      <c r="H98" s="3103">
        <f t="shared" si="46"/>
        <v>2.4687031518907832E-2</v>
      </c>
      <c r="I98" s="3103">
        <f t="shared" si="44"/>
        <v>0.99999999999997768</v>
      </c>
      <c r="J98" s="3227">
        <v>0.34017429658868215</v>
      </c>
      <c r="K98" s="3227">
        <v>2.0378640772526341E-2</v>
      </c>
      <c r="L98" s="3227">
        <v>3.1634160991344529E-3</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v>0.20115019894293718</v>
      </c>
      <c r="E100" s="3227">
        <v>0.29287113052687058</v>
      </c>
      <c r="F100" s="3227">
        <v>1.1223454283195314E-3</v>
      </c>
      <c r="G100" s="3103">
        <f t="shared" si="45"/>
        <v>0.6</v>
      </c>
      <c r="H100" s="3103">
        <f t="shared" si="46"/>
        <v>2.4687031518907832E-2</v>
      </c>
      <c r="I100" s="3103">
        <f t="shared" si="44"/>
        <v>0.99999999999993638</v>
      </c>
      <c r="J100" s="3227">
        <v>0.12069011936576229</v>
      </c>
      <c r="K100" s="3227">
        <v>7.2301188302950235E-3</v>
      </c>
      <c r="L100" s="3227">
        <v>1.12234542831946E-3</v>
      </c>
      <c r="M100" s="3497" t="s">
        <v>2146</v>
      </c>
    </row>
    <row r="101" spans="2:13" ht="18" customHeight="1" x14ac:dyDescent="0.2">
      <c r="B101" s="2616" t="s">
        <v>574</v>
      </c>
      <c r="C101" s="2618" t="s">
        <v>574</v>
      </c>
      <c r="D101" s="3227">
        <v>2.1545304964352241E-5</v>
      </c>
      <c r="E101" s="3227">
        <v>3.1369582807353197E-5</v>
      </c>
      <c r="F101" s="3227">
        <v>1.2021501671669064E-7</v>
      </c>
      <c r="G101" s="3103">
        <f t="shared" si="45"/>
        <v>0.6</v>
      </c>
      <c r="H101" s="3103">
        <f t="shared" si="46"/>
        <v>2.4687031518907835E-2</v>
      </c>
      <c r="I101" s="3103">
        <f t="shared" si="44"/>
        <v>0.99999999999996825</v>
      </c>
      <c r="J101" s="3227">
        <v>1.2927182978611345E-5</v>
      </c>
      <c r="K101" s="3227">
        <v>7.744218795001177E-7</v>
      </c>
      <c r="L101" s="3227">
        <v>1.2021501671668683E-7</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IE</v>
      </c>
      <c r="E107" s="3227" t="str">
        <f t="shared" si="47"/>
        <v>IE</v>
      </c>
      <c r="F107" s="2108"/>
      <c r="G107" s="3103" t="str">
        <f t="shared" si="48"/>
        <v>NA</v>
      </c>
      <c r="H107" s="3103" t="str">
        <f t="shared" si="49"/>
        <v>NA</v>
      </c>
      <c r="I107" s="2108"/>
      <c r="J107" s="3227" t="str">
        <f t="shared" ref="J107:K107" si="52">IF(J94="NO","NO","IE")</f>
        <v>IE</v>
      </c>
      <c r="K107" s="3227" t="str">
        <f t="shared" si="52"/>
        <v>IE</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8.1712422609085747E-2</v>
      </c>
      <c r="K117" s="3103">
        <f>IF(SUM(K118:K129)=0,"NO",SUM(K118:K129))</f>
        <v>3.925710786620249</v>
      </c>
      <c r="L117" s="3103">
        <f>IF(SUM(L118:L129)=0,"NO",SUM(L118:L129))</f>
        <v>1.019966019207027</v>
      </c>
      <c r="M117" s="3226">
        <f>IF(SUM(M118:M129)=0,"NO",SUM(M118:M129))</f>
        <v>-0.78903578379291806</v>
      </c>
    </row>
    <row r="118" spans="2:13" ht="18" customHeight="1" x14ac:dyDescent="0.2">
      <c r="B118" s="2616" t="s">
        <v>559</v>
      </c>
      <c r="C118" s="2618" t="s">
        <v>559</v>
      </c>
      <c r="D118" s="3227">
        <v>2.0395511829338141E-3</v>
      </c>
      <c r="E118" s="3227">
        <v>7.6812044129028235E-3</v>
      </c>
      <c r="F118" s="3227">
        <v>1.5803510375785783E-4</v>
      </c>
      <c r="G118" s="3103">
        <f>IF(SUM(D118)=0,"NA",J118/D118)</f>
        <v>3.4999999999999996E-3</v>
      </c>
      <c r="H118" s="3103">
        <f>IF(SUM(E118)=0,"NA",K118/E118)</f>
        <v>4.4648157829232996E-2</v>
      </c>
      <c r="I118" s="3103">
        <f t="shared" ref="I118:I129" si="72">IF(SUM(F118)=0,"NA",(SUM(L118:M118))/F118)</f>
        <v>0.12765616652849562</v>
      </c>
      <c r="J118" s="3227">
        <v>7.1384291402683489E-6</v>
      </c>
      <c r="K118" s="3227">
        <v>3.4295162694588624E-4</v>
      </c>
      <c r="L118" s="3227">
        <v>8.9104629640259533E-5</v>
      </c>
      <c r="M118" s="3497">
        <v>-6.893047411759835E-5</v>
      </c>
    </row>
    <row r="119" spans="2:13" ht="18" customHeight="1" x14ac:dyDescent="0.2">
      <c r="B119" s="2616" t="s">
        <v>560</v>
      </c>
      <c r="C119" s="2618" t="s">
        <v>560</v>
      </c>
      <c r="D119" s="3227">
        <v>0.31877842279688057</v>
      </c>
      <c r="E119" s="3227">
        <v>1.2005593428664942</v>
      </c>
      <c r="F119" s="3227">
        <v>2.4700621168037701E-2</v>
      </c>
      <c r="G119" s="3103">
        <f t="shared" ref="G119:G129" si="73">IF(SUM(D119)=0,"NA",J119/D119)</f>
        <v>3.5000000000000001E-3</v>
      </c>
      <c r="H119" s="3103">
        <f t="shared" ref="H119:H129" si="74">IF(SUM(E119)=0,"NA",K119/E119)</f>
        <v>4.4648157829233003E-2</v>
      </c>
      <c r="I119" s="3103">
        <f t="shared" si="72"/>
        <v>0.12765616652849518</v>
      </c>
      <c r="J119" s="3227">
        <v>1.115724479789082E-3</v>
      </c>
      <c r="K119" s="3227">
        <v>5.3602763023663492E-2</v>
      </c>
      <c r="L119" s="3227">
        <v>1.3926903888610995E-2</v>
      </c>
      <c r="M119" s="3497">
        <v>-1.0773717279426701E-2</v>
      </c>
    </row>
    <row r="120" spans="2:13" ht="18" customHeight="1" x14ac:dyDescent="0.2">
      <c r="B120" s="2616" t="s">
        <v>562</v>
      </c>
      <c r="C120" s="2618" t="s">
        <v>562</v>
      </c>
      <c r="D120" s="3227">
        <v>4.7324464240169825E-3</v>
      </c>
      <c r="E120" s="3227">
        <v>1.7822984125211366E-2</v>
      </c>
      <c r="F120" s="3227">
        <v>3.666947257348124E-4</v>
      </c>
      <c r="G120" s="3103">
        <f t="shared" si="73"/>
        <v>3.5000000000000001E-3</v>
      </c>
      <c r="H120" s="3103">
        <f t="shared" si="74"/>
        <v>4.4648157829232996E-2</v>
      </c>
      <c r="I120" s="3103">
        <f t="shared" si="72"/>
        <v>0.12765616652849582</v>
      </c>
      <c r="J120" s="3227">
        <v>1.6563562484059439E-5</v>
      </c>
      <c r="K120" s="3227">
        <v>7.9576340821035127E-4</v>
      </c>
      <c r="L120" s="3227">
        <v>2.0675278435416846E-4</v>
      </c>
      <c r="M120" s="3497">
        <v>-1.5994194138064415E-4</v>
      </c>
    </row>
    <row r="121" spans="2:13" ht="18" customHeight="1" x14ac:dyDescent="0.2">
      <c r="B121" s="2616" t="s">
        <v>563</v>
      </c>
      <c r="C121" s="2618" t="s">
        <v>563</v>
      </c>
      <c r="D121" s="3227">
        <v>5.7693158028992642</v>
      </c>
      <c r="E121" s="3227">
        <v>21.727963669396136</v>
      </c>
      <c r="F121" s="3227">
        <v>0.44703679375749289</v>
      </c>
      <c r="G121" s="3103">
        <f t="shared" si="73"/>
        <v>3.5000000000000001E-3</v>
      </c>
      <c r="H121" s="3103">
        <f t="shared" si="74"/>
        <v>4.4648157829232996E-2</v>
      </c>
      <c r="I121" s="3103">
        <f t="shared" si="72"/>
        <v>0.12765616652849554</v>
      </c>
      <c r="J121" s="3227">
        <v>2.0192605310147424E-2</v>
      </c>
      <c r="K121" s="3227">
        <v>0.97011355121903919</v>
      </c>
      <c r="L121" s="3227">
        <v>0.25205189857288213</v>
      </c>
      <c r="M121" s="3497">
        <v>-0.1949848951846109</v>
      </c>
    </row>
    <row r="122" spans="2:13" ht="18" customHeight="1" x14ac:dyDescent="0.2">
      <c r="B122" s="2616" t="s">
        <v>564</v>
      </c>
      <c r="C122" s="2618" t="s">
        <v>564</v>
      </c>
      <c r="D122" s="3227">
        <v>6.4593455248655365E-3</v>
      </c>
      <c r="E122" s="3227">
        <v>2.4326701759301399E-2</v>
      </c>
      <c r="F122" s="3227">
        <v>5.0050390927752764E-4</v>
      </c>
      <c r="G122" s="3103">
        <f t="shared" si="73"/>
        <v>3.5000000000000005E-3</v>
      </c>
      <c r="H122" s="3103">
        <f t="shared" si="74"/>
        <v>4.4648157829232996E-2</v>
      </c>
      <c r="I122" s="3103">
        <f t="shared" si="72"/>
        <v>0.12765616652849573</v>
      </c>
      <c r="J122" s="3227">
        <v>2.260770933702938E-5</v>
      </c>
      <c r="K122" s="3227">
        <v>1.0861424196139688E-3</v>
      </c>
      <c r="L122" s="3227">
        <v>2.8219815983421151E-4</v>
      </c>
      <c r="M122" s="3497">
        <v>-2.1830574944331632E-4</v>
      </c>
    </row>
    <row r="123" spans="2:13" ht="18" customHeight="1" x14ac:dyDescent="0.2">
      <c r="B123" s="2616" t="s">
        <v>565</v>
      </c>
      <c r="C123" s="2618" t="s">
        <v>565</v>
      </c>
      <c r="D123" s="3227">
        <v>16.496909041354776</v>
      </c>
      <c r="E123" s="3227">
        <v>62.129419250677799</v>
      </c>
      <c r="F123" s="3227">
        <v>1.278266882365878</v>
      </c>
      <c r="G123" s="3103">
        <f t="shared" si="73"/>
        <v>3.5000000000000001E-3</v>
      </c>
      <c r="H123" s="3103">
        <f t="shared" si="74"/>
        <v>4.4648157829233003E-2</v>
      </c>
      <c r="I123" s="3103">
        <f t="shared" si="72"/>
        <v>0.1276561665284951</v>
      </c>
      <c r="J123" s="3227">
        <v>5.7739181644741719E-2</v>
      </c>
      <c r="K123" s="3227">
        <v>2.7739641165428495</v>
      </c>
      <c r="L123" s="3227">
        <v>0.72072276618451836</v>
      </c>
      <c r="M123" s="3497">
        <v>-0.55754411618135957</v>
      </c>
    </row>
    <row r="124" spans="2:13" ht="18" customHeight="1" x14ac:dyDescent="0.2">
      <c r="B124" s="2616" t="s">
        <v>567</v>
      </c>
      <c r="C124" s="2618" t="s">
        <v>567</v>
      </c>
      <c r="D124" s="3227">
        <v>0.55222682659470834</v>
      </c>
      <c r="E124" s="3227">
        <v>2.0797551798925595</v>
      </c>
      <c r="F124" s="3227">
        <v>4.2789425717294868E-2</v>
      </c>
      <c r="G124" s="3103">
        <f t="shared" si="73"/>
        <v>3.5000000000000005E-3</v>
      </c>
      <c r="H124" s="3103">
        <f t="shared" si="74"/>
        <v>4.4648157829232996E-2</v>
      </c>
      <c r="I124" s="3103">
        <f t="shared" si="72"/>
        <v>0.12765616652849565</v>
      </c>
      <c r="J124" s="3227">
        <v>1.9327938930814796E-3</v>
      </c>
      <c r="K124" s="3227">
        <v>9.2857237518007854E-2</v>
      </c>
      <c r="L124" s="3227">
        <v>2.4125879886160287E-2</v>
      </c>
      <c r="M124" s="3497">
        <v>-1.8663545831134599E-2</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v>0.1959240374333118</v>
      </c>
      <c r="E126" s="3227">
        <v>0.73787438801202654</v>
      </c>
      <c r="F126" s="3227">
        <v>1.5181220183890155E-2</v>
      </c>
      <c r="G126" s="3103">
        <f t="shared" si="73"/>
        <v>3.5000000000000009E-3</v>
      </c>
      <c r="H126" s="3103">
        <f t="shared" si="74"/>
        <v>4.4648157829232989E-2</v>
      </c>
      <c r="I126" s="3103">
        <f t="shared" si="72"/>
        <v>0.12765616652849623</v>
      </c>
      <c r="J126" s="3227">
        <v>6.8573413101659147E-4</v>
      </c>
      <c r="K126" s="3227">
        <v>3.2944732134109665E-2</v>
      </c>
      <c r="L126" s="3227">
        <v>8.5595982778953091E-3</v>
      </c>
      <c r="M126" s="3497">
        <v>-6.6216219059948593E-3</v>
      </c>
    </row>
    <row r="127" spans="2:13" ht="18" customHeight="1" x14ac:dyDescent="0.2">
      <c r="B127" s="2616" t="s">
        <v>574</v>
      </c>
      <c r="C127" s="2618" t="s">
        <v>574</v>
      </c>
      <c r="D127" s="3227">
        <v>2.0985528021005645E-5</v>
      </c>
      <c r="E127" s="3227">
        <v>7.9034118776157898E-5</v>
      </c>
      <c r="F127" s="3227">
        <v>1.6260685811485628E-6</v>
      </c>
      <c r="G127" s="3103">
        <f t="shared" si="73"/>
        <v>3.4999999999999996E-3</v>
      </c>
      <c r="H127" s="3103">
        <f t="shared" si="74"/>
        <v>4.4648157829233003E-2</v>
      </c>
      <c r="I127" s="3103">
        <f t="shared" si="72"/>
        <v>0.12765616652849546</v>
      </c>
      <c r="J127" s="3227">
        <v>7.344934807351975E-8</v>
      </c>
      <c r="K127" s="3227">
        <v>3.5287278090122453E-6</v>
      </c>
      <c r="L127" s="3227">
        <v>9.1682313136520927E-7</v>
      </c>
      <c r="M127" s="3497">
        <v>-7.09245449783354E-7</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20.966555499193639</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20.966555499193639</v>
      </c>
      <c r="L131" s="3229"/>
      <c r="M131" s="3226" t="str">
        <f>IF(SUM(M132:M143)=0,"NO",SUM(M132:M143))</f>
        <v>NO</v>
      </c>
    </row>
    <row r="132" spans="2:13" ht="18" customHeight="1" x14ac:dyDescent="0.2">
      <c r="B132" s="2616" t="s">
        <v>559</v>
      </c>
      <c r="C132" s="2618" t="s">
        <v>559</v>
      </c>
      <c r="D132" s="3227" t="s">
        <v>2146</v>
      </c>
      <c r="E132" s="3227">
        <v>2.9110356759931826E-3</v>
      </c>
      <c r="F132" s="3229"/>
      <c r="G132" s="3103" t="str">
        <f>IF(SUM(D132)=0,"NA",J132/D132)</f>
        <v>NA</v>
      </c>
      <c r="H132" s="3103">
        <f>IF(SUM(E132)=0,"NA",K132/E132)</f>
        <v>0.62920784139278052</v>
      </c>
      <c r="I132" s="4327"/>
      <c r="J132" s="3227" t="s">
        <v>2146</v>
      </c>
      <c r="K132" s="3227">
        <v>1.8316464739090441E-3</v>
      </c>
      <c r="L132" s="3229"/>
      <c r="M132" s="3497" t="s">
        <v>2146</v>
      </c>
    </row>
    <row r="133" spans="2:13" ht="18" customHeight="1" x14ac:dyDescent="0.2">
      <c r="B133" s="2616" t="s">
        <v>560</v>
      </c>
      <c r="C133" s="2618" t="s">
        <v>560</v>
      </c>
      <c r="D133" s="3227" t="s">
        <v>2146</v>
      </c>
      <c r="E133" s="3227">
        <v>0.45498998469050517</v>
      </c>
      <c r="F133" s="3229"/>
      <c r="G133" s="3103" t="str">
        <f t="shared" ref="G133:G143" si="75">IF(SUM(D133)=0,"NA",J133/D133)</f>
        <v>NA</v>
      </c>
      <c r="H133" s="3103">
        <f t="shared" ref="H133:H143" si="76">IF(SUM(E133)=0,"NA",K133/E133)</f>
        <v>0.62920784139278052</v>
      </c>
      <c r="I133" s="4327"/>
      <c r="J133" s="3227" t="s">
        <v>2146</v>
      </c>
      <c r="K133" s="3227">
        <v>0.28628326612244703</v>
      </c>
      <c r="L133" s="3229"/>
      <c r="M133" s="3497" t="s">
        <v>2146</v>
      </c>
    </row>
    <row r="134" spans="2:13" ht="18" customHeight="1" x14ac:dyDescent="0.2">
      <c r="B134" s="2616" t="s">
        <v>562</v>
      </c>
      <c r="C134" s="2618" t="s">
        <v>562</v>
      </c>
      <c r="D134" s="3227" t="s">
        <v>2146</v>
      </c>
      <c r="E134" s="3227">
        <v>6.7545842881094565E-3</v>
      </c>
      <c r="F134" s="3229"/>
      <c r="G134" s="3103" t="str">
        <f t="shared" si="75"/>
        <v>NA</v>
      </c>
      <c r="H134" s="3103">
        <f t="shared" si="76"/>
        <v>0.62920784139278052</v>
      </c>
      <c r="I134" s="4327"/>
      <c r="J134" s="3227" t="s">
        <v>2146</v>
      </c>
      <c r="K134" s="3227">
        <v>4.250037399426942E-3</v>
      </c>
      <c r="L134" s="3229"/>
      <c r="M134" s="3497" t="s">
        <v>2146</v>
      </c>
    </row>
    <row r="135" spans="2:13" ht="18" customHeight="1" x14ac:dyDescent="0.2">
      <c r="B135" s="2616" t="s">
        <v>563</v>
      </c>
      <c r="C135" s="2618" t="s">
        <v>563</v>
      </c>
      <c r="D135" s="3227" t="s">
        <v>2146</v>
      </c>
      <c r="E135" s="3227">
        <v>8.2344999570702218</v>
      </c>
      <c r="F135" s="3229"/>
      <c r="G135" s="3103" t="str">
        <f t="shared" si="75"/>
        <v>NA</v>
      </c>
      <c r="H135" s="3103">
        <f t="shared" si="76"/>
        <v>0.62920784139278041</v>
      </c>
      <c r="I135" s="4327"/>
      <c r="J135" s="3227" t="s">
        <v>2146</v>
      </c>
      <c r="K135" s="3227">
        <v>5.1812119429370975</v>
      </c>
      <c r="L135" s="3229"/>
      <c r="M135" s="3497" t="s">
        <v>2146</v>
      </c>
    </row>
    <row r="136" spans="2:13" ht="18" customHeight="1" x14ac:dyDescent="0.2">
      <c r="B136" s="2616" t="s">
        <v>564</v>
      </c>
      <c r="C136" s="2618" t="s">
        <v>564</v>
      </c>
      <c r="D136" s="3227" t="s">
        <v>2146</v>
      </c>
      <c r="E136" s="3227">
        <v>9.2193740582683301E-3</v>
      </c>
      <c r="F136" s="3229"/>
      <c r="G136" s="3103" t="str">
        <f t="shared" si="75"/>
        <v>NA</v>
      </c>
      <c r="H136" s="3103">
        <f t="shared" si="76"/>
        <v>0.6292078413927803</v>
      </c>
      <c r="I136" s="4327"/>
      <c r="J136" s="3227" t="s">
        <v>2146</v>
      </c>
      <c r="K136" s="3227">
        <v>5.8009024501956127E-3</v>
      </c>
      <c r="L136" s="3229"/>
      <c r="M136" s="3497" t="s">
        <v>2146</v>
      </c>
    </row>
    <row r="137" spans="2:13" ht="18" customHeight="1" x14ac:dyDescent="0.2">
      <c r="B137" s="2616" t="s">
        <v>565</v>
      </c>
      <c r="C137" s="2618" t="s">
        <v>565</v>
      </c>
      <c r="D137" s="3227" t="s">
        <v>2146</v>
      </c>
      <c r="E137" s="3227">
        <v>23.54591106358945</v>
      </c>
      <c r="F137" s="3229"/>
      <c r="G137" s="3103" t="str">
        <f t="shared" si="75"/>
        <v>NA</v>
      </c>
      <c r="H137" s="3103">
        <f t="shared" si="76"/>
        <v>0.62920784139278052</v>
      </c>
      <c r="I137" s="4327"/>
      <c r="J137" s="3227" t="s">
        <v>2146</v>
      </c>
      <c r="K137" s="3227">
        <v>14.815271873947507</v>
      </c>
      <c r="L137" s="3229"/>
      <c r="M137" s="3497" t="s">
        <v>2146</v>
      </c>
    </row>
    <row r="138" spans="2:13" ht="18" customHeight="1" x14ac:dyDescent="0.2">
      <c r="B138" s="2616" t="s">
        <v>567</v>
      </c>
      <c r="C138" s="2618" t="s">
        <v>567</v>
      </c>
      <c r="D138" s="3227" t="s">
        <v>2146</v>
      </c>
      <c r="E138" s="3227">
        <v>0.78818909126139058</v>
      </c>
      <c r="F138" s="3229"/>
      <c r="G138" s="3103" t="str">
        <f t="shared" si="75"/>
        <v>NA</v>
      </c>
      <c r="H138" s="3103">
        <f t="shared" si="76"/>
        <v>0.62920784139278052</v>
      </c>
      <c r="I138" s="4327"/>
      <c r="J138" s="3227" t="s">
        <v>2146</v>
      </c>
      <c r="K138" s="3227">
        <v>0.49593475672191689</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v>0.27964086781709502</v>
      </c>
      <c r="F140" s="3229"/>
      <c r="G140" s="3103" t="str">
        <f t="shared" si="75"/>
        <v>NA</v>
      </c>
      <c r="H140" s="3103">
        <f t="shared" si="76"/>
        <v>0.62920784139278052</v>
      </c>
      <c r="I140" s="4327"/>
      <c r="J140" s="3227" t="s">
        <v>2146</v>
      </c>
      <c r="K140" s="3227">
        <v>0.17595222680439823</v>
      </c>
      <c r="L140" s="3229"/>
      <c r="M140" s="3497" t="s">
        <v>2146</v>
      </c>
    </row>
    <row r="141" spans="2:13" ht="18" customHeight="1" x14ac:dyDescent="0.2">
      <c r="B141" s="2616" t="s">
        <v>574</v>
      </c>
      <c r="C141" s="2618" t="s">
        <v>574</v>
      </c>
      <c r="D141" s="3227" t="s">
        <v>2146</v>
      </c>
      <c r="E141" s="3227">
        <v>2.9952482320559875E-5</v>
      </c>
      <c r="F141" s="3229"/>
      <c r="G141" s="3103" t="str">
        <f t="shared" si="75"/>
        <v>NA</v>
      </c>
      <c r="H141" s="3103">
        <f t="shared" si="76"/>
        <v>0.62920784139278052</v>
      </c>
      <c r="I141" s="4327"/>
      <c r="J141" s="3227" t="s">
        <v>2146</v>
      </c>
      <c r="K141" s="3227">
        <v>1.88463367452749E-5</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15.115938249998294</v>
      </c>
      <c r="L146" s="3103">
        <f>IF(SUM(L147:L158)=0,"NO",SUM(L147:L158))</f>
        <v>5.3707963586371807</v>
      </c>
      <c r="M146" s="3226" t="str">
        <f>IF(SUM(M147:M158)=0,"NO",SUM(M147:M158))</f>
        <v>NO</v>
      </c>
    </row>
    <row r="147" spans="2:13" ht="18" customHeight="1" x14ac:dyDescent="0.2">
      <c r="B147" s="2616" t="s">
        <v>559</v>
      </c>
      <c r="C147" s="2618" t="s">
        <v>559</v>
      </c>
      <c r="D147" s="3227">
        <v>2.4205006294189418E-3</v>
      </c>
      <c r="E147" s="3227">
        <v>3.8513188484990148E-3</v>
      </c>
      <c r="F147" s="3227">
        <v>4.6919486668945971E-4</v>
      </c>
      <c r="G147" s="3103" t="str">
        <f>IFERROR(J147/D147,"NA")</f>
        <v>NA</v>
      </c>
      <c r="H147" s="3103">
        <f>IF(SUM(E147)=0,"NA",K147/E147)</f>
        <v>0.34287845770272363</v>
      </c>
      <c r="I147" s="3103">
        <f t="shared" ref="I147:I158" si="77">IF(SUM(F147)=0,"NA",(SUM(L147:M147))/F147)</f>
        <v>1.0000000000000002</v>
      </c>
      <c r="J147" s="3227" t="s">
        <v>2146</v>
      </c>
      <c r="K147" s="3227">
        <v>1.3205342668947716E-3</v>
      </c>
      <c r="L147" s="3227">
        <v>4.6919486668945982E-4</v>
      </c>
      <c r="M147" s="3497" t="s">
        <v>2146</v>
      </c>
    </row>
    <row r="148" spans="2:13" ht="18" customHeight="1" x14ac:dyDescent="0.2">
      <c r="B148" s="2616" t="s">
        <v>560</v>
      </c>
      <c r="C148" s="2618" t="s">
        <v>560</v>
      </c>
      <c r="D148" s="3227">
        <v>0.37832018116608673</v>
      </c>
      <c r="E148" s="3227">
        <v>0.60195466457791524</v>
      </c>
      <c r="F148" s="3227">
        <v>7.3334369266727206E-2</v>
      </c>
      <c r="G148" s="3103" t="str">
        <f t="shared" ref="G148:G158" si="78">IFERROR(J148/D148,"NA")</f>
        <v>NA</v>
      </c>
      <c r="H148" s="3103">
        <f t="shared" ref="H148:H158" si="79">IF(SUM(E148)=0,"NA",K148/E148)</f>
        <v>0.34287845770272363</v>
      </c>
      <c r="I148" s="3103">
        <f t="shared" si="77"/>
        <v>0.99999999999999967</v>
      </c>
      <c r="J148" s="3227" t="s">
        <v>2146</v>
      </c>
      <c r="K148" s="3227">
        <v>0.2063972869974359</v>
      </c>
      <c r="L148" s="3227">
        <v>7.3334369266727178E-2</v>
      </c>
      <c r="M148" s="3497" t="s">
        <v>2146</v>
      </c>
    </row>
    <row r="149" spans="2:13" ht="18" customHeight="1" x14ac:dyDescent="0.2">
      <c r="B149" s="2616" t="s">
        <v>562</v>
      </c>
      <c r="C149" s="2618" t="s">
        <v>562</v>
      </c>
      <c r="D149" s="3227">
        <v>5.6163775853602851E-3</v>
      </c>
      <c r="E149" s="3227">
        <v>8.9363582855080653E-3</v>
      </c>
      <c r="F149" s="3227">
        <v>1.0886902901047297E-3</v>
      </c>
      <c r="G149" s="3103" t="str">
        <f t="shared" si="78"/>
        <v>NA</v>
      </c>
      <c r="H149" s="3103">
        <f t="shared" si="79"/>
        <v>0.34287845770272368</v>
      </c>
      <c r="I149" s="3103">
        <f t="shared" si="77"/>
        <v>1.0000000000000007</v>
      </c>
      <c r="J149" s="3227" t="s">
        <v>2146</v>
      </c>
      <c r="K149" s="3227">
        <v>3.0640847464139614E-3</v>
      </c>
      <c r="L149" s="3227">
        <v>1.0886902901047304E-3</v>
      </c>
      <c r="M149" s="3497" t="s">
        <v>2146</v>
      </c>
    </row>
    <row r="150" spans="2:13" ht="18" customHeight="1" x14ac:dyDescent="0.2">
      <c r="B150" s="2616" t="s">
        <v>563</v>
      </c>
      <c r="C150" s="2618" t="s">
        <v>563</v>
      </c>
      <c r="D150" s="3227">
        <v>6.8469144825023438</v>
      </c>
      <c r="E150" s="3227">
        <v>10.894296196424611</v>
      </c>
      <c r="F150" s="3227">
        <v>1.3272201167008206</v>
      </c>
      <c r="G150" s="3103" t="str">
        <f t="shared" si="78"/>
        <v>NA</v>
      </c>
      <c r="H150" s="3103">
        <f t="shared" si="79"/>
        <v>0.34287845770272357</v>
      </c>
      <c r="I150" s="3103">
        <f t="shared" si="77"/>
        <v>1.0000000000000011</v>
      </c>
      <c r="J150" s="3227" t="s">
        <v>2146</v>
      </c>
      <c r="K150" s="3227">
        <v>3.735419477586718</v>
      </c>
      <c r="L150" s="3227">
        <v>1.327220116700822</v>
      </c>
      <c r="M150" s="3497" t="s">
        <v>2146</v>
      </c>
    </row>
    <row r="151" spans="2:13" ht="18" customHeight="1" x14ac:dyDescent="0.2">
      <c r="B151" s="2616" t="s">
        <v>564</v>
      </c>
      <c r="C151" s="2618" t="s">
        <v>564</v>
      </c>
      <c r="D151" s="3227">
        <v>7.6658286584803149E-3</v>
      </c>
      <c r="E151" s="3227">
        <v>1.2197290941773679E-2</v>
      </c>
      <c r="F151" s="3227">
        <v>1.4859601405447021E-3</v>
      </c>
      <c r="G151" s="3103" t="str">
        <f t="shared" si="78"/>
        <v>NA</v>
      </c>
      <c r="H151" s="3103">
        <f t="shared" si="79"/>
        <v>0.34287845770272368</v>
      </c>
      <c r="I151" s="3103">
        <f t="shared" si="77"/>
        <v>1.0000000000000002</v>
      </c>
      <c r="J151" s="3227" t="s">
        <v>2146</v>
      </c>
      <c r="K151" s="3227">
        <v>4.182188306266761E-3</v>
      </c>
      <c r="L151" s="3227">
        <v>1.4859601405447023E-3</v>
      </c>
      <c r="M151" s="3497" t="s">
        <v>2146</v>
      </c>
    </row>
    <row r="152" spans="2:13" ht="18" customHeight="1" x14ac:dyDescent="0.2">
      <c r="B152" s="2616" t="s">
        <v>565</v>
      </c>
      <c r="C152" s="2618" t="s">
        <v>565</v>
      </c>
      <c r="D152" s="3227">
        <v>19.578218508165811</v>
      </c>
      <c r="E152" s="3227">
        <v>31.151391180853366</v>
      </c>
      <c r="F152" s="3227">
        <v>3.7950825177687038</v>
      </c>
      <c r="G152" s="3103" t="str">
        <f t="shared" si="78"/>
        <v>NA</v>
      </c>
      <c r="H152" s="3103">
        <f t="shared" si="79"/>
        <v>0.34287845770272357</v>
      </c>
      <c r="I152" s="3103">
        <f t="shared" si="77"/>
        <v>1.0000000000000004</v>
      </c>
      <c r="J152" s="3227" t="s">
        <v>2146</v>
      </c>
      <c r="K152" s="3227">
        <v>10.681140963385227</v>
      </c>
      <c r="L152" s="3227">
        <v>3.7950825177687051</v>
      </c>
      <c r="M152" s="3497" t="s">
        <v>2146</v>
      </c>
    </row>
    <row r="153" spans="2:13" ht="18" customHeight="1" x14ac:dyDescent="0.2">
      <c r="B153" s="2616" t="s">
        <v>567</v>
      </c>
      <c r="C153" s="2618" t="s">
        <v>567</v>
      </c>
      <c r="D153" s="3227">
        <v>0.65537231550706976</v>
      </c>
      <c r="E153" s="3227">
        <v>1.0427792171666306</v>
      </c>
      <c r="F153" s="3227">
        <v>0.12703873011597561</v>
      </c>
      <c r="G153" s="3103" t="str">
        <f t="shared" si="78"/>
        <v>NA</v>
      </c>
      <c r="H153" s="3103">
        <f t="shared" si="79"/>
        <v>0.34287845770272357</v>
      </c>
      <c r="I153" s="3103">
        <f t="shared" si="77"/>
        <v>1</v>
      </c>
      <c r="J153" s="3227" t="s">
        <v>2146</v>
      </c>
      <c r="K153" s="3227">
        <v>0.35754652970654777</v>
      </c>
      <c r="L153" s="3227">
        <v>0.12703873011597561</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v>0.232518928622063</v>
      </c>
      <c r="E155" s="3227">
        <v>0.36996665960376979</v>
      </c>
      <c r="F155" s="3227">
        <v>4.5071951806843473E-2</v>
      </c>
      <c r="G155" s="3103" t="str">
        <f t="shared" si="78"/>
        <v>NA</v>
      </c>
      <c r="H155" s="3103">
        <f t="shared" si="79"/>
        <v>0.34287845770272363</v>
      </c>
      <c r="I155" s="3103">
        <f t="shared" si="77"/>
        <v>0.99999999999999956</v>
      </c>
      <c r="J155" s="3227" t="s">
        <v>2146</v>
      </c>
      <c r="K155" s="3227">
        <v>0.12685359764636914</v>
      </c>
      <c r="L155" s="3227">
        <v>4.5071951806843452E-2</v>
      </c>
      <c r="M155" s="3497" t="s">
        <v>2146</v>
      </c>
    </row>
    <row r="156" spans="2:13" ht="18" customHeight="1" x14ac:dyDescent="0.2">
      <c r="B156" s="2616" t="s">
        <v>574</v>
      </c>
      <c r="C156" s="2618" t="s">
        <v>574</v>
      </c>
      <c r="D156" s="3227">
        <v>2.4905226310852229E-5</v>
      </c>
      <c r="E156" s="3227">
        <v>3.9627325996665628E-5</v>
      </c>
      <c r="F156" s="3227">
        <v>4.8276807685013072E-6</v>
      </c>
      <c r="G156" s="3103" t="str">
        <f t="shared" si="78"/>
        <v>NA</v>
      </c>
      <c r="H156" s="3103">
        <f t="shared" si="79"/>
        <v>0.34287845770272363</v>
      </c>
      <c r="I156" s="3103">
        <f t="shared" si="77"/>
        <v>1.0000000000000004</v>
      </c>
      <c r="J156" s="3227" t="s">
        <v>2146</v>
      </c>
      <c r="K156" s="3227">
        <v>1.3587356420619756E-5</v>
      </c>
      <c r="L156" s="3227">
        <v>4.8276807685013089E-6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2.0142360394837078</v>
      </c>
      <c r="K162" s="3233">
        <f t="shared" ref="K162:M162" si="85">IF(SUM(K163,K165,K175)=0,"NO",SUM(K163,K165,K175))</f>
        <v>7.5820672870905605</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2.0142360394837078</v>
      </c>
      <c r="K163" s="3230">
        <f t="shared" ref="K163:M163" si="86">K164</f>
        <v>6.9204358751561363</v>
      </c>
      <c r="L163" s="3230" t="str">
        <f t="shared" si="86"/>
        <v>NO</v>
      </c>
      <c r="M163" s="3226" t="str">
        <f t="shared" si="86"/>
        <v>NO</v>
      </c>
    </row>
    <row r="164" spans="2:13" ht="18" customHeight="1" x14ac:dyDescent="0.2">
      <c r="B164" s="2616" t="s">
        <v>1621</v>
      </c>
      <c r="C164" s="2618" t="s">
        <v>1621</v>
      </c>
      <c r="D164" s="3235">
        <v>23.696894582161264</v>
      </c>
      <c r="E164" s="3235">
        <v>368.6869526185003</v>
      </c>
      <c r="F164" s="3235" t="s">
        <v>2146</v>
      </c>
      <c r="G164" s="3103">
        <f t="shared" ref="G164" si="87">IF(SUM(D164)=0,"NA",J164/D164)</f>
        <v>8.500000000000002E-2</v>
      </c>
      <c r="H164" s="3103">
        <f t="shared" ref="H164" si="88">IF(SUM(E164)=0,"NA",K164/E164)</f>
        <v>1.8770493032111916E-2</v>
      </c>
      <c r="I164" s="3103" t="str">
        <f t="shared" ref="I164" si="89">IF(SUM(F164)=0,"NA",(SUM(L164:M164))/F164)</f>
        <v>NA</v>
      </c>
      <c r="J164" s="3142">
        <v>2.0142360394837078</v>
      </c>
      <c r="K164" s="3142">
        <v>6.9204358751561363</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0.66163141193442421</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0.66163141193442421</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0.66163141193442421</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0.66163141193442421</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1818.6433506091305</v>
      </c>
      <c r="D10" s="2500">
        <f t="shared" ref="D10:I10" si="0">IF(SUM(D11,D20,D31:D32,D42:D47)=0,"NO",SUM(D11,D20,D31:D32,D42:D47))</f>
        <v>2628.7134960567046</v>
      </c>
      <c r="E10" s="2500">
        <f t="shared" si="0"/>
        <v>46.06599907335255</v>
      </c>
      <c r="F10" s="2500">
        <f t="shared" si="0"/>
        <v>33.068196709742452</v>
      </c>
      <c r="G10" s="2500">
        <f t="shared" si="0"/>
        <v>538.3111031159217</v>
      </c>
      <c r="H10" s="2915">
        <f t="shared" si="0"/>
        <v>31.401481015095435</v>
      </c>
      <c r="I10" s="2924" t="str">
        <f t="shared" si="0"/>
        <v>NO</v>
      </c>
      <c r="J10" s="2925">
        <f>IF(SUM(C10:E10)=0,"NO",SUM(C10)+28*SUM(D10)+265*SUM(E10))</f>
        <v>87630.110994635281</v>
      </c>
    </row>
    <row r="11" spans="1:10" ht="18" customHeight="1" x14ac:dyDescent="0.2">
      <c r="B11" s="234" t="s">
        <v>694</v>
      </c>
      <c r="C11" s="2926"/>
      <c r="D11" s="2137">
        <f>SUM(D16:D19)</f>
        <v>2341.2671635402303</v>
      </c>
      <c r="E11" s="1929"/>
      <c r="F11" s="1929"/>
      <c r="G11" s="1929"/>
      <c r="H11" s="2927"/>
      <c r="I11" s="2928"/>
      <c r="J11" s="1880">
        <f>IF(SUM(C11:E11)=0,"NO",SUM(C11)+28*SUM(D11)+265*SUM(E11))</f>
        <v>65555.480579126452</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1563.0862389555309</v>
      </c>
      <c r="E16" s="628"/>
      <c r="F16" s="628"/>
      <c r="G16" s="628"/>
      <c r="H16" s="2930"/>
      <c r="I16" s="2931"/>
      <c r="J16" s="2934">
        <f>IF(SUM(C16:E16)=0,"NO",SUM(C16)+28*SUM(D16)+265*SUM(E16))</f>
        <v>43766.414690754864</v>
      </c>
    </row>
    <row r="17" spans="2:10" ht="18" customHeight="1" x14ac:dyDescent="0.2">
      <c r="B17" s="228" t="s">
        <v>699</v>
      </c>
      <c r="C17" s="2936"/>
      <c r="D17" s="2920">
        <f>Table3.A!G24</f>
        <v>763.98405928166255</v>
      </c>
      <c r="E17" s="628"/>
      <c r="F17" s="628"/>
      <c r="G17" s="628"/>
      <c r="H17" s="2930"/>
      <c r="I17" s="2931"/>
      <c r="J17" s="2934">
        <f t="shared" ref="J17:J21" si="1">IF(SUM(C17:E17)=0,"NO",SUM(C17)+28*SUM(D17)+265*SUM(E17))</f>
        <v>21391.553659886551</v>
      </c>
    </row>
    <row r="18" spans="2:10" ht="18" customHeight="1" x14ac:dyDescent="0.2">
      <c r="B18" s="228" t="s">
        <v>700</v>
      </c>
      <c r="C18" s="2936"/>
      <c r="D18" s="2920">
        <f>Table3.A!G27</f>
        <v>4.3264567157390443</v>
      </c>
      <c r="E18" s="628"/>
      <c r="F18" s="628"/>
      <c r="G18" s="628"/>
      <c r="H18" s="2930"/>
      <c r="I18" s="2931"/>
      <c r="J18" s="2934">
        <f t="shared" si="1"/>
        <v>121.14078804069324</v>
      </c>
    </row>
    <row r="19" spans="2:10" ht="18" customHeight="1" thickBot="1" x14ac:dyDescent="0.25">
      <c r="B19" s="1297" t="s">
        <v>701</v>
      </c>
      <c r="C19" s="2937"/>
      <c r="D19" s="2500">
        <f>Table3.A!G30</f>
        <v>9.8704085872976037</v>
      </c>
      <c r="E19" s="1923"/>
      <c r="F19" s="1923"/>
      <c r="G19" s="1923"/>
      <c r="H19" s="2938"/>
      <c r="I19" s="2939"/>
      <c r="J19" s="2934">
        <f t="shared" si="1"/>
        <v>276.3714404443329</v>
      </c>
    </row>
    <row r="20" spans="2:10" ht="18" customHeight="1" x14ac:dyDescent="0.2">
      <c r="B20" s="1456" t="s">
        <v>702</v>
      </c>
      <c r="C20" s="2940"/>
      <c r="D20" s="2920">
        <f>IF(SUM(D26:D30)=0,"NO",SUM(D26:D30))</f>
        <v>245.54282751963066</v>
      </c>
      <c r="E20" s="2920">
        <f>IF(SUM(E26:E30)=0,"NO",SUM(E26:E30))</f>
        <v>1.4544423673366769</v>
      </c>
      <c r="F20" s="2134"/>
      <c r="G20" s="2134"/>
      <c r="H20" s="2920" t="str">
        <f>IF(SUM(H26:H30)=0,"NE",SUM(H26:H30))</f>
        <v>NE</v>
      </c>
      <c r="I20" s="2931"/>
      <c r="J20" s="2941">
        <f t="shared" si="1"/>
        <v>7260.6263978938778</v>
      </c>
    </row>
    <row r="21" spans="2:10" ht="18" customHeight="1" x14ac:dyDescent="0.2">
      <c r="B21" s="228" t="s">
        <v>2019</v>
      </c>
      <c r="C21" s="2936"/>
      <c r="D21" s="2920">
        <f>D26</f>
        <v>146.96319728174785</v>
      </c>
      <c r="E21" s="2920">
        <f>E26</f>
        <v>0.58729525269815608</v>
      </c>
      <c r="F21" s="2942"/>
      <c r="G21" s="2942"/>
      <c r="H21" s="2920" t="str">
        <f>H26</f>
        <v>NE</v>
      </c>
      <c r="I21" s="2931"/>
      <c r="J21" s="2934">
        <f t="shared" si="1"/>
        <v>4270.6027658539515</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146.96319728174785</v>
      </c>
      <c r="E26" s="2920">
        <f>'Table3.B(b)'!X15</f>
        <v>0.58729525269815608</v>
      </c>
      <c r="F26" s="628"/>
      <c r="G26" s="628"/>
      <c r="H26" s="2944" t="s">
        <v>2154</v>
      </c>
      <c r="I26" s="2931"/>
      <c r="J26" s="2934">
        <f t="shared" ref="J26:J48" si="2">IF(SUM(C26:E26)=0,"NO",SUM(C26)+28*SUM(D26)+265*SUM(E26))</f>
        <v>4270.6027658539515</v>
      </c>
    </row>
    <row r="27" spans="2:10" ht="18" customHeight="1" x14ac:dyDescent="0.2">
      <c r="B27" s="228" t="s">
        <v>705</v>
      </c>
      <c r="C27" s="2936"/>
      <c r="D27" s="2920">
        <f>'Table3.B(a)'!K24</f>
        <v>39.225286191604745</v>
      </c>
      <c r="E27" s="2920" t="str">
        <f>'Table3.B(b)'!X24</f>
        <v>NA</v>
      </c>
      <c r="F27" s="2942"/>
      <c r="G27" s="2942"/>
      <c r="H27" s="2944" t="s">
        <v>2154</v>
      </c>
      <c r="I27" s="2931"/>
      <c r="J27" s="2934">
        <f t="shared" si="2"/>
        <v>1098.3080133649328</v>
      </c>
    </row>
    <row r="28" spans="2:10" ht="18" customHeight="1" x14ac:dyDescent="0.2">
      <c r="B28" s="228" t="s">
        <v>706</v>
      </c>
      <c r="C28" s="2936"/>
      <c r="D28" s="2920">
        <f>'Table3.B(a)'!K27</f>
        <v>56.025661498530845</v>
      </c>
      <c r="E28" s="2920">
        <f>'Table3.B(b)'!X27</f>
        <v>0.31118821098192534</v>
      </c>
      <c r="F28" s="2942"/>
      <c r="G28" s="2942"/>
      <c r="H28" s="2944" t="s">
        <v>2154</v>
      </c>
      <c r="I28" s="2931"/>
      <c r="J28" s="2934">
        <f t="shared" si="2"/>
        <v>1651.1833978690738</v>
      </c>
    </row>
    <row r="29" spans="2:10" ht="18" customHeight="1" x14ac:dyDescent="0.2">
      <c r="B29" s="228" t="s">
        <v>707</v>
      </c>
      <c r="C29" s="2936"/>
      <c r="D29" s="2920">
        <f>'Table3.B(a)'!K30</f>
        <v>3.3286825477472242</v>
      </c>
      <c r="E29" s="2920">
        <f>'Table3.B(b)'!X30</f>
        <v>0.266488569144256</v>
      </c>
      <c r="F29" s="2942"/>
      <c r="G29" s="2942"/>
      <c r="H29" s="2944" t="s">
        <v>2154</v>
      </c>
      <c r="I29" s="2931"/>
      <c r="J29" s="2934">
        <f t="shared" si="2"/>
        <v>163.82258216015012</v>
      </c>
    </row>
    <row r="30" spans="2:10" ht="18" customHeight="1" thickBot="1" x14ac:dyDescent="0.25">
      <c r="B30" s="1297" t="s">
        <v>708</v>
      </c>
      <c r="C30" s="2945"/>
      <c r="D30" s="2946"/>
      <c r="E30" s="2947">
        <f>SUM('Table3.B(b)'!Y46:Z46)</f>
        <v>0.28947033451233944</v>
      </c>
      <c r="F30" s="2948"/>
      <c r="G30" s="2948"/>
      <c r="H30" s="2949"/>
      <c r="I30" s="2950"/>
      <c r="J30" s="2934">
        <f t="shared" si="2"/>
        <v>76.709638645769957</v>
      </c>
    </row>
    <row r="31" spans="2:10" ht="18" customHeight="1" thickBot="1" x14ac:dyDescent="0.25">
      <c r="B31" s="2639" t="s">
        <v>709</v>
      </c>
      <c r="C31" s="2951"/>
      <c r="D31" s="2952">
        <f>Table3.C!G11</f>
        <v>28.100656199000003</v>
      </c>
      <c r="E31" s="2953"/>
      <c r="F31" s="2953"/>
      <c r="G31" s="2953"/>
      <c r="H31" s="2954" t="s">
        <v>2154</v>
      </c>
      <c r="I31" s="2955"/>
      <c r="J31" s="2956">
        <f t="shared" si="2"/>
        <v>786.81837357200004</v>
      </c>
    </row>
    <row r="32" spans="2:10" ht="18" customHeight="1" x14ac:dyDescent="0.2">
      <c r="B32" s="2638" t="s">
        <v>2020</v>
      </c>
      <c r="C32" s="2957"/>
      <c r="D32" s="2958" t="s">
        <v>2154</v>
      </c>
      <c r="E32" s="2958">
        <f>IF(SUM(E33,E41)=0,"NO",SUM(E33,E41))</f>
        <v>44.039196199818264</v>
      </c>
      <c r="F32" s="2958" t="str">
        <f>IF(SUM(F33,F41)=0,"NO",SUM(F33,F41))</f>
        <v>NO</v>
      </c>
      <c r="G32" s="2958" t="str">
        <f>IF(SUM(G33,G41)=0,"NO",SUM(G33,G41))</f>
        <v>NO</v>
      </c>
      <c r="H32" s="2958" t="str">
        <f>IF(SUM(H33,H41)=0,"NO",SUM(H33,H41))</f>
        <v>NO</v>
      </c>
      <c r="I32" s="2959"/>
      <c r="J32" s="2960">
        <f t="shared" si="2"/>
        <v>11670.386992951841</v>
      </c>
    </row>
    <row r="33" spans="2:10" ht="18" customHeight="1" x14ac:dyDescent="0.2">
      <c r="B33" s="228" t="s">
        <v>710</v>
      </c>
      <c r="C33" s="2961"/>
      <c r="D33" s="2962" t="s">
        <v>2154</v>
      </c>
      <c r="E33" s="2962">
        <f>IF(SUM(E34:E40)=0,"NO",SUM(E34:E40))</f>
        <v>33.031535123439582</v>
      </c>
      <c r="F33" s="2962" t="str">
        <f>IF(SUM(F34:F40)=0,"NO",SUM(F34:F40))</f>
        <v>NO</v>
      </c>
      <c r="G33" s="2962" t="str">
        <f>IF(SUM(G34:G40)=0,"NO",SUM(G34:G40))</f>
        <v>NO</v>
      </c>
      <c r="H33" s="2962" t="str">
        <f>IF(SUM(H34:H40)=0,"NO",SUM(H34:H40))</f>
        <v>NO</v>
      </c>
      <c r="I33" s="2931"/>
      <c r="J33" s="2963">
        <f t="shared" si="2"/>
        <v>8753.3568077114887</v>
      </c>
    </row>
    <row r="34" spans="2:10" ht="18" customHeight="1" x14ac:dyDescent="0.2">
      <c r="B34" s="232" t="s">
        <v>711</v>
      </c>
      <c r="C34" s="2961"/>
      <c r="D34" s="2905" t="s">
        <v>2154</v>
      </c>
      <c r="E34" s="2962">
        <f>Table3.D!F11</f>
        <v>7.8291724514424308</v>
      </c>
      <c r="F34" s="2964" t="s">
        <v>2147</v>
      </c>
      <c r="G34" s="2964" t="s">
        <v>2147</v>
      </c>
      <c r="H34" s="2964" t="s">
        <v>2147</v>
      </c>
      <c r="I34" s="2931"/>
      <c r="J34" s="2963">
        <f t="shared" si="2"/>
        <v>2074.7306996322441</v>
      </c>
    </row>
    <row r="35" spans="2:10" ht="18" customHeight="1" x14ac:dyDescent="0.2">
      <c r="B35" s="232" t="s">
        <v>712</v>
      </c>
      <c r="C35" s="2961"/>
      <c r="D35" s="2905" t="s">
        <v>2154</v>
      </c>
      <c r="E35" s="2962">
        <f>Table3.D!F12</f>
        <v>1.2965545620127523</v>
      </c>
      <c r="F35" s="2964" t="s">
        <v>2147</v>
      </c>
      <c r="G35" s="2964" t="s">
        <v>2147</v>
      </c>
      <c r="H35" s="2965" t="s">
        <v>2147</v>
      </c>
      <c r="I35" s="2931"/>
      <c r="J35" s="2963">
        <f t="shared" si="2"/>
        <v>343.58695893337938</v>
      </c>
    </row>
    <row r="36" spans="2:10" ht="18" customHeight="1" x14ac:dyDescent="0.2">
      <c r="B36" s="232" t="s">
        <v>713</v>
      </c>
      <c r="C36" s="2961"/>
      <c r="D36" s="2905" t="s">
        <v>2154</v>
      </c>
      <c r="E36" s="2962">
        <f>Table3.D!F16</f>
        <v>12.541815195353291</v>
      </c>
      <c r="F36" s="2964" t="s">
        <v>2147</v>
      </c>
      <c r="G36" s="2964" t="s">
        <v>2147</v>
      </c>
      <c r="H36" s="2965" t="s">
        <v>2147</v>
      </c>
      <c r="I36" s="2931"/>
      <c r="J36" s="2963">
        <f t="shared" si="2"/>
        <v>3323.581026768622</v>
      </c>
    </row>
    <row r="37" spans="2:10" ht="18" customHeight="1" x14ac:dyDescent="0.2">
      <c r="B37" s="232" t="s">
        <v>714</v>
      </c>
      <c r="C37" s="2961"/>
      <c r="D37" s="2905" t="s">
        <v>2154</v>
      </c>
      <c r="E37" s="2962">
        <f>Table3.D!F17</f>
        <v>11.184856152904086</v>
      </c>
      <c r="F37" s="2964" t="s">
        <v>2147</v>
      </c>
      <c r="G37" s="2964" t="s">
        <v>2147</v>
      </c>
      <c r="H37" s="2965" t="s">
        <v>2147</v>
      </c>
      <c r="I37" s="2931"/>
      <c r="J37" s="2963">
        <f t="shared" si="2"/>
        <v>2963.9868805195829</v>
      </c>
    </row>
    <row r="38" spans="2:10" ht="18" customHeight="1" x14ac:dyDescent="0.2">
      <c r="B38" s="1705" t="s">
        <v>715</v>
      </c>
      <c r="C38" s="2961"/>
      <c r="D38" s="2905" t="s">
        <v>2154</v>
      </c>
      <c r="E38" s="2962">
        <f>Table3.D!F18</f>
        <v>9.1136761727021759E-2</v>
      </c>
      <c r="F38" s="2964" t="s">
        <v>2147</v>
      </c>
      <c r="G38" s="2964" t="s">
        <v>2147</v>
      </c>
      <c r="H38" s="2965" t="s">
        <v>2147</v>
      </c>
      <c r="I38" s="2931"/>
      <c r="J38" s="2963">
        <f t="shared" si="2"/>
        <v>24.151241857660764</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11.007661076378682</v>
      </c>
      <c r="F41" s="2969" t="s">
        <v>2147</v>
      </c>
      <c r="G41" s="2969" t="s">
        <v>2147</v>
      </c>
      <c r="H41" s="2970" t="s">
        <v>2147</v>
      </c>
      <c r="I41" s="2971"/>
      <c r="J41" s="2972">
        <f t="shared" si="2"/>
        <v>2917.0301852403509</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13.802848797844145</v>
      </c>
      <c r="E43" s="2979">
        <f>SUM(Table3.F!J10,Table3.F!J20,Table3.F!J23,Table3.F!J26:J27)</f>
        <v>0.5723605061976127</v>
      </c>
      <c r="F43" s="2909">
        <v>33.068196709742452</v>
      </c>
      <c r="G43" s="2909">
        <v>538.3111031159217</v>
      </c>
      <c r="H43" s="2910">
        <v>31.401481015095435</v>
      </c>
      <c r="I43" s="2980" t="s">
        <v>2146</v>
      </c>
      <c r="J43" s="2981">
        <f t="shared" si="2"/>
        <v>538.15530048200344</v>
      </c>
    </row>
    <row r="44" spans="2:10" ht="18" customHeight="1" thickBot="1" x14ac:dyDescent="0.25">
      <c r="B44" s="2641" t="s">
        <v>721</v>
      </c>
      <c r="C44" s="2982">
        <f>'Table3.G-J'!E10</f>
        <v>761.68682887</v>
      </c>
      <c r="D44" s="2983"/>
      <c r="E44" s="2983"/>
      <c r="F44" s="2983"/>
      <c r="G44" s="2983"/>
      <c r="H44" s="2984"/>
      <c r="I44" s="2985"/>
      <c r="J44" s="2981">
        <f t="shared" si="2"/>
        <v>761.68682887</v>
      </c>
    </row>
    <row r="45" spans="2:10" ht="18" customHeight="1" thickBot="1" x14ac:dyDescent="0.25">
      <c r="B45" s="2641" t="s">
        <v>722</v>
      </c>
      <c r="C45" s="2982">
        <f>'Table3.G-J'!E13</f>
        <v>1056.9565217391305</v>
      </c>
      <c r="D45" s="2983"/>
      <c r="E45" s="2983"/>
      <c r="F45" s="2983"/>
      <c r="G45" s="2983"/>
      <c r="H45" s="2984"/>
      <c r="I45" s="2985"/>
      <c r="J45" s="2981">
        <f t="shared" si="2"/>
        <v>1056.9565217391305</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27720.600999999999</v>
      </c>
      <c r="D10" s="3241"/>
      <c r="E10" s="3241"/>
      <c r="F10" s="3131">
        <f>IF(SUM(C10)=0,"NA",G10*1000/C10)</f>
        <v>56.387169923030562</v>
      </c>
      <c r="G10" s="3242">
        <f>G15</f>
        <v>1563.0862389555309</v>
      </c>
      <c r="I10" s="275" t="s">
        <v>738</v>
      </c>
      <c r="J10" s="276" t="s">
        <v>739</v>
      </c>
      <c r="K10" s="691">
        <v>461.79261965832001</v>
      </c>
      <c r="L10" s="691">
        <v>359.36970069139801</v>
      </c>
      <c r="M10" s="3147">
        <v>524.16549441456402</v>
      </c>
      <c r="N10" s="3147">
        <v>45.482098234797903</v>
      </c>
      <c r="O10" s="2911">
        <v>53.8312395174259</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13.8620455369875</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27720.600999999999</v>
      </c>
      <c r="D15" s="3248"/>
      <c r="E15" s="3248"/>
      <c r="F15" s="3131">
        <f>IF(SUM(C15)=0,"NA",G15*1000/C15)</f>
        <v>56.387169923030562</v>
      </c>
      <c r="G15" s="3249">
        <f>G20</f>
        <v>1563.0862389555309</v>
      </c>
      <c r="I15" s="1777" t="s">
        <v>748</v>
      </c>
      <c r="J15" s="1849" t="s">
        <v>297</v>
      </c>
      <c r="K15" s="3445">
        <v>75</v>
      </c>
      <c r="L15" s="3445">
        <v>57.892976023496701</v>
      </c>
      <c r="M15" s="1560">
        <v>80.634735819164405</v>
      </c>
      <c r="N15" s="1560">
        <v>66.390435014624302</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1563.0862389555309</v>
      </c>
      <c r="I20" s="72"/>
      <c r="J20" s="288"/>
      <c r="K20" s="288"/>
      <c r="L20" s="288"/>
      <c r="M20" s="288"/>
      <c r="N20" s="288"/>
      <c r="O20" s="288"/>
    </row>
    <row r="21" spans="2:15" ht="18" customHeight="1" x14ac:dyDescent="0.2">
      <c r="B21" s="2633" t="s">
        <v>2196</v>
      </c>
      <c r="C21" s="3272">
        <v>3217.2869999999998</v>
      </c>
      <c r="D21" s="3257">
        <v>230.28557856535099</v>
      </c>
      <c r="E21" s="3257">
        <v>6.1533021148773903</v>
      </c>
      <c r="F21" s="3131">
        <f t="shared" ref="F21:F30" si="0">IF(SUM(C21)=0,"NA",G21*1000/C21)</f>
        <v>93.663716645554459</v>
      </c>
      <c r="G21" s="3239">
        <v>301.34305793542597</v>
      </c>
      <c r="I21" s="72"/>
      <c r="J21" s="288"/>
      <c r="K21" s="288"/>
      <c r="L21" s="288"/>
      <c r="M21" s="288"/>
      <c r="N21" s="288"/>
      <c r="O21" s="288"/>
    </row>
    <row r="22" spans="2:15" ht="18" customHeight="1" x14ac:dyDescent="0.2">
      <c r="B22" s="2633" t="s">
        <v>2197</v>
      </c>
      <c r="C22" s="3272">
        <v>23859.136999999999</v>
      </c>
      <c r="D22" s="3257">
        <v>124.399048480651</v>
      </c>
      <c r="E22" s="3257">
        <v>6.21225</v>
      </c>
      <c r="F22" s="3131">
        <f t="shared" si="0"/>
        <v>51.081359786518625</v>
      </c>
      <c r="G22" s="3239">
        <v>1218.7571612928386</v>
      </c>
      <c r="I22" s="72"/>
      <c r="J22" s="288"/>
      <c r="K22" s="288"/>
      <c r="L22" s="288"/>
      <c r="M22" s="288"/>
      <c r="N22" s="288"/>
      <c r="O22" s="288"/>
    </row>
    <row r="23" spans="2:15" ht="18" customHeight="1" x14ac:dyDescent="0.2">
      <c r="B23" s="2633" t="s">
        <v>2198</v>
      </c>
      <c r="C23" s="3272">
        <v>644.17700000000002</v>
      </c>
      <c r="D23" s="3257">
        <v>202.43773804448401</v>
      </c>
      <c r="E23" s="3257">
        <v>4.9869378584070301</v>
      </c>
      <c r="F23" s="3131">
        <f t="shared" si="0"/>
        <v>66.730137411404499</v>
      </c>
      <c r="G23" s="3239">
        <v>42.986019727266317</v>
      </c>
      <c r="I23" s="72"/>
      <c r="J23" s="288"/>
      <c r="K23" s="288"/>
      <c r="L23" s="288"/>
      <c r="M23" s="288"/>
      <c r="N23" s="288"/>
      <c r="O23" s="288"/>
    </row>
    <row r="24" spans="2:15" ht="18" customHeight="1" x14ac:dyDescent="0.2">
      <c r="B24" s="287" t="s">
        <v>753</v>
      </c>
      <c r="C24" s="2635">
        <f>C25</f>
        <v>110927.735</v>
      </c>
      <c r="D24" s="3258"/>
      <c r="E24" s="3258"/>
      <c r="F24" s="3131">
        <f t="shared" si="0"/>
        <v>6.8872231032361979</v>
      </c>
      <c r="G24" s="3128">
        <f>G25</f>
        <v>763.98405928166255</v>
      </c>
      <c r="I24" s="72"/>
    </row>
    <row r="25" spans="2:15" ht="18" customHeight="1" x14ac:dyDescent="0.2">
      <c r="B25" s="282" t="s">
        <v>754</v>
      </c>
      <c r="C25" s="2635">
        <f>C26</f>
        <v>110927.735</v>
      </c>
      <c r="D25" s="3258"/>
      <c r="E25" s="3258"/>
      <c r="F25" s="3131">
        <f t="shared" si="0"/>
        <v>6.8872231032361979</v>
      </c>
      <c r="G25" s="3128">
        <f>G26</f>
        <v>763.98405928166255</v>
      </c>
    </row>
    <row r="26" spans="2:15" ht="18" customHeight="1" x14ac:dyDescent="0.2">
      <c r="B26" s="2634" t="s">
        <v>2201</v>
      </c>
      <c r="C26" s="289">
        <v>110927.735</v>
      </c>
      <c r="D26" s="3259">
        <v>16.921251074185999</v>
      </c>
      <c r="E26" s="3259">
        <v>6.1576531079359498</v>
      </c>
      <c r="F26" s="3131">
        <f t="shared" si="0"/>
        <v>6.8872231032361979</v>
      </c>
      <c r="G26" s="3240">
        <v>763.98405928166255</v>
      </c>
    </row>
    <row r="27" spans="2:15" ht="18" customHeight="1" x14ac:dyDescent="0.2">
      <c r="B27" s="287" t="s">
        <v>755</v>
      </c>
      <c r="C27" s="2635">
        <f>C28</f>
        <v>2748.0129999999999</v>
      </c>
      <c r="D27" s="3258"/>
      <c r="E27" s="3258"/>
      <c r="F27" s="3131">
        <f t="shared" si="0"/>
        <v>1.5743945591738631</v>
      </c>
      <c r="G27" s="3128">
        <f>G28</f>
        <v>4.3264567157390443</v>
      </c>
    </row>
    <row r="28" spans="2:15" ht="18" customHeight="1" x14ac:dyDescent="0.2">
      <c r="B28" s="282" t="s">
        <v>756</v>
      </c>
      <c r="C28" s="2635">
        <f>C29</f>
        <v>2748.0129999999999</v>
      </c>
      <c r="D28" s="3258"/>
      <c r="E28" s="3258"/>
      <c r="F28" s="3131">
        <f t="shared" si="0"/>
        <v>1.5743945591738631</v>
      </c>
      <c r="G28" s="3128">
        <f>G29</f>
        <v>4.3264567157390443</v>
      </c>
    </row>
    <row r="29" spans="2:15" ht="18" customHeight="1" x14ac:dyDescent="0.2">
      <c r="B29" s="2634" t="s">
        <v>817</v>
      </c>
      <c r="C29" s="289">
        <v>2748.0129999999999</v>
      </c>
      <c r="D29" s="3259">
        <v>34.026640922732199</v>
      </c>
      <c r="E29" s="3259">
        <v>0.7</v>
      </c>
      <c r="F29" s="3131">
        <f t="shared" si="0"/>
        <v>1.5743945591738631</v>
      </c>
      <c r="G29" s="3240">
        <v>4.3264567157390443</v>
      </c>
    </row>
    <row r="30" spans="2:15" ht="18" customHeight="1" x14ac:dyDescent="0.2">
      <c r="B30" s="287" t="s">
        <v>757</v>
      </c>
      <c r="C30" s="2635">
        <f>SUM(C32:C39)</f>
        <v>59769.504000000001</v>
      </c>
      <c r="D30" s="3258"/>
      <c r="E30" s="3258"/>
      <c r="F30" s="3131">
        <f t="shared" si="0"/>
        <v>0.16514121628477296</v>
      </c>
      <c r="G30" s="3128">
        <f>SUM(G32:G39)</f>
        <v>9.8704085872976037</v>
      </c>
    </row>
    <row r="31" spans="2:15" ht="18" customHeight="1" x14ac:dyDescent="0.2">
      <c r="B31" s="1305" t="s">
        <v>345</v>
      </c>
      <c r="C31" s="3273"/>
      <c r="D31" s="3261"/>
      <c r="E31" s="3261"/>
      <c r="F31" s="3261"/>
      <c r="G31" s="3262"/>
    </row>
    <row r="32" spans="2:15" ht="18" customHeight="1" x14ac:dyDescent="0.2">
      <c r="B32" s="286" t="s">
        <v>758</v>
      </c>
      <c r="C32" s="3267">
        <v>7.327</v>
      </c>
      <c r="D32" s="3263" t="s">
        <v>2147</v>
      </c>
      <c r="E32" s="3263" t="s">
        <v>2147</v>
      </c>
      <c r="F32" s="3131">
        <f t="shared" ref="F32:F40" si="1">IF(SUM(C32)=0,"NA",G32*1000/C32)</f>
        <v>76</v>
      </c>
      <c r="G32" s="3239">
        <v>0.55685200000000001</v>
      </c>
    </row>
    <row r="33" spans="2:7" ht="18" customHeight="1" x14ac:dyDescent="0.2">
      <c r="B33" s="286" t="s">
        <v>759</v>
      </c>
      <c r="C33" s="3267">
        <v>2.613</v>
      </c>
      <c r="D33" s="3263" t="s">
        <v>2147</v>
      </c>
      <c r="E33" s="3263" t="s">
        <v>2147</v>
      </c>
      <c r="F33" s="3131">
        <f t="shared" si="1"/>
        <v>46.006021315963338</v>
      </c>
      <c r="G33" s="3239">
        <v>0.1202137336986122</v>
      </c>
    </row>
    <row r="34" spans="2:7" ht="18" customHeight="1" x14ac:dyDescent="0.2">
      <c r="B34" s="286" t="s">
        <v>760</v>
      </c>
      <c r="C34" s="3267">
        <v>131.94</v>
      </c>
      <c r="D34" s="3263" t="s">
        <v>2147</v>
      </c>
      <c r="E34" s="3263" t="s">
        <v>2147</v>
      </c>
      <c r="F34" s="3131">
        <f t="shared" si="1"/>
        <v>19.999931787175989</v>
      </c>
      <c r="G34" s="3239">
        <v>2.6387909999999999</v>
      </c>
    </row>
    <row r="35" spans="2:7" ht="18" customHeight="1" x14ac:dyDescent="0.2">
      <c r="B35" s="286" t="s">
        <v>761</v>
      </c>
      <c r="C35" s="3267">
        <v>391.11799999999999</v>
      </c>
      <c r="D35" s="3263" t="s">
        <v>2147</v>
      </c>
      <c r="E35" s="3263" t="s">
        <v>2147</v>
      </c>
      <c r="F35" s="3131">
        <f t="shared" si="1"/>
        <v>4.9999980708023077</v>
      </c>
      <c r="G35" s="3239">
        <v>1.9555892454560568</v>
      </c>
    </row>
    <row r="36" spans="2:7" ht="18" customHeight="1" x14ac:dyDescent="0.2">
      <c r="B36" s="286" t="s">
        <v>762</v>
      </c>
      <c r="C36" s="3267">
        <v>223.99799999999999</v>
      </c>
      <c r="D36" s="3263" t="s">
        <v>2147</v>
      </c>
      <c r="E36" s="3263" t="s">
        <v>2147</v>
      </c>
      <c r="F36" s="3131">
        <f t="shared" si="1"/>
        <v>18.000031339565535</v>
      </c>
      <c r="G36" s="3239">
        <v>4.0319710200000003</v>
      </c>
    </row>
    <row r="37" spans="2:7" ht="18" customHeight="1" x14ac:dyDescent="0.2">
      <c r="B37" s="286" t="s">
        <v>763</v>
      </c>
      <c r="C37" s="3267">
        <v>0.85599999999999998</v>
      </c>
      <c r="D37" s="3263" t="s">
        <v>2147</v>
      </c>
      <c r="E37" s="3263" t="s">
        <v>2147</v>
      </c>
      <c r="F37" s="3131">
        <f t="shared" si="1"/>
        <v>9.9982559540614524</v>
      </c>
      <c r="G37" s="3239">
        <v>8.5585070966766024E-3</v>
      </c>
    </row>
    <row r="38" spans="2:7" ht="18" customHeight="1" x14ac:dyDescent="0.2">
      <c r="B38" s="286" t="s">
        <v>764</v>
      </c>
      <c r="C38" s="3274">
        <v>58910.815000000002</v>
      </c>
      <c r="D38" s="3263" t="s">
        <v>2147</v>
      </c>
      <c r="E38" s="3263" t="s">
        <v>2147</v>
      </c>
      <c r="F38" s="3131" t="s">
        <v>2147</v>
      </c>
      <c r="G38" s="3264" t="s">
        <v>2154</v>
      </c>
    </row>
    <row r="39" spans="2:7" ht="18" customHeight="1" x14ac:dyDescent="0.2">
      <c r="B39" s="286" t="s">
        <v>765</v>
      </c>
      <c r="C39" s="2635">
        <f>SUM(C40:C44)</f>
        <v>100.837</v>
      </c>
      <c r="D39" s="3258"/>
      <c r="E39" s="3258"/>
      <c r="F39" s="3131">
        <f t="shared" si="1"/>
        <v>5.5379779351453955</v>
      </c>
      <c r="G39" s="3128">
        <f>SUM(G40:G44)</f>
        <v>0.55843308104625622</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82.753</v>
      </c>
      <c r="D42" s="2967" t="s">
        <v>2147</v>
      </c>
      <c r="E42" s="2967" t="s">
        <v>2147</v>
      </c>
      <c r="F42" s="3131">
        <f t="shared" si="2"/>
        <v>4.9999959719486506</v>
      </c>
      <c r="G42" s="3201">
        <v>0.41376466666666673</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18.084</v>
      </c>
      <c r="D44" s="3258"/>
      <c r="E44" s="3258"/>
      <c r="F44" s="3131">
        <f>IF(SUM(C44)=0,"NA",G44*1000/C44)</f>
        <v>7.9998017241533681</v>
      </c>
      <c r="G44" s="3128">
        <f>G45</f>
        <v>0.14466841437958949</v>
      </c>
    </row>
    <row r="45" spans="2:7" ht="18" customHeight="1" thickBot="1" x14ac:dyDescent="0.25">
      <c r="B45" s="2636" t="s">
        <v>2199</v>
      </c>
      <c r="C45" s="3276">
        <v>18.084</v>
      </c>
      <c r="D45" s="3137" t="s">
        <v>2147</v>
      </c>
      <c r="E45" s="3137" t="s">
        <v>2147</v>
      </c>
      <c r="F45" s="3265">
        <f>IF(SUM(C45)=0,"NA",G45*1000/C45)</f>
        <v>7.9998017241533681</v>
      </c>
      <c r="G45" s="3203">
        <v>0.14466841437958949</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27720.600999999999</v>
      </c>
      <c r="D10" s="2942"/>
      <c r="E10" s="2942"/>
      <c r="F10" s="2942"/>
      <c r="G10" s="2942"/>
      <c r="H10" s="2942"/>
      <c r="I10" s="3279"/>
      <c r="J10" s="3280">
        <f>IF(SUM(C10)=0,"NA",K10*1000/C10)</f>
        <v>5.3015876994062232</v>
      </c>
      <c r="K10" s="3281">
        <f>K15</f>
        <v>146.96319728174785</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27720.600999999999</v>
      </c>
      <c r="D15" s="3293"/>
      <c r="E15" s="3293"/>
      <c r="F15" s="3293"/>
      <c r="G15" s="3293"/>
      <c r="H15" s="3293"/>
      <c r="I15" s="3288"/>
      <c r="J15" s="3287">
        <f>IF(SUM(C15)=0,"NA",K15*1000/C15)</f>
        <v>5.3015876994062232</v>
      </c>
      <c r="K15" s="3281">
        <f>SUM(K17:K20)</f>
        <v>146.96319728174785</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27720.600999999999</v>
      </c>
      <c r="D20" s="3293"/>
      <c r="E20" s="3293"/>
      <c r="F20" s="3293"/>
      <c r="G20" s="3293"/>
      <c r="H20" s="3293"/>
      <c r="I20" s="3288"/>
      <c r="J20" s="3301">
        <f>IF(SUM(C20)=0,"NA",K20*1000/C20)</f>
        <v>5.3015876994062232</v>
      </c>
      <c r="K20" s="3281">
        <f>SUM(K21:K23)</f>
        <v>146.96319728174785</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3217.2869999999998</v>
      </c>
      <c r="D21" s="3325">
        <v>6.5333129988968297</v>
      </c>
      <c r="E21" s="3325">
        <v>93.416233708915556</v>
      </c>
      <c r="F21" s="3325">
        <v>5.0453292187610001E-2</v>
      </c>
      <c r="G21" s="3298">
        <f>Table3.A!K10</f>
        <v>461.79261965832001</v>
      </c>
      <c r="H21" s="3299">
        <v>3.3088711976779499</v>
      </c>
      <c r="I21" s="3300">
        <v>0.24</v>
      </c>
      <c r="J21" s="3301">
        <f>IF(SUM(C21)=0,"NA",K21*1000/C21)</f>
        <v>10.611742941136592</v>
      </c>
      <c r="K21" s="3277">
        <v>34.141022611860521</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23859.136999999999</v>
      </c>
      <c r="D22" s="3325" t="s">
        <v>2146</v>
      </c>
      <c r="E22" s="3325">
        <v>84.549183067559397</v>
      </c>
      <c r="F22" s="3325">
        <v>15.450816932440601</v>
      </c>
      <c r="G22" s="3298">
        <f>Table3.A!L10</f>
        <v>359.36970069139801</v>
      </c>
      <c r="H22" s="3299" t="s">
        <v>2147</v>
      </c>
      <c r="I22" s="3300" t="s">
        <v>2147</v>
      </c>
      <c r="J22" s="3301">
        <f t="shared" ref="J22:J45" si="0">IF(SUM(C22)=0,"NA",K22*1000/C22)</f>
        <v>4.6340414078312655</v>
      </c>
      <c r="K22" s="3277">
        <v>110.56422881311903</v>
      </c>
      <c r="M22" s="1594" t="s">
        <v>800</v>
      </c>
      <c r="N22" s="4486" t="s">
        <v>2196</v>
      </c>
      <c r="O22" s="1690" t="s">
        <v>802</v>
      </c>
      <c r="P22" s="1691" t="s">
        <v>791</v>
      </c>
      <c r="Q22" s="3774">
        <v>4.40397855135872</v>
      </c>
      <c r="R22" s="300" t="s">
        <v>2146</v>
      </c>
      <c r="S22" s="3772">
        <v>5.3232094731769104</v>
      </c>
      <c r="T22" s="3772">
        <v>0.72670676283210256</v>
      </c>
      <c r="U22" s="3772" t="s">
        <v>2146</v>
      </c>
      <c r="V22" s="3772" t="s">
        <v>2153</v>
      </c>
      <c r="W22" s="3772" t="s">
        <v>2146</v>
      </c>
      <c r="X22" s="3772">
        <v>89.546105212632298</v>
      </c>
      <c r="Y22" s="301" t="s">
        <v>2146</v>
      </c>
      <c r="Z22" s="301" t="s">
        <v>2146</v>
      </c>
      <c r="AA22" s="301" t="s">
        <v>2146</v>
      </c>
      <c r="AB22" s="1306" t="s">
        <v>2146</v>
      </c>
    </row>
    <row r="23" spans="2:28" s="84" customFormat="1" ht="18" customHeight="1" x14ac:dyDescent="0.2">
      <c r="B23" s="2642" t="s">
        <v>2198</v>
      </c>
      <c r="C23" s="3325">
        <f>Table3.A!C23</f>
        <v>644.17700000000002</v>
      </c>
      <c r="D23" s="3325" t="s">
        <v>2146</v>
      </c>
      <c r="E23" s="3325">
        <v>100</v>
      </c>
      <c r="F23" s="3325" t="s">
        <v>2146</v>
      </c>
      <c r="G23" s="3298">
        <f>Table3.A!M10</f>
        <v>524.16549441456402</v>
      </c>
      <c r="H23" s="3299">
        <v>1.7151138713634699</v>
      </c>
      <c r="I23" s="3300">
        <v>0.19</v>
      </c>
      <c r="J23" s="3301">
        <f t="shared" si="0"/>
        <v>3.5051637310371175</v>
      </c>
      <c r="K23" s="3277">
        <v>2.2579458567682975</v>
      </c>
      <c r="M23" s="1664" t="s">
        <v>813</v>
      </c>
      <c r="N23" s="4487"/>
      <c r="O23" s="1692" t="s">
        <v>794</v>
      </c>
      <c r="P23" s="1693" t="s">
        <v>792</v>
      </c>
      <c r="Q23" s="3776">
        <v>5.6918027937775397</v>
      </c>
      <c r="R23" s="277" t="s">
        <v>2146</v>
      </c>
      <c r="S23" s="691">
        <v>4.0231382339031398</v>
      </c>
      <c r="T23" s="3147">
        <v>1.1315480086313308</v>
      </c>
      <c r="U23" s="3147" t="s">
        <v>2146</v>
      </c>
      <c r="V23" s="3147" t="s">
        <v>2153</v>
      </c>
      <c r="W23" s="3147" t="s">
        <v>2146</v>
      </c>
      <c r="X23" s="3147">
        <v>89.153510963688007</v>
      </c>
      <c r="Y23" s="278" t="s">
        <v>2146</v>
      </c>
      <c r="Z23" s="278" t="s">
        <v>2146</v>
      </c>
      <c r="AA23" s="278" t="s">
        <v>2146</v>
      </c>
      <c r="AB23" s="279" t="s">
        <v>2146</v>
      </c>
    </row>
    <row r="24" spans="2:28" s="84" customFormat="1" ht="18" customHeight="1" thickBot="1" x14ac:dyDescent="0.25">
      <c r="B24" s="1643" t="s">
        <v>811</v>
      </c>
      <c r="C24" s="4184">
        <f>C25</f>
        <v>110927.735</v>
      </c>
      <c r="D24" s="3303"/>
      <c r="E24" s="3303"/>
      <c r="F24" s="3303"/>
      <c r="G24" s="3303"/>
      <c r="H24" s="3303"/>
      <c r="I24" s="3304"/>
      <c r="J24" s="3301">
        <f t="shared" si="0"/>
        <v>0.35361117029573125</v>
      </c>
      <c r="K24" s="3281">
        <f>K25</f>
        <v>39.225286191604745</v>
      </c>
      <c r="M24" s="1656"/>
      <c r="N24" s="4487"/>
      <c r="O24" s="1694"/>
      <c r="P24" s="1693" t="s">
        <v>793</v>
      </c>
      <c r="Q24" s="4208">
        <v>4.1465831853620001</v>
      </c>
      <c r="R24" s="304" t="s">
        <v>2146</v>
      </c>
      <c r="S24" s="1559">
        <v>7.1569831559995203</v>
      </c>
      <c r="T24" s="1560">
        <v>2.000459335326866</v>
      </c>
      <c r="U24" s="1560" t="s">
        <v>2146</v>
      </c>
      <c r="V24" s="1560" t="s">
        <v>2153</v>
      </c>
      <c r="W24" s="1560" t="s">
        <v>2146</v>
      </c>
      <c r="X24" s="1560">
        <v>86.695974323311603</v>
      </c>
      <c r="Y24" s="305" t="s">
        <v>2146</v>
      </c>
      <c r="Z24" s="305" t="s">
        <v>2146</v>
      </c>
      <c r="AA24" s="305" t="s">
        <v>2146</v>
      </c>
      <c r="AB24" s="442" t="s">
        <v>2146</v>
      </c>
    </row>
    <row r="25" spans="2:28" s="84" customFormat="1" ht="18" customHeight="1" x14ac:dyDescent="0.2">
      <c r="B25" s="1644" t="s">
        <v>812</v>
      </c>
      <c r="C25" s="4184">
        <f>C26</f>
        <v>110927.735</v>
      </c>
      <c r="D25" s="3250"/>
      <c r="E25" s="3250"/>
      <c r="F25" s="3250"/>
      <c r="G25" s="3250"/>
      <c r="H25" s="3250"/>
      <c r="I25" s="3260"/>
      <c r="J25" s="3301">
        <f t="shared" si="0"/>
        <v>0.35361117029573125</v>
      </c>
      <c r="K25" s="3281">
        <f>K26</f>
        <v>39.225286191604745</v>
      </c>
      <c r="M25" s="1656"/>
      <c r="N25" s="4487"/>
      <c r="O25" s="1695" t="s">
        <v>2026</v>
      </c>
      <c r="P25" s="1691" t="s">
        <v>791</v>
      </c>
      <c r="Q25" s="4209">
        <v>0.70005648643937002</v>
      </c>
      <c r="R25" s="1308" t="s">
        <v>2146</v>
      </c>
      <c r="S25" s="692">
        <v>2.8708105852910001E-2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110927.735</v>
      </c>
      <c r="D26" s="3325" t="s">
        <v>2146</v>
      </c>
      <c r="E26" s="3325">
        <v>100</v>
      </c>
      <c r="F26" s="3325" t="s">
        <v>2146</v>
      </c>
      <c r="G26" s="3305">
        <f>Table3.A!N10</f>
        <v>45.482098234797903</v>
      </c>
      <c r="H26" s="3033" t="s">
        <v>2147</v>
      </c>
      <c r="I26" s="3126" t="s">
        <v>2147</v>
      </c>
      <c r="J26" s="3301">
        <f t="shared" si="0"/>
        <v>0.35361117029573125</v>
      </c>
      <c r="K26" s="3277">
        <v>39.225286191604745</v>
      </c>
      <c r="M26" s="1656"/>
      <c r="N26" s="4487"/>
      <c r="O26" s="1696"/>
      <c r="P26" s="1693" t="s">
        <v>792</v>
      </c>
      <c r="Q26" s="3776">
        <v>0.74472376125413997</v>
      </c>
      <c r="R26" s="277" t="s">
        <v>2146</v>
      </c>
      <c r="S26" s="691">
        <v>7.4837579894530007E-2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2748.0129999999999</v>
      </c>
      <c r="D27" s="3250"/>
      <c r="E27" s="3250"/>
      <c r="F27" s="3250"/>
      <c r="G27" s="3250"/>
      <c r="H27" s="3250"/>
      <c r="I27" s="3260"/>
      <c r="J27" s="3301">
        <f t="shared" si="0"/>
        <v>20.387698856785192</v>
      </c>
      <c r="K27" s="3281">
        <f>K28</f>
        <v>56.025661498530845</v>
      </c>
      <c r="M27" s="1656"/>
      <c r="N27" s="4488"/>
      <c r="O27" s="1697"/>
      <c r="P27" s="1693" t="s">
        <v>793</v>
      </c>
      <c r="Q27" s="4208">
        <v>0.8</v>
      </c>
      <c r="R27" s="304" t="s">
        <v>2146</v>
      </c>
      <c r="S27" s="1559">
        <v>0.25865671641790999</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2748.0129999999999</v>
      </c>
      <c r="D28" s="3250"/>
      <c r="E28" s="3250"/>
      <c r="F28" s="3250"/>
      <c r="G28" s="3250"/>
      <c r="H28" s="3250"/>
      <c r="I28" s="3260"/>
      <c r="J28" s="3301">
        <f t="shared" si="0"/>
        <v>20.387698856785192</v>
      </c>
      <c r="K28" s="3281">
        <f>K29</f>
        <v>56.025661498530845</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2748.0129999999999</v>
      </c>
      <c r="D29" s="3325">
        <v>0.80432661708660003</v>
      </c>
      <c r="E29" s="3325">
        <v>99.195673382913398</v>
      </c>
      <c r="F29" s="3325" t="s">
        <v>2146</v>
      </c>
      <c r="G29" s="3305">
        <f>Table3.A!O10</f>
        <v>53.8312395174259</v>
      </c>
      <c r="H29" s="3033">
        <v>0.35222380010176002</v>
      </c>
      <c r="I29" s="3126">
        <v>0.45</v>
      </c>
      <c r="J29" s="3301">
        <f t="shared" si="0"/>
        <v>20.387698856785192</v>
      </c>
      <c r="K29" s="3277">
        <v>56.025661498530845</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59769.504000000001</v>
      </c>
      <c r="D30" s="3250"/>
      <c r="E30" s="3250"/>
      <c r="F30" s="3250"/>
      <c r="G30" s="3250"/>
      <c r="H30" s="3250"/>
      <c r="I30" s="3260"/>
      <c r="J30" s="3301">
        <f t="shared" si="0"/>
        <v>5.5691988806653381E-2</v>
      </c>
      <c r="K30" s="3281">
        <f>SUM(K32:K39)</f>
        <v>3.3286825477472242</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7.327</v>
      </c>
      <c r="D32" s="3325" t="s">
        <v>2146</v>
      </c>
      <c r="E32" s="3325" t="s">
        <v>2146</v>
      </c>
      <c r="F32" s="3325">
        <v>100</v>
      </c>
      <c r="G32" s="3307" t="s">
        <v>2147</v>
      </c>
      <c r="H32" s="3307" t="s">
        <v>2147</v>
      </c>
      <c r="I32" s="3307" t="s">
        <v>2147</v>
      </c>
      <c r="J32" s="3301">
        <f t="shared" si="0"/>
        <v>11.569996682399513</v>
      </c>
      <c r="K32" s="3277">
        <v>8.4773365691941216E-2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2.613</v>
      </c>
      <c r="D33" s="3325" t="s">
        <v>2146</v>
      </c>
      <c r="E33" s="3325">
        <v>44.477225732511698</v>
      </c>
      <c r="F33" s="3325">
        <v>55.522774267488302</v>
      </c>
      <c r="G33" s="3307" t="s">
        <v>2147</v>
      </c>
      <c r="H33" s="3307" t="s">
        <v>2147</v>
      </c>
      <c r="I33" s="3307" t="s">
        <v>2147</v>
      </c>
      <c r="J33" s="3287">
        <f t="shared" si="0"/>
        <v>7.759150325349399</v>
      </c>
      <c r="K33" s="3277">
        <v>2.0274659800137977E-2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131.94</v>
      </c>
      <c r="D34" s="3325" t="s">
        <v>2146</v>
      </c>
      <c r="E34" s="3325">
        <v>100</v>
      </c>
      <c r="F34" s="3325" t="e">
        <v>#VALUE!</v>
      </c>
      <c r="G34" s="3307" t="s">
        <v>2147</v>
      </c>
      <c r="H34" s="3307" t="s">
        <v>2147</v>
      </c>
      <c r="I34" s="3307" t="s">
        <v>2147</v>
      </c>
      <c r="J34" s="3287">
        <f t="shared" si="0"/>
        <v>0.99987284628450601</v>
      </c>
      <c r="K34" s="3277">
        <v>0.13192322333877771</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391.11799999999999</v>
      </c>
      <c r="D35" s="3325" t="s">
        <v>2146</v>
      </c>
      <c r="E35" s="3325">
        <v>99.940938517498822</v>
      </c>
      <c r="F35" s="3325">
        <v>5.9061482501179999E-2</v>
      </c>
      <c r="G35" s="3307" t="s">
        <v>2147</v>
      </c>
      <c r="H35" s="3307" t="s">
        <v>2147</v>
      </c>
      <c r="I35" s="3307" t="s">
        <v>2147</v>
      </c>
      <c r="J35" s="3287">
        <f t="shared" si="0"/>
        <v>0.35792538265847512</v>
      </c>
      <c r="K35" s="3277">
        <v>0.13999105981461746</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7.5</v>
      </c>
      <c r="Z35" s="278" t="s">
        <v>2146</v>
      </c>
      <c r="AA35" s="278" t="s">
        <v>2146</v>
      </c>
      <c r="AB35" s="279" t="s">
        <v>2146</v>
      </c>
    </row>
    <row r="36" spans="2:28" s="84" customFormat="1" ht="18" customHeight="1" thickBot="1" x14ac:dyDescent="0.25">
      <c r="B36" s="1644" t="s">
        <v>822</v>
      </c>
      <c r="C36" s="3307">
        <f>Table3.A!C36</f>
        <v>223.99799999999999</v>
      </c>
      <c r="D36" s="3325" t="s">
        <v>2146</v>
      </c>
      <c r="E36" s="3325">
        <v>95.815594924588524</v>
      </c>
      <c r="F36" s="3325">
        <v>4.1844050754114797</v>
      </c>
      <c r="G36" s="3307" t="s">
        <v>2147</v>
      </c>
      <c r="H36" s="3307" t="s">
        <v>2147</v>
      </c>
      <c r="I36" s="3307" t="s">
        <v>2147</v>
      </c>
      <c r="J36" s="3287">
        <f t="shared" si="0"/>
        <v>3.358253526440619</v>
      </c>
      <c r="K36" s="3277">
        <v>0.75224207341564575</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0.85599999999999998</v>
      </c>
      <c r="D37" s="3325" t="s">
        <v>2146</v>
      </c>
      <c r="E37" s="3325">
        <v>94.786091617926118</v>
      </c>
      <c r="F37" s="3325">
        <v>5.2139083820738801</v>
      </c>
      <c r="G37" s="3307" t="s">
        <v>2147</v>
      </c>
      <c r="H37" s="3307" t="s">
        <v>2147</v>
      </c>
      <c r="I37" s="3307" t="s">
        <v>2147</v>
      </c>
      <c r="J37" s="3287">
        <f t="shared" si="0"/>
        <v>1.1486262728561252</v>
      </c>
      <c r="K37" s="3277">
        <v>9.8322408956484316E-4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58910.815000000002</v>
      </c>
      <c r="D38" s="3325">
        <v>1.0317361927400801</v>
      </c>
      <c r="E38" s="3325">
        <v>98.968263807259916</v>
      </c>
      <c r="F38" s="3325" t="s">
        <v>2146</v>
      </c>
      <c r="G38" s="3307" t="s">
        <v>2147</v>
      </c>
      <c r="H38" s="3307" t="s">
        <v>2147</v>
      </c>
      <c r="I38" s="3307" t="s">
        <v>2147</v>
      </c>
      <c r="J38" s="3287">
        <f t="shared" si="0"/>
        <v>3.6707415975530198E-2</v>
      </c>
      <c r="K38" s="3277">
        <v>2.1624637916625042</v>
      </c>
      <c r="M38" s="1656"/>
      <c r="N38" s="4487"/>
      <c r="O38" s="1696"/>
      <c r="P38" s="1693" t="s">
        <v>792</v>
      </c>
      <c r="Q38" s="3776">
        <v>0.76200431128639001</v>
      </c>
      <c r="R38" s="277" t="s">
        <v>2146</v>
      </c>
      <c r="S38" s="277" t="s">
        <v>2146</v>
      </c>
      <c r="T38" s="3147" t="s">
        <v>2153</v>
      </c>
      <c r="U38" s="3147" t="s">
        <v>2146</v>
      </c>
      <c r="V38" s="3147">
        <v>2.1002545399874187E-2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100.837</v>
      </c>
      <c r="D39" s="3294"/>
      <c r="E39" s="3294"/>
      <c r="F39" s="3294"/>
      <c r="G39" s="3294"/>
      <c r="H39" s="3294"/>
      <c r="I39" s="3295"/>
      <c r="J39" s="3287">
        <f t="shared" si="0"/>
        <v>0.35732072487315952</v>
      </c>
      <c r="K39" s="3281">
        <f>SUM(K40:K44)</f>
        <v>3.6031149934034785E-2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57.7</v>
      </c>
      <c r="R40" s="300" t="s">
        <v>2146</v>
      </c>
      <c r="S40" s="300" t="s">
        <v>2146</v>
      </c>
      <c r="T40" s="3773" t="s">
        <v>2153</v>
      </c>
      <c r="U40" s="3773" t="s">
        <v>2153</v>
      </c>
      <c r="V40" s="3773">
        <v>38.299999999999997</v>
      </c>
      <c r="W40" s="3773" t="s">
        <v>2153</v>
      </c>
      <c r="X40" s="301" t="s">
        <v>2146</v>
      </c>
      <c r="Y40" s="301" t="s">
        <v>2146</v>
      </c>
      <c r="Z40" s="3773" t="s">
        <v>2146</v>
      </c>
      <c r="AA40" s="301" t="s">
        <v>2146</v>
      </c>
      <c r="AB40" s="3775">
        <v>34.4</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66.213836988762395</v>
      </c>
      <c r="R41" s="277" t="s">
        <v>2146</v>
      </c>
      <c r="S41" s="277" t="s">
        <v>2146</v>
      </c>
      <c r="T41" s="3147" t="s">
        <v>2153</v>
      </c>
      <c r="U41" s="3147" t="s">
        <v>2153</v>
      </c>
      <c r="V41" s="3147">
        <v>30.286454085188097</v>
      </c>
      <c r="W41" s="3147" t="s">
        <v>2153</v>
      </c>
      <c r="X41" s="278" t="s">
        <v>2146</v>
      </c>
      <c r="Y41" s="278" t="s">
        <v>2146</v>
      </c>
      <c r="Z41" s="3147">
        <v>0.30422727257839999</v>
      </c>
      <c r="AA41" s="278" t="s">
        <v>2146</v>
      </c>
      <c r="AB41" s="2911">
        <v>25.684760843562199</v>
      </c>
    </row>
    <row r="42" spans="2:28" s="84" customFormat="1" ht="18" customHeight="1" thickBot="1" x14ac:dyDescent="0.25">
      <c r="B42" s="350" t="s">
        <v>828</v>
      </c>
      <c r="C42" s="3307">
        <f>Table3.A!C42</f>
        <v>82.753</v>
      </c>
      <c r="D42" s="3325" t="s">
        <v>2146</v>
      </c>
      <c r="E42" s="3325">
        <v>100</v>
      </c>
      <c r="F42" s="3325" t="s">
        <v>2146</v>
      </c>
      <c r="G42" s="3307" t="s">
        <v>2147</v>
      </c>
      <c r="H42" s="3307" t="s">
        <v>2147</v>
      </c>
      <c r="I42" s="3307" t="s">
        <v>2147</v>
      </c>
      <c r="J42" s="3287">
        <f t="shared" si="0"/>
        <v>0.35732226148342072</v>
      </c>
      <c r="K42" s="3277">
        <v>2.9569489104537518E-2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1.8433420365535247</v>
      </c>
      <c r="W43" s="3773" t="s">
        <v>2153</v>
      </c>
      <c r="X43" s="301" t="s">
        <v>2146</v>
      </c>
      <c r="Y43" s="301" t="s">
        <v>2146</v>
      </c>
      <c r="Z43" s="3773" t="s">
        <v>2146</v>
      </c>
      <c r="AA43" s="301" t="s">
        <v>2146</v>
      </c>
      <c r="AB43" s="3775">
        <v>3.9302325581399997E-2</v>
      </c>
    </row>
    <row r="44" spans="2:28" s="84" customFormat="1" ht="18" customHeight="1" x14ac:dyDescent="0.2">
      <c r="B44" s="2644" t="s">
        <v>2091</v>
      </c>
      <c r="C44" s="4184">
        <f>C45</f>
        <v>18.084</v>
      </c>
      <c r="D44" s="3294"/>
      <c r="E44" s="3294"/>
      <c r="F44" s="3294"/>
      <c r="G44" s="3294"/>
      <c r="H44" s="3294"/>
      <c r="I44" s="3295"/>
      <c r="J44" s="3287">
        <f t="shared" si="0"/>
        <v>0.35731369329226215</v>
      </c>
      <c r="K44" s="3281">
        <f>K45</f>
        <v>6.4616608294972688E-3</v>
      </c>
      <c r="M44" s="4491"/>
      <c r="N44" s="4492"/>
      <c r="O44" s="1696"/>
      <c r="P44" s="1693" t="s">
        <v>792</v>
      </c>
      <c r="Q44" s="3776">
        <v>0.75445210223375003</v>
      </c>
      <c r="R44" s="277" t="s">
        <v>2146</v>
      </c>
      <c r="S44" s="277" t="s">
        <v>2146</v>
      </c>
      <c r="T44" s="3147" t="s">
        <v>2153</v>
      </c>
      <c r="U44" s="3147" t="s">
        <v>2153</v>
      </c>
      <c r="V44" s="3147">
        <v>1.8956990935466971</v>
      </c>
      <c r="W44" s="3147" t="s">
        <v>2153</v>
      </c>
      <c r="X44" s="278" t="s">
        <v>2146</v>
      </c>
      <c r="Y44" s="278" t="s">
        <v>2146</v>
      </c>
      <c r="Z44" s="3147">
        <v>0.1</v>
      </c>
      <c r="AA44" s="278" t="s">
        <v>2146</v>
      </c>
      <c r="AB44" s="2911">
        <v>3.9484928339459997E-2</v>
      </c>
    </row>
    <row r="45" spans="2:28" s="84" customFormat="1" ht="18" customHeight="1" thickBot="1" x14ac:dyDescent="0.25">
      <c r="B45" s="2648" t="s">
        <v>2199</v>
      </c>
      <c r="C45" s="4186">
        <f>Table3.A!C45</f>
        <v>18.084</v>
      </c>
      <c r="D45" s="3040" t="s">
        <v>2146</v>
      </c>
      <c r="E45" s="3040">
        <v>100</v>
      </c>
      <c r="F45" s="3040" t="s">
        <v>2146</v>
      </c>
      <c r="G45" s="3040" t="s">
        <v>2147</v>
      </c>
      <c r="H45" s="3040" t="s">
        <v>2147</v>
      </c>
      <c r="I45" s="3308" t="s">
        <v>2147</v>
      </c>
      <c r="J45" s="3309">
        <f t="shared" si="0"/>
        <v>0.35731369329226215</v>
      </c>
      <c r="K45" s="3278">
        <v>6.4616608294972688E-3</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52.016616976432573</v>
      </c>
      <c r="U46" s="3773" t="s">
        <v>2146</v>
      </c>
      <c r="V46" s="3773" t="s">
        <v>2146</v>
      </c>
      <c r="W46" s="3773" t="s">
        <v>2153</v>
      </c>
      <c r="X46" s="3773">
        <v>0.52967182465679996</v>
      </c>
      <c r="Y46" s="3773">
        <v>17.043734677281201</v>
      </c>
      <c r="Z46" s="3773">
        <v>0.56791759794020003</v>
      </c>
      <c r="AA46" s="301" t="s">
        <v>2146</v>
      </c>
      <c r="AB46" s="3775">
        <v>99.470328175343198</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45.694860592924307</v>
      </c>
      <c r="U47" s="3147" t="s">
        <v>2146</v>
      </c>
      <c r="V47" s="3147" t="s">
        <v>2146</v>
      </c>
      <c r="W47" s="3147" t="s">
        <v>2153</v>
      </c>
      <c r="X47" s="3147">
        <v>0.56155576346867997</v>
      </c>
      <c r="Y47" s="3147">
        <v>18.509837893698599</v>
      </c>
      <c r="Z47" s="3147">
        <v>0.31044682104954002</v>
      </c>
      <c r="AA47" s="278" t="s">
        <v>2146</v>
      </c>
      <c r="AB47" s="2911">
        <v>99.438444236531296</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1.9999999999999997E-2</v>
      </c>
      <c r="U50" s="3147" t="s">
        <v>2146</v>
      </c>
      <c r="V50" s="3147" t="s">
        <v>2146</v>
      </c>
      <c r="W50" s="3147" t="s">
        <v>2153</v>
      </c>
      <c r="X50" s="3147">
        <v>1.316724322273E-2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27720.600999999999</v>
      </c>
      <c r="D10" s="3490"/>
      <c r="E10" s="3491"/>
      <c r="F10" s="3478">
        <f>F15</f>
        <v>23401427.622720592</v>
      </c>
      <c r="G10" s="3478" t="str">
        <f t="shared" ref="G10:R10" si="0">G15</f>
        <v>NO</v>
      </c>
      <c r="H10" s="3478">
        <f t="shared" si="0"/>
        <v>16282693.935446</v>
      </c>
      <c r="I10" s="3478">
        <f t="shared" si="0"/>
        <v>4400525.2552973218</v>
      </c>
      <c r="J10" s="3478" t="str">
        <f t="shared" si="0"/>
        <v>NO</v>
      </c>
      <c r="K10" s="3478">
        <f t="shared" si="0"/>
        <v>61191897.423953682</v>
      </c>
      <c r="L10" s="3478">
        <f t="shared" si="0"/>
        <v>2679673.2710062186</v>
      </c>
      <c r="M10" s="3478">
        <f t="shared" si="0"/>
        <v>1201318692.7634292</v>
      </c>
      <c r="N10" s="3478">
        <f t="shared" si="0"/>
        <v>2679673.2710062186</v>
      </c>
      <c r="O10" s="3478" t="str">
        <f t="shared" si="0"/>
        <v>NO</v>
      </c>
      <c r="P10" s="3478" t="str">
        <f t="shared" si="0"/>
        <v>NO</v>
      </c>
      <c r="Q10" s="3478" t="str">
        <f t="shared" si="0"/>
        <v>NO</v>
      </c>
      <c r="R10" s="3478">
        <f t="shared" si="0"/>
        <v>1311954583.5428591</v>
      </c>
      <c r="S10" s="2651"/>
      <c r="T10" s="2652"/>
      <c r="U10" s="3456">
        <f>IF(SUM(X10)=0,"NA",X10*1000/C10)</f>
        <v>2.1186238086907141E-2</v>
      </c>
      <c r="V10" s="3448"/>
      <c r="W10" s="3449"/>
      <c r="X10" s="3311">
        <f t="shared" ref="X10" si="1">X15</f>
        <v>0.58729525269815608</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27720.600999999999</v>
      </c>
      <c r="D15" s="3493"/>
      <c r="E15" s="3493"/>
      <c r="F15" s="2649">
        <f>F20</f>
        <v>23401427.622720592</v>
      </c>
      <c r="G15" s="2649" t="str">
        <f t="shared" ref="G15:R15" si="2">G20</f>
        <v>NO</v>
      </c>
      <c r="H15" s="2649">
        <f t="shared" si="2"/>
        <v>16282693.935446</v>
      </c>
      <c r="I15" s="2649">
        <f t="shared" si="2"/>
        <v>4400525.2552973218</v>
      </c>
      <c r="J15" s="2649" t="str">
        <f t="shared" si="2"/>
        <v>NO</v>
      </c>
      <c r="K15" s="2649">
        <f t="shared" si="2"/>
        <v>61191897.423953682</v>
      </c>
      <c r="L15" s="2649">
        <f t="shared" si="2"/>
        <v>2679673.2710062186</v>
      </c>
      <c r="M15" s="2649">
        <f t="shared" si="2"/>
        <v>1201318692.7634292</v>
      </c>
      <c r="N15" s="2649">
        <f t="shared" si="2"/>
        <v>2679673.2710062186</v>
      </c>
      <c r="O15" s="2649" t="str">
        <f t="shared" si="2"/>
        <v>NO</v>
      </c>
      <c r="P15" s="2649" t="str">
        <f t="shared" si="2"/>
        <v>NO</v>
      </c>
      <c r="Q15" s="2649" t="str">
        <f t="shared" si="2"/>
        <v>NO</v>
      </c>
      <c r="R15" s="2649">
        <f t="shared" si="2"/>
        <v>1311954583.5428591</v>
      </c>
      <c r="S15" s="2657"/>
      <c r="T15" s="2658"/>
      <c r="U15" s="3456">
        <f>IF(SUM(X15)=0,"NA",X15*1000/C15)</f>
        <v>2.1186238086907141E-2</v>
      </c>
      <c r="V15" s="3454"/>
      <c r="W15" s="3455"/>
      <c r="X15" s="3314">
        <f t="shared" ref="X15" si="3">X20</f>
        <v>0.58729525269815608</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27720.600999999999</v>
      </c>
      <c r="D20" s="3492"/>
      <c r="E20" s="3492"/>
      <c r="F20" s="2649">
        <f>IF(SUM(F21:F23)=0,"NO",SUM(F21:F23))</f>
        <v>23401427.622720592</v>
      </c>
      <c r="G20" s="2649" t="str">
        <f t="shared" ref="G20:Q20" si="6">IF(SUM(G21:G23)=0,"NO",SUM(G21:G23))</f>
        <v>NO</v>
      </c>
      <c r="H20" s="2649">
        <f t="shared" si="6"/>
        <v>16282693.935446</v>
      </c>
      <c r="I20" s="2649">
        <f t="shared" si="6"/>
        <v>4400525.2552973218</v>
      </c>
      <c r="J20" s="2649" t="str">
        <f t="shared" si="6"/>
        <v>NO</v>
      </c>
      <c r="K20" s="2649">
        <f t="shared" si="6"/>
        <v>61191897.423953682</v>
      </c>
      <c r="L20" s="2649">
        <f t="shared" si="6"/>
        <v>2679673.2710062186</v>
      </c>
      <c r="M20" s="2649">
        <f t="shared" si="6"/>
        <v>1201318692.7634292</v>
      </c>
      <c r="N20" s="2649">
        <f t="shared" si="6"/>
        <v>2679673.2710062186</v>
      </c>
      <c r="O20" s="2649" t="str">
        <f t="shared" si="6"/>
        <v>NO</v>
      </c>
      <c r="P20" s="2649" t="str">
        <f t="shared" si="6"/>
        <v>NO</v>
      </c>
      <c r="Q20" s="2649" t="str">
        <f t="shared" si="6"/>
        <v>NO</v>
      </c>
      <c r="R20" s="3482">
        <f>IF(SUM(F20:Q20)=0,"NO",SUM(F20:Q20))</f>
        <v>1311954583.5428591</v>
      </c>
      <c r="S20" s="2657"/>
      <c r="T20" s="2658"/>
      <c r="U20" s="3456">
        <f t="shared" si="4"/>
        <v>2.1186238086907141E-2</v>
      </c>
      <c r="V20" s="3454"/>
      <c r="W20" s="3455"/>
      <c r="X20" s="3314">
        <f t="shared" ref="X20" si="7">IF(SUM(X21:X23)=0,"NO",SUM(X21:X23))</f>
        <v>0.58729525269815608</v>
      </c>
      <c r="Y20" s="3173"/>
      <c r="Z20" s="3457"/>
    </row>
    <row r="21" spans="2:26" ht="18" customHeight="1" x14ac:dyDescent="0.2">
      <c r="B21" s="2647" t="s">
        <v>2196</v>
      </c>
      <c r="C21" s="3495">
        <f>Table3.A!C21</f>
        <v>3217.2869999999998</v>
      </c>
      <c r="D21" s="3307">
        <v>125.68780428275794</v>
      </c>
      <c r="E21" s="3494">
        <f>'Table3.B(a)'!G21</f>
        <v>461.79261965832001</v>
      </c>
      <c r="F21" s="3479">
        <v>22547575.279330399</v>
      </c>
      <c r="G21" s="3479" t="s">
        <v>2146</v>
      </c>
      <c r="H21" s="3479">
        <v>16282693.935446</v>
      </c>
      <c r="I21" s="3479">
        <v>4400525.2552973218</v>
      </c>
      <c r="J21" s="3479" t="s">
        <v>2146</v>
      </c>
      <c r="K21" s="3479" t="s">
        <v>2153</v>
      </c>
      <c r="L21" s="3479" t="s">
        <v>2146</v>
      </c>
      <c r="M21" s="3479">
        <v>361142892.775388</v>
      </c>
      <c r="N21" s="3479" t="s">
        <v>2146</v>
      </c>
      <c r="O21" s="3479" t="s">
        <v>2146</v>
      </c>
      <c r="P21" s="3479" t="s">
        <v>2146</v>
      </c>
      <c r="Q21" s="3479" t="s">
        <v>2146</v>
      </c>
      <c r="R21" s="3482">
        <f t="shared" ref="R21:R45" si="8">IF(SUM(F21:Q21)=0,"NO",SUM(F21:Q21))</f>
        <v>404373687.2454617</v>
      </c>
      <c r="S21" s="2657"/>
      <c r="T21" s="2658"/>
      <c r="U21" s="3456">
        <f t="shared" si="4"/>
        <v>1.0746804863021577E-2</v>
      </c>
      <c r="V21" s="3454"/>
      <c r="W21" s="3455"/>
      <c r="X21" s="3315">
        <v>3.4575555577336096E-2</v>
      </c>
      <c r="Y21" s="3173"/>
      <c r="Z21" s="3457"/>
    </row>
    <row r="22" spans="2:26" ht="18" customHeight="1" x14ac:dyDescent="0.2">
      <c r="B22" s="2647" t="s">
        <v>2197</v>
      </c>
      <c r="C22" s="3495">
        <f>Table3.A!C22</f>
        <v>23859.136999999999</v>
      </c>
      <c r="D22" s="3307">
        <v>35.214005925523054</v>
      </c>
      <c r="E22" s="3494">
        <f>'Table3.B(a)'!G22</f>
        <v>359.36970069139801</v>
      </c>
      <c r="F22" s="3483" t="s">
        <v>2146</v>
      </c>
      <c r="G22" s="3479" t="s">
        <v>2146</v>
      </c>
      <c r="H22" s="3483" t="s">
        <v>2146</v>
      </c>
      <c r="I22" s="3483" t="s">
        <v>2146</v>
      </c>
      <c r="J22" s="3483" t="s">
        <v>2146</v>
      </c>
      <c r="K22" s="3483" t="s">
        <v>2146</v>
      </c>
      <c r="L22" s="3483" t="s">
        <v>2146</v>
      </c>
      <c r="M22" s="3483">
        <v>840175799.98804104</v>
      </c>
      <c r="N22" s="3483" t="s">
        <v>2146</v>
      </c>
      <c r="O22" s="3483" t="s">
        <v>2146</v>
      </c>
      <c r="P22" s="3483" t="s">
        <v>2146</v>
      </c>
      <c r="Q22" s="3483" t="s">
        <v>2146</v>
      </c>
      <c r="R22" s="3482">
        <f t="shared" si="8"/>
        <v>840175799.98804104</v>
      </c>
      <c r="S22" s="2657"/>
      <c r="T22" s="2658"/>
      <c r="U22" s="3456" t="str">
        <f>IF(SUM(X22)=0,"NA",X22*1000/C22)</f>
        <v>NA</v>
      </c>
      <c r="V22" s="3454"/>
      <c r="W22" s="3455"/>
      <c r="X22" s="3315" t="s">
        <v>2147</v>
      </c>
      <c r="Y22" s="3173"/>
      <c r="Z22" s="3457"/>
    </row>
    <row r="23" spans="2:26" ht="18" customHeight="1" x14ac:dyDescent="0.2">
      <c r="B23" s="2647" t="s">
        <v>2198</v>
      </c>
      <c r="C23" s="3495">
        <f>Table3.A!C23</f>
        <v>644.17700000000002</v>
      </c>
      <c r="D23" s="3307">
        <v>73.638499529847891</v>
      </c>
      <c r="E23" s="3494">
        <f>'Table3.B(a)'!G23</f>
        <v>524.16549441456402</v>
      </c>
      <c r="F23" s="3483">
        <v>853852.34339019202</v>
      </c>
      <c r="G23" s="3479" t="s">
        <v>2146</v>
      </c>
      <c r="H23" s="3483" t="s">
        <v>2146</v>
      </c>
      <c r="I23" s="3483" t="s">
        <v>2153</v>
      </c>
      <c r="J23" s="3483" t="s">
        <v>2153</v>
      </c>
      <c r="K23" s="3483">
        <v>61191897.423953682</v>
      </c>
      <c r="L23" s="3483">
        <v>2679673.2710062186</v>
      </c>
      <c r="M23" s="3483" t="s">
        <v>2146</v>
      </c>
      <c r="N23" s="3483">
        <v>2679673.2710062186</v>
      </c>
      <c r="O23" s="3483" t="s">
        <v>2146</v>
      </c>
      <c r="P23" s="3483" t="s">
        <v>2146</v>
      </c>
      <c r="Q23" s="3483" t="s">
        <v>2146</v>
      </c>
      <c r="R23" s="3482">
        <f t="shared" si="8"/>
        <v>67405096.309356302</v>
      </c>
      <c r="S23" s="2657"/>
      <c r="T23" s="2658"/>
      <c r="U23" s="3456">
        <f t="shared" ref="U23:U30" si="9">IF(SUM(X23)=0,"NA",X23*1000/C23)</f>
        <v>0.85802457573123536</v>
      </c>
      <c r="V23" s="3454"/>
      <c r="W23" s="3455"/>
      <c r="X23" s="3315">
        <v>0.55271969712082003</v>
      </c>
      <c r="Y23" s="3173"/>
      <c r="Z23" s="3457"/>
    </row>
    <row r="24" spans="2:26" ht="18" customHeight="1" x14ac:dyDescent="0.2">
      <c r="B24" s="351" t="s">
        <v>811</v>
      </c>
      <c r="C24" s="3314">
        <f>C25</f>
        <v>110927.735</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779314488.78670001</v>
      </c>
      <c r="N24" s="2649" t="str">
        <f t="shared" si="10"/>
        <v>NO</v>
      </c>
      <c r="O24" s="2649" t="str">
        <f t="shared" si="10"/>
        <v>NO</v>
      </c>
      <c r="P24" s="2649" t="str">
        <f t="shared" si="10"/>
        <v>NO</v>
      </c>
      <c r="Q24" s="2649" t="str">
        <f t="shared" si="10"/>
        <v>NO</v>
      </c>
      <c r="R24" s="3482">
        <f t="shared" si="8"/>
        <v>779314488.78670001</v>
      </c>
      <c r="S24" s="2657"/>
      <c r="T24" s="2658"/>
      <c r="U24" s="3456" t="str">
        <f t="shared" si="9"/>
        <v>NA</v>
      </c>
      <c r="V24" s="3454"/>
      <c r="W24" s="3455"/>
      <c r="X24" s="3314" t="str">
        <f t="shared" ref="X24:X25" si="11">X25</f>
        <v>NA</v>
      </c>
      <c r="Y24" s="3173"/>
      <c r="Z24" s="3457"/>
    </row>
    <row r="25" spans="2:26" ht="18" customHeight="1" x14ac:dyDescent="0.2">
      <c r="B25" s="350" t="s">
        <v>812</v>
      </c>
      <c r="C25" s="3314">
        <f>C26</f>
        <v>110927.735</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779314488.78670001</v>
      </c>
      <c r="N25" s="2649" t="str">
        <f t="shared" si="10"/>
        <v>NO</v>
      </c>
      <c r="O25" s="2649" t="str">
        <f t="shared" si="10"/>
        <v>NO</v>
      </c>
      <c r="P25" s="2649" t="str">
        <f t="shared" si="10"/>
        <v>NO</v>
      </c>
      <c r="Q25" s="2649" t="str">
        <f t="shared" si="10"/>
        <v>NO</v>
      </c>
      <c r="R25" s="3482">
        <f t="shared" si="8"/>
        <v>779314488.78670001</v>
      </c>
      <c r="S25" s="2657"/>
      <c r="T25" s="2658"/>
      <c r="U25" s="3456" t="str">
        <f t="shared" si="9"/>
        <v>NA</v>
      </c>
      <c r="V25" s="3454"/>
      <c r="W25" s="3455"/>
      <c r="X25" s="3314" t="str">
        <f t="shared" si="11"/>
        <v>NA</v>
      </c>
      <c r="Y25" s="3173"/>
      <c r="Z25" s="3457"/>
    </row>
    <row r="26" spans="2:26" ht="18" customHeight="1" x14ac:dyDescent="0.2">
      <c r="B26" s="2642" t="s">
        <v>2201</v>
      </c>
      <c r="C26" s="3495">
        <f>Table3.A!C26</f>
        <v>110927.735</v>
      </c>
      <c r="D26" s="3307">
        <v>7.0254250425433744</v>
      </c>
      <c r="E26" s="3494">
        <f>'Table3.B(a)'!G26</f>
        <v>45.482098234797903</v>
      </c>
      <c r="F26" s="3483" t="s">
        <v>2146</v>
      </c>
      <c r="G26" s="3479" t="s">
        <v>2146</v>
      </c>
      <c r="H26" s="3483" t="s">
        <v>2146</v>
      </c>
      <c r="I26" s="3483" t="s">
        <v>2146</v>
      </c>
      <c r="J26" s="3483" t="s">
        <v>2146</v>
      </c>
      <c r="K26" s="3483" t="s">
        <v>2146</v>
      </c>
      <c r="L26" s="3483" t="s">
        <v>2146</v>
      </c>
      <c r="M26" s="3479">
        <v>779314488.78670001</v>
      </c>
      <c r="N26" s="3483" t="s">
        <v>2146</v>
      </c>
      <c r="O26" s="3483" t="s">
        <v>2146</v>
      </c>
      <c r="P26" s="3483" t="s">
        <v>2146</v>
      </c>
      <c r="Q26" s="3483" t="s">
        <v>2146</v>
      </c>
      <c r="R26" s="3482">
        <f t="shared" si="8"/>
        <v>779314488.78670001</v>
      </c>
      <c r="S26" s="2657"/>
      <c r="T26" s="2658"/>
      <c r="U26" s="3456" t="str">
        <f t="shared" si="9"/>
        <v>NA</v>
      </c>
      <c r="V26" s="3454"/>
      <c r="W26" s="3455"/>
      <c r="X26" s="3315" t="s">
        <v>2147</v>
      </c>
      <c r="Y26" s="3173"/>
      <c r="Z26" s="3457"/>
    </row>
    <row r="27" spans="2:26" ht="18" customHeight="1" x14ac:dyDescent="0.2">
      <c r="B27" s="351" t="s">
        <v>814</v>
      </c>
      <c r="C27" s="3314">
        <f>C28</f>
        <v>2748.0129999999999</v>
      </c>
      <c r="D27" s="3492"/>
      <c r="E27" s="3492"/>
      <c r="F27" s="2649">
        <f>F28</f>
        <v>28316383.997510001</v>
      </c>
      <c r="G27" s="2649" t="str">
        <f t="shared" ref="G27:G28" si="12">G28</f>
        <v>NO</v>
      </c>
      <c r="H27" s="2649" t="str">
        <f t="shared" ref="H27:H28" si="13">H28</f>
        <v>NO</v>
      </c>
      <c r="I27" s="2649" t="str">
        <f t="shared" ref="I27:I28" si="14">I28</f>
        <v>IE</v>
      </c>
      <c r="J27" s="2649" t="str">
        <f t="shared" ref="J27:J28" si="15">J28</f>
        <v>IE</v>
      </c>
      <c r="K27" s="2649">
        <f t="shared" ref="K27:K28" si="16">K28</f>
        <v>12076758.192474499</v>
      </c>
      <c r="L27" s="2649" t="str">
        <f t="shared" ref="L27:L28" si="17">L28</f>
        <v>IE</v>
      </c>
      <c r="M27" s="2649" t="str">
        <f t="shared" ref="M27:M28" si="18">M28</f>
        <v>NO</v>
      </c>
      <c r="N27" s="2649" t="str">
        <f t="shared" ref="N27:N28" si="19">N28</f>
        <v>NO</v>
      </c>
      <c r="O27" s="2649">
        <f t="shared" ref="O27:O28" si="20">O28</f>
        <v>128160.78825</v>
      </c>
      <c r="P27" s="2649" t="str">
        <f t="shared" ref="P27:P28" si="21">P28</f>
        <v>NO</v>
      </c>
      <c r="Q27" s="2649">
        <f t="shared" ref="Q27:Q28" si="22">Q28</f>
        <v>11002910.93134</v>
      </c>
      <c r="R27" s="3482">
        <f t="shared" si="8"/>
        <v>51524213.909574501</v>
      </c>
      <c r="S27" s="2657"/>
      <c r="T27" s="2658"/>
      <c r="U27" s="3456">
        <f t="shared" si="9"/>
        <v>0.11324117134159313</v>
      </c>
      <c r="V27" s="3454"/>
      <c r="W27" s="3455"/>
      <c r="X27" s="3314">
        <f t="shared" ref="X27:X28" si="23">X28</f>
        <v>0.31118821098192534</v>
      </c>
      <c r="Y27" s="3173"/>
      <c r="Z27" s="3457"/>
    </row>
    <row r="28" spans="2:26" ht="18" customHeight="1" x14ac:dyDescent="0.2">
      <c r="B28" s="350" t="s">
        <v>815</v>
      </c>
      <c r="C28" s="3314">
        <f>C29</f>
        <v>2748.0129999999999</v>
      </c>
      <c r="D28" s="3492"/>
      <c r="E28" s="3492"/>
      <c r="F28" s="2649">
        <f>F29</f>
        <v>28316383.997510001</v>
      </c>
      <c r="G28" s="2649" t="str">
        <f t="shared" si="12"/>
        <v>NO</v>
      </c>
      <c r="H28" s="2649" t="str">
        <f t="shared" si="13"/>
        <v>NO</v>
      </c>
      <c r="I28" s="2649" t="str">
        <f t="shared" si="14"/>
        <v>IE</v>
      </c>
      <c r="J28" s="2649" t="str">
        <f t="shared" si="15"/>
        <v>IE</v>
      </c>
      <c r="K28" s="2649">
        <f t="shared" si="16"/>
        <v>12076758.192474499</v>
      </c>
      <c r="L28" s="2649" t="str">
        <f t="shared" si="17"/>
        <v>IE</v>
      </c>
      <c r="M28" s="2649" t="str">
        <f t="shared" si="18"/>
        <v>NO</v>
      </c>
      <c r="N28" s="2649" t="str">
        <f t="shared" si="19"/>
        <v>NO</v>
      </c>
      <c r="O28" s="2649">
        <f t="shared" si="20"/>
        <v>128160.78825</v>
      </c>
      <c r="P28" s="2649" t="str">
        <f t="shared" si="21"/>
        <v>NO</v>
      </c>
      <c r="Q28" s="2649">
        <f t="shared" si="22"/>
        <v>11002910.93134</v>
      </c>
      <c r="R28" s="3482">
        <f t="shared" si="8"/>
        <v>51524213.909574501</v>
      </c>
      <c r="S28" s="2657"/>
      <c r="T28" s="2658"/>
      <c r="U28" s="3456">
        <f t="shared" si="9"/>
        <v>0.11324117134159313</v>
      </c>
      <c r="V28" s="3454"/>
      <c r="W28" s="3455"/>
      <c r="X28" s="3314">
        <f t="shared" si="23"/>
        <v>0.31118821098192534</v>
      </c>
      <c r="Y28" s="3173"/>
      <c r="Z28" s="3457"/>
    </row>
    <row r="29" spans="2:26" ht="18" customHeight="1" x14ac:dyDescent="0.2">
      <c r="B29" s="2642" t="s">
        <v>817</v>
      </c>
      <c r="C29" s="3495">
        <f>Table3.A!C29</f>
        <v>2748.0129999999999</v>
      </c>
      <c r="D29" s="3307">
        <v>15.408029303354821</v>
      </c>
      <c r="E29" s="3494">
        <f>'Table3.B(a)'!G29</f>
        <v>53.8312395174259</v>
      </c>
      <c r="F29" s="3479">
        <v>28316383.997510001</v>
      </c>
      <c r="G29" s="3479" t="s">
        <v>2146</v>
      </c>
      <c r="H29" s="3479" t="s">
        <v>2146</v>
      </c>
      <c r="I29" s="3479" t="s">
        <v>2153</v>
      </c>
      <c r="J29" s="3479" t="s">
        <v>2153</v>
      </c>
      <c r="K29" s="3479">
        <v>12076758.192474499</v>
      </c>
      <c r="L29" s="3479" t="s">
        <v>2153</v>
      </c>
      <c r="M29" s="3479" t="s">
        <v>2146</v>
      </c>
      <c r="N29" s="3479" t="s">
        <v>2146</v>
      </c>
      <c r="O29" s="3479">
        <v>128160.78825</v>
      </c>
      <c r="P29" s="3479" t="s">
        <v>2146</v>
      </c>
      <c r="Q29" s="3479">
        <v>11002910.93134</v>
      </c>
      <c r="R29" s="3482">
        <f t="shared" si="8"/>
        <v>51524213.909574501</v>
      </c>
      <c r="S29" s="2657"/>
      <c r="T29" s="2658"/>
      <c r="U29" s="3456">
        <f t="shared" si="9"/>
        <v>0.11324117134159313</v>
      </c>
      <c r="V29" s="3454"/>
      <c r="W29" s="3455"/>
      <c r="X29" s="3315">
        <v>0.31118821098192534</v>
      </c>
      <c r="Y29" s="3173"/>
      <c r="Z29" s="3457"/>
    </row>
    <row r="30" spans="2:26" ht="18" customHeight="1" x14ac:dyDescent="0.2">
      <c r="B30" s="351" t="s">
        <v>861</v>
      </c>
      <c r="C30" s="3314">
        <f>IF(SUM(C32:C39)=0,"NO",SUM(C32:C39))</f>
        <v>59769.504000000001</v>
      </c>
      <c r="D30" s="3492"/>
      <c r="E30" s="3492"/>
      <c r="F30" s="2649" t="str">
        <f>IF(SUM(F32:F39)=0,"NO",SUM(F32:F39))</f>
        <v>NO</v>
      </c>
      <c r="G30" s="2649" t="str">
        <f t="shared" ref="G30:Q30" si="24">IF(SUM(G32:G39)=0,"NO",SUM(G32:G39))</f>
        <v>NO</v>
      </c>
      <c r="H30" s="2649" t="str">
        <f t="shared" si="24"/>
        <v>NO</v>
      </c>
      <c r="I30" s="2649">
        <f t="shared" si="24"/>
        <v>14342852.990340123</v>
      </c>
      <c r="J30" s="2649" t="str">
        <f t="shared" si="24"/>
        <v>NO</v>
      </c>
      <c r="K30" s="2649" t="str">
        <f t="shared" si="24"/>
        <v>NO</v>
      </c>
      <c r="L30" s="2649" t="str">
        <f t="shared" si="24"/>
        <v>NO</v>
      </c>
      <c r="M30" s="2649">
        <f t="shared" si="24"/>
        <v>14655599.52880344</v>
      </c>
      <c r="N30" s="2649">
        <f t="shared" si="24"/>
        <v>5931983.2542236997</v>
      </c>
      <c r="O30" s="2649">
        <f t="shared" si="24"/>
        <v>94387.886341101606</v>
      </c>
      <c r="P30" s="2649" t="str">
        <f t="shared" si="24"/>
        <v>NO</v>
      </c>
      <c r="Q30" s="2649">
        <f t="shared" si="24"/>
        <v>38549537.416043602</v>
      </c>
      <c r="R30" s="3482">
        <f t="shared" si="8"/>
        <v>73574361.07575196</v>
      </c>
      <c r="S30" s="2657"/>
      <c r="T30" s="2658"/>
      <c r="U30" s="3456">
        <f t="shared" si="9"/>
        <v>4.4586043267860484E-3</v>
      </c>
      <c r="V30" s="3454"/>
      <c r="W30" s="3455"/>
      <c r="X30" s="3314">
        <f t="shared" ref="X30" si="25">IF(SUM(X32:X39)=0,"NO",SUM(X32:X39))</f>
        <v>0.266488569144256</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7.327</v>
      </c>
      <c r="D32" s="3307">
        <v>39.5</v>
      </c>
      <c r="E32" s="3494" t="str">
        <f>'Table3.B(a)'!G32</f>
        <v>NA</v>
      </c>
      <c r="F32" s="3479" t="s">
        <v>2146</v>
      </c>
      <c r="G32" s="3479" t="s">
        <v>2146</v>
      </c>
      <c r="H32" s="3479" t="s">
        <v>2146</v>
      </c>
      <c r="I32" s="3479" t="s">
        <v>2146</v>
      </c>
      <c r="J32" s="3479" t="s">
        <v>2146</v>
      </c>
      <c r="K32" s="3479" t="s">
        <v>2146</v>
      </c>
      <c r="L32" s="3479" t="s">
        <v>2146</v>
      </c>
      <c r="M32" s="3479">
        <v>289416.49999999994</v>
      </c>
      <c r="N32" s="3479" t="s">
        <v>2146</v>
      </c>
      <c r="O32" s="3479" t="s">
        <v>2146</v>
      </c>
      <c r="P32" s="3479" t="s">
        <v>2146</v>
      </c>
      <c r="Q32" s="3479" t="s">
        <v>2146</v>
      </c>
      <c r="R32" s="3482">
        <f t="shared" si="8"/>
        <v>289416.49999999994</v>
      </c>
      <c r="S32" s="2657"/>
      <c r="T32" s="2658"/>
      <c r="U32" s="3456" t="str">
        <f>IF(SUM(X32)=0,"NA",X32*1000/C32)</f>
        <v>NA</v>
      </c>
      <c r="V32" s="3454"/>
      <c r="W32" s="3455"/>
      <c r="X32" s="3315" t="s">
        <v>2147</v>
      </c>
      <c r="Y32" s="3173"/>
      <c r="Z32" s="3457"/>
    </row>
    <row r="33" spans="2:26" ht="18" customHeight="1" x14ac:dyDescent="0.2">
      <c r="B33" s="350" t="s">
        <v>819</v>
      </c>
      <c r="C33" s="3495">
        <f>Table3.A!C33</f>
        <v>2.613</v>
      </c>
      <c r="D33" s="3307">
        <v>39.5</v>
      </c>
      <c r="E33" s="3494" t="str">
        <f>'Table3.B(a)'!G33</f>
        <v>NA</v>
      </c>
      <c r="F33" s="3479" t="s">
        <v>2146</v>
      </c>
      <c r="G33" s="3479" t="s">
        <v>2146</v>
      </c>
      <c r="H33" s="3479" t="s">
        <v>2146</v>
      </c>
      <c r="I33" s="3479" t="s">
        <v>2146</v>
      </c>
      <c r="J33" s="3479" t="s">
        <v>2146</v>
      </c>
      <c r="K33" s="3479" t="s">
        <v>2146</v>
      </c>
      <c r="L33" s="3479" t="s">
        <v>2146</v>
      </c>
      <c r="M33" s="3479">
        <v>103227.01045859093</v>
      </c>
      <c r="N33" s="3479" t="s">
        <v>2146</v>
      </c>
      <c r="O33" s="3479" t="s">
        <v>2146</v>
      </c>
      <c r="P33" s="3479" t="s">
        <v>2146</v>
      </c>
      <c r="Q33" s="3479" t="s">
        <v>2146</v>
      </c>
      <c r="R33" s="3482">
        <f t="shared" si="8"/>
        <v>103227.01045859093</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131.94</v>
      </c>
      <c r="D34" s="3307">
        <v>13.2</v>
      </c>
      <c r="E34" s="3494" t="str">
        <f>'Table3.B(a)'!G34</f>
        <v>NA</v>
      </c>
      <c r="F34" s="3479" t="s">
        <v>2146</v>
      </c>
      <c r="G34" s="3479" t="s">
        <v>2146</v>
      </c>
      <c r="H34" s="3479" t="s">
        <v>2146</v>
      </c>
      <c r="I34" s="3479" t="s">
        <v>2146</v>
      </c>
      <c r="J34" s="3479" t="s">
        <v>2146</v>
      </c>
      <c r="K34" s="3479" t="s">
        <v>2146</v>
      </c>
      <c r="L34" s="3479" t="s">
        <v>2146</v>
      </c>
      <c r="M34" s="3479">
        <v>1741602.06</v>
      </c>
      <c r="N34" s="3479" t="s">
        <v>2146</v>
      </c>
      <c r="O34" s="3479" t="s">
        <v>2146</v>
      </c>
      <c r="P34" s="3479" t="s">
        <v>2146</v>
      </c>
      <c r="Q34" s="3479" t="s">
        <v>2146</v>
      </c>
      <c r="R34" s="3482">
        <f t="shared" si="8"/>
        <v>1741602.06</v>
      </c>
      <c r="S34" s="2657"/>
      <c r="T34" s="2658"/>
      <c r="U34" s="3456" t="str">
        <f t="shared" si="26"/>
        <v>NA</v>
      </c>
      <c r="V34" s="3454"/>
      <c r="W34" s="3455"/>
      <c r="X34" s="3315" t="s">
        <v>2147</v>
      </c>
      <c r="Y34" s="3173"/>
      <c r="Z34" s="3457"/>
    </row>
    <row r="35" spans="2:26" ht="18" customHeight="1" x14ac:dyDescent="0.2">
      <c r="B35" s="350" t="s">
        <v>821</v>
      </c>
      <c r="C35" s="3495">
        <f>Table3.A!C35</f>
        <v>391.11799999999999</v>
      </c>
      <c r="D35" s="3307">
        <v>7</v>
      </c>
      <c r="E35" s="3494" t="str">
        <f>'Table3.B(a)'!G35</f>
        <v>NA</v>
      </c>
      <c r="F35" s="3479" t="s">
        <v>2146</v>
      </c>
      <c r="G35" s="3479" t="s">
        <v>2146</v>
      </c>
      <c r="H35" s="3479" t="s">
        <v>2146</v>
      </c>
      <c r="I35" s="3479" t="s">
        <v>2146</v>
      </c>
      <c r="J35" s="3479" t="s">
        <v>2146</v>
      </c>
      <c r="K35" s="3479" t="s">
        <v>2146</v>
      </c>
      <c r="L35" s="3479" t="s">
        <v>2146</v>
      </c>
      <c r="M35" s="3479">
        <v>2737824.9436384793</v>
      </c>
      <c r="N35" s="3479" t="s">
        <v>2146</v>
      </c>
      <c r="O35" s="3479" t="s">
        <v>2146</v>
      </c>
      <c r="P35" s="3479" t="s">
        <v>2146</v>
      </c>
      <c r="Q35" s="3479" t="s">
        <v>2146</v>
      </c>
      <c r="R35" s="3482">
        <f t="shared" si="8"/>
        <v>2737824.9436384793</v>
      </c>
      <c r="S35" s="2657"/>
      <c r="T35" s="2658"/>
      <c r="U35" s="3456" t="str">
        <f t="shared" si="26"/>
        <v>NA</v>
      </c>
      <c r="V35" s="3454"/>
      <c r="W35" s="3455"/>
      <c r="X35" s="3315" t="s">
        <v>2147</v>
      </c>
      <c r="Y35" s="3173"/>
      <c r="Z35" s="3457"/>
    </row>
    <row r="36" spans="2:26" ht="18" customHeight="1" x14ac:dyDescent="0.2">
      <c r="B36" s="350" t="s">
        <v>822</v>
      </c>
      <c r="C36" s="3495">
        <f>Table3.A!C36</f>
        <v>223.99799999999999</v>
      </c>
      <c r="D36" s="3307">
        <v>39.5</v>
      </c>
      <c r="E36" s="3494" t="str">
        <f>'Table3.B(a)'!G36</f>
        <v>NA</v>
      </c>
      <c r="F36" s="3479" t="s">
        <v>2146</v>
      </c>
      <c r="G36" s="3479" t="s">
        <v>2146</v>
      </c>
      <c r="H36" s="3479" t="s">
        <v>2146</v>
      </c>
      <c r="I36" s="3479" t="s">
        <v>2146</v>
      </c>
      <c r="J36" s="3479" t="s">
        <v>2146</v>
      </c>
      <c r="K36" s="3479" t="s">
        <v>2146</v>
      </c>
      <c r="L36" s="3479" t="s">
        <v>2146</v>
      </c>
      <c r="M36" s="3479">
        <v>8847936.4049999993</v>
      </c>
      <c r="N36" s="3479" t="s">
        <v>2146</v>
      </c>
      <c r="O36" s="3479" t="s">
        <v>2146</v>
      </c>
      <c r="P36" s="3479" t="s">
        <v>2146</v>
      </c>
      <c r="Q36" s="3479" t="s">
        <v>2146</v>
      </c>
      <c r="R36" s="3482">
        <f t="shared" si="8"/>
        <v>8847936.4049999993</v>
      </c>
      <c r="S36" s="2657"/>
      <c r="T36" s="2658"/>
      <c r="U36" s="3456" t="str">
        <f t="shared" si="26"/>
        <v>NA</v>
      </c>
      <c r="V36" s="3454"/>
      <c r="W36" s="3455"/>
      <c r="X36" s="3315" t="s">
        <v>2147</v>
      </c>
      <c r="Y36" s="3173"/>
      <c r="Z36" s="3457"/>
    </row>
    <row r="37" spans="2:26" ht="18" customHeight="1" x14ac:dyDescent="0.2">
      <c r="B37" s="350" t="s">
        <v>862</v>
      </c>
      <c r="C37" s="3495">
        <f>Table3.A!C37</f>
        <v>0.85599999999999998</v>
      </c>
      <c r="D37" s="3307">
        <v>13.2</v>
      </c>
      <c r="E37" s="3494" t="str">
        <f>'Table3.B(a)'!G37</f>
        <v>NA</v>
      </c>
      <c r="F37" s="3479" t="s">
        <v>2146</v>
      </c>
      <c r="G37" s="3479" t="s">
        <v>2146</v>
      </c>
      <c r="H37" s="3479" t="s">
        <v>2146</v>
      </c>
      <c r="I37" s="3479" t="s">
        <v>2146</v>
      </c>
      <c r="J37" s="3479" t="s">
        <v>2146</v>
      </c>
      <c r="K37" s="3479" t="s">
        <v>2146</v>
      </c>
      <c r="L37" s="3479" t="s">
        <v>2146</v>
      </c>
      <c r="M37" s="3479">
        <v>11297.229367613116</v>
      </c>
      <c r="N37" s="3479" t="s">
        <v>2146</v>
      </c>
      <c r="O37" s="3479" t="s">
        <v>2146</v>
      </c>
      <c r="P37" s="3479" t="s">
        <v>2146</v>
      </c>
      <c r="Q37" s="3479" t="s">
        <v>2146</v>
      </c>
      <c r="R37" s="3482">
        <f t="shared" si="8"/>
        <v>11297.229367613116</v>
      </c>
      <c r="S37" s="2657"/>
      <c r="T37" s="2658"/>
      <c r="U37" s="3456" t="str">
        <f t="shared" si="26"/>
        <v>NA</v>
      </c>
      <c r="V37" s="3454"/>
      <c r="W37" s="3455"/>
      <c r="X37" s="3315" t="s">
        <v>2147</v>
      </c>
      <c r="Y37" s="3173"/>
      <c r="Z37" s="3457"/>
    </row>
    <row r="38" spans="2:26" ht="18" customHeight="1" x14ac:dyDescent="0.2">
      <c r="B38" s="350" t="s">
        <v>824</v>
      </c>
      <c r="C38" s="3495">
        <f>Table3.A!C38</f>
        <v>58910.815000000002</v>
      </c>
      <c r="D38" s="3307">
        <v>0.65807912700679005</v>
      </c>
      <c r="E38" s="3494" t="str">
        <f>'Table3.B(a)'!G38</f>
        <v>NA</v>
      </c>
      <c r="F38" s="3479" t="s">
        <v>2146</v>
      </c>
      <c r="G38" s="3479" t="s">
        <v>2146</v>
      </c>
      <c r="H38" s="3479" t="s">
        <v>2146</v>
      </c>
      <c r="I38" s="3479">
        <v>14342852.990340123</v>
      </c>
      <c r="J38" s="3479" t="s">
        <v>2153</v>
      </c>
      <c r="K38" s="3479" t="s">
        <v>2153</v>
      </c>
      <c r="L38" s="3479" t="s">
        <v>2153</v>
      </c>
      <c r="M38" s="3479">
        <v>218439.984423282</v>
      </c>
      <c r="N38" s="3479">
        <v>5931983.2542236997</v>
      </c>
      <c r="O38" s="3479">
        <v>94387.886341101606</v>
      </c>
      <c r="P38" s="3479" t="s">
        <v>2146</v>
      </c>
      <c r="Q38" s="3479">
        <v>38549537.416043602</v>
      </c>
      <c r="R38" s="3482">
        <f t="shared" si="8"/>
        <v>59137201.53137181</v>
      </c>
      <c r="S38" s="2657"/>
      <c r="T38" s="2658"/>
      <c r="U38" s="3456">
        <f t="shared" si="26"/>
        <v>4.5235933188881531E-3</v>
      </c>
      <c r="V38" s="3454"/>
      <c r="W38" s="3455"/>
      <c r="X38" s="3315">
        <v>0.266488569144256</v>
      </c>
      <c r="Y38" s="3173"/>
      <c r="Z38" s="3457"/>
    </row>
    <row r="39" spans="2:26" ht="18" customHeight="1" x14ac:dyDescent="0.2">
      <c r="B39" s="350" t="s">
        <v>825</v>
      </c>
      <c r="C39" s="3314">
        <f>IF(SUM(C40:C44)=0,"NO",SUM(C40:C44))</f>
        <v>100.837</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705855.39591547416</v>
      </c>
      <c r="N39" s="2649" t="str">
        <f t="shared" si="27"/>
        <v>NO</v>
      </c>
      <c r="O39" s="2649" t="str">
        <f t="shared" si="27"/>
        <v>NO</v>
      </c>
      <c r="P39" s="2649" t="str">
        <f t="shared" si="27"/>
        <v>NO</v>
      </c>
      <c r="Q39" s="2649" t="str">
        <f t="shared" si="27"/>
        <v>NO</v>
      </c>
      <c r="R39" s="3482">
        <f t="shared" si="8"/>
        <v>705855.39591547416</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82.753</v>
      </c>
      <c r="D42" s="3307">
        <v>7</v>
      </c>
      <c r="E42" s="3494" t="str">
        <f>'Table3.B(a)'!G42</f>
        <v>NA</v>
      </c>
      <c r="F42" s="3479" t="s">
        <v>2146</v>
      </c>
      <c r="G42" s="3479" t="s">
        <v>2146</v>
      </c>
      <c r="H42" s="3479" t="s">
        <v>2146</v>
      </c>
      <c r="I42" s="3479" t="s">
        <v>2146</v>
      </c>
      <c r="J42" s="3479" t="s">
        <v>2146</v>
      </c>
      <c r="K42" s="3479" t="s">
        <v>2146</v>
      </c>
      <c r="L42" s="3479" t="s">
        <v>2146</v>
      </c>
      <c r="M42" s="3479">
        <v>579270.53333333333</v>
      </c>
      <c r="N42" s="3479" t="s">
        <v>2146</v>
      </c>
      <c r="O42" s="3479" t="s">
        <v>2146</v>
      </c>
      <c r="P42" s="3479" t="s">
        <v>2146</v>
      </c>
      <c r="Q42" s="3479" t="s">
        <v>2146</v>
      </c>
      <c r="R42" s="3482">
        <f t="shared" si="8"/>
        <v>579270.53333333333</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18.084</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126584.86258214084</v>
      </c>
      <c r="N44" s="2649" t="str">
        <f t="shared" si="28"/>
        <v>NO</v>
      </c>
      <c r="O44" s="2649" t="str">
        <f t="shared" si="28"/>
        <v>NO</v>
      </c>
      <c r="P44" s="2649" t="str">
        <f t="shared" si="28"/>
        <v>NO</v>
      </c>
      <c r="Q44" s="2649" t="str">
        <f t="shared" si="28"/>
        <v>NO</v>
      </c>
      <c r="R44" s="3482">
        <f t="shared" si="8"/>
        <v>126584.86258214084</v>
      </c>
      <c r="S44" s="2657"/>
      <c r="T44" s="2658"/>
      <c r="U44" s="3456" t="str">
        <f t="shared" si="26"/>
        <v>NA</v>
      </c>
      <c r="V44" s="3454"/>
      <c r="W44" s="3455"/>
      <c r="X44" s="3314" t="str">
        <f>X45</f>
        <v>NA</v>
      </c>
      <c r="Y44" s="3173"/>
      <c r="Z44" s="3457"/>
    </row>
    <row r="45" spans="2:26" ht="18" customHeight="1" x14ac:dyDescent="0.2">
      <c r="B45" s="2646" t="s">
        <v>2199</v>
      </c>
      <c r="C45" s="3495">
        <f>Table3.A!C45</f>
        <v>18.084</v>
      </c>
      <c r="D45" s="3307">
        <v>7</v>
      </c>
      <c r="E45" s="3494" t="str">
        <f>'Table3.B(a)'!G45</f>
        <v>NA</v>
      </c>
      <c r="F45" s="3479" t="s">
        <v>2146</v>
      </c>
      <c r="G45" s="3479" t="s">
        <v>2146</v>
      </c>
      <c r="H45" s="3479" t="s">
        <v>2146</v>
      </c>
      <c r="I45" s="3479" t="s">
        <v>2146</v>
      </c>
      <c r="J45" s="3479" t="s">
        <v>2146</v>
      </c>
      <c r="K45" s="3479" t="s">
        <v>2146</v>
      </c>
      <c r="L45" s="3479" t="s">
        <v>2146</v>
      </c>
      <c r="M45" s="3479">
        <v>126584.86258214084</v>
      </c>
      <c r="N45" s="3479" t="s">
        <v>2146</v>
      </c>
      <c r="O45" s="3479" t="s">
        <v>2146</v>
      </c>
      <c r="P45" s="3479" t="s">
        <v>2146</v>
      </c>
      <c r="Q45" s="3479" t="s">
        <v>2146</v>
      </c>
      <c r="R45" s="3482">
        <f t="shared" si="8"/>
        <v>126584.86258214084</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79573839.929512799</v>
      </c>
      <c r="T46" s="3447">
        <v>241897.85708542299</v>
      </c>
      <c r="U46" s="3466"/>
      <c r="V46" s="3467">
        <f>IF(SUM(S46)=0,"NA",Y46*1000000/S46)</f>
        <v>3.5852103847337988E-3</v>
      </c>
      <c r="W46" s="3468">
        <f>IF(SUM(T46)=0,"NA",Z46*1000000/T46)</f>
        <v>1.7285714285714272E-2</v>
      </c>
      <c r="X46" s="3316"/>
      <c r="Y46" s="3320">
        <v>0.28528895726843428</v>
      </c>
      <c r="Z46" s="3321">
        <v>4.1813772439051652E-3</v>
      </c>
    </row>
    <row r="47" spans="2:26" ht="18" customHeight="1" x14ac:dyDescent="0.2">
      <c r="B47" s="358" t="s">
        <v>863</v>
      </c>
      <c r="C47" s="359"/>
      <c r="D47" s="359"/>
      <c r="E47" s="359"/>
      <c r="F47" s="3485">
        <f>IF(SUM(F30,F27,F24,F10)=0,"NO",SUM(F30,F27,F24,F10))</f>
        <v>51717811.620230593</v>
      </c>
      <c r="G47" s="3485" t="str">
        <f t="shared" ref="G47:Q47" si="29">IF(SUM(G30,G27,G24,G10)=0,"NO",SUM(G30,G27,G24,G10))</f>
        <v>NO</v>
      </c>
      <c r="H47" s="3485">
        <f t="shared" si="29"/>
        <v>16282693.935446</v>
      </c>
      <c r="I47" s="3485">
        <f t="shared" si="29"/>
        <v>18743378.245637447</v>
      </c>
      <c r="J47" s="3485" t="str">
        <f t="shared" si="29"/>
        <v>NO</v>
      </c>
      <c r="K47" s="3485">
        <f t="shared" si="29"/>
        <v>73268655.616428182</v>
      </c>
      <c r="L47" s="3485">
        <f t="shared" si="29"/>
        <v>2679673.2710062186</v>
      </c>
      <c r="M47" s="3409"/>
      <c r="N47" s="3485">
        <f t="shared" si="29"/>
        <v>8611656.5252299178</v>
      </c>
      <c r="O47" s="3485">
        <f t="shared" si="29"/>
        <v>222548.67459110159</v>
      </c>
      <c r="P47" s="3409"/>
      <c r="Q47" s="3485">
        <f t="shared" si="29"/>
        <v>49552448.347383603</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4.2842725426001101E-2</v>
      </c>
      <c r="J48" s="3486" t="str">
        <f t="shared" si="30"/>
        <v>NA</v>
      </c>
      <c r="K48" s="3486" t="str">
        <f t="shared" si="30"/>
        <v>NA</v>
      </c>
      <c r="L48" s="3486" t="str">
        <f t="shared" si="30"/>
        <v>NA</v>
      </c>
      <c r="M48" s="87"/>
      <c r="N48" s="3486">
        <f t="shared" si="30"/>
        <v>1.5714285714286198E-2</v>
      </c>
      <c r="O48" s="3486" t="str">
        <f t="shared" si="30"/>
        <v>NA</v>
      </c>
      <c r="P48" s="87"/>
      <c r="Q48" s="3486">
        <f t="shared" si="30"/>
        <v>4.5735095144297973E-3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0.80301740773352737</v>
      </c>
      <c r="J49" s="3487" t="s">
        <v>2153</v>
      </c>
      <c r="K49" s="3487" t="s">
        <v>2153</v>
      </c>
      <c r="L49" s="3487" t="s">
        <v>2153</v>
      </c>
      <c r="M49" s="3474"/>
      <c r="N49" s="3488">
        <v>0.13532603111076</v>
      </c>
      <c r="O49" s="3488" t="s">
        <v>2147</v>
      </c>
      <c r="P49" s="3474"/>
      <c r="Q49" s="3488">
        <v>0.22662859398005</v>
      </c>
      <c r="R49" s="1312"/>
      <c r="S49" s="1313"/>
      <c r="T49" s="1314"/>
      <c r="U49" s="3473">
        <f>X49*1000/SUM(C10,C24,C27,C30)</f>
        <v>5.7911022942066489E-3</v>
      </c>
      <c r="V49" s="3474"/>
      <c r="W49" s="3475"/>
      <c r="X49" s="3319">
        <f>SUM(X10,X24,X27,X30)</f>
        <v>1.1649720328243374</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28.100656199000003</v>
      </c>
    </row>
    <row r="11" spans="1:9" ht="18" customHeight="1" x14ac:dyDescent="0.2">
      <c r="B11" s="439" t="s">
        <v>876</v>
      </c>
      <c r="C11" s="4147">
        <v>1.7684491</v>
      </c>
      <c r="D11" s="243" t="s">
        <v>2146</v>
      </c>
      <c r="E11" s="283" t="s">
        <v>2146</v>
      </c>
      <c r="F11" s="2305">
        <f>IF(SUM(C11)=0,"NA",G11/C11)</f>
        <v>15.890000000000002</v>
      </c>
      <c r="G11" s="3093">
        <v>28.100656199000003</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1.7684491</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33.031535123439582</v>
      </c>
      <c r="H10" s="397" t="s">
        <v>897</v>
      </c>
      <c r="I10" s="398" t="s">
        <v>898</v>
      </c>
      <c r="J10" s="399">
        <v>0.21</v>
      </c>
    </row>
    <row r="11" spans="2:10" ht="24" customHeight="1" x14ac:dyDescent="0.2">
      <c r="B11" s="2431" t="s">
        <v>1949</v>
      </c>
      <c r="C11" s="2432" t="s">
        <v>899</v>
      </c>
      <c r="D11" s="3720">
        <v>1065221.3388756677</v>
      </c>
      <c r="E11" s="3714">
        <f>IF(SUM(D11)=0,"NA",F11*1000/D11/(44/28))</f>
        <v>4.6771506250302703E-3</v>
      </c>
      <c r="F11" s="3425">
        <v>7.8291724514424308</v>
      </c>
      <c r="H11" s="397" t="s">
        <v>900</v>
      </c>
      <c r="I11" s="398" t="s">
        <v>901</v>
      </c>
      <c r="J11" s="399">
        <v>0.24</v>
      </c>
    </row>
    <row r="12" spans="2:10" ht="24" customHeight="1" thickBot="1" x14ac:dyDescent="0.25">
      <c r="B12" s="2431" t="s">
        <v>1950</v>
      </c>
      <c r="C12" s="2433" t="s">
        <v>902</v>
      </c>
      <c r="D12" s="3721">
        <f>IF(SUM(D13:D15)=0,"NO",SUM(D13:D15))</f>
        <v>96910.144176584756</v>
      </c>
      <c r="E12" s="3715">
        <f t="shared" ref="E12:E23" si="0">IF(SUM(D12)=0,"NA",F12*1000/D12/(44/28))</f>
        <v>8.5138680046010218E-3</v>
      </c>
      <c r="F12" s="3426">
        <f>IF(SUM(F13:F15)=0,"NO",SUM(F13:F15))</f>
        <v>1.2965545620127523</v>
      </c>
      <c r="H12" s="407" t="s">
        <v>903</v>
      </c>
      <c r="I12" s="408" t="s">
        <v>2147</v>
      </c>
      <c r="J12" s="2668" t="s">
        <v>2147</v>
      </c>
    </row>
    <row r="13" spans="2:10" ht="24" customHeight="1" x14ac:dyDescent="0.2">
      <c r="B13" s="2431" t="s">
        <v>904</v>
      </c>
      <c r="C13" s="2432" t="s">
        <v>905</v>
      </c>
      <c r="D13" s="3722">
        <v>90041.3828862886</v>
      </c>
      <c r="E13" s="3714">
        <f t="shared" si="0"/>
        <v>8.4767836715428785E-3</v>
      </c>
      <c r="F13" s="3425">
        <v>1.1994106523357069</v>
      </c>
      <c r="H13" s="1436" t="s">
        <v>906</v>
      </c>
      <c r="I13" s="1078"/>
      <c r="J13" s="1078"/>
    </row>
    <row r="14" spans="2:10" ht="24" customHeight="1" x14ac:dyDescent="0.2">
      <c r="B14" s="2431" t="s">
        <v>907</v>
      </c>
      <c r="C14" s="2432" t="s">
        <v>908</v>
      </c>
      <c r="D14" s="3722">
        <v>6868.76129029615</v>
      </c>
      <c r="E14" s="3714">
        <f t="shared" si="0"/>
        <v>8.9999999999999993E-3</v>
      </c>
      <c r="F14" s="3425">
        <v>9.7143909677045545E-2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1995288.781078933</v>
      </c>
      <c r="E16" s="3714">
        <f t="shared" si="0"/>
        <v>3.9999999999999992E-3</v>
      </c>
      <c r="F16" s="3425">
        <v>12.541815195353291</v>
      </c>
    </row>
    <row r="17" spans="2:11" ht="24" customHeight="1" x14ac:dyDescent="0.2">
      <c r="B17" s="2431" t="s">
        <v>913</v>
      </c>
      <c r="C17" s="2432" t="s">
        <v>914</v>
      </c>
      <c r="D17" s="3722">
        <v>711763.5733666236</v>
      </c>
      <c r="E17" s="3714">
        <f t="shared" si="0"/>
        <v>0.01</v>
      </c>
      <c r="F17" s="3425">
        <v>11.184856152904086</v>
      </c>
    </row>
    <row r="18" spans="2:11" ht="24" customHeight="1" x14ac:dyDescent="0.2">
      <c r="B18" s="2431" t="s">
        <v>1951</v>
      </c>
      <c r="C18" s="2432" t="s">
        <v>915</v>
      </c>
      <c r="D18" s="3722">
        <v>28998.060549506899</v>
      </c>
      <c r="E18" s="3716">
        <f t="shared" si="0"/>
        <v>2.0000000000000018E-3</v>
      </c>
      <c r="F18" s="3427">
        <v>9.1136761727021759E-2</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11.007661076378682</v>
      </c>
    </row>
    <row r="22" spans="2:11" ht="24" customHeight="1" x14ac:dyDescent="0.2">
      <c r="B22" s="2438" t="s">
        <v>1953</v>
      </c>
      <c r="C22" s="2432" t="s">
        <v>919</v>
      </c>
      <c r="D22" s="3722">
        <v>556467.43396707904</v>
      </c>
      <c r="E22" s="3714">
        <f t="shared" si="0"/>
        <v>2.9245049422904094E-3</v>
      </c>
      <c r="F22" s="3425">
        <v>2.5573299099234612</v>
      </c>
    </row>
    <row r="23" spans="2:11" ht="24" customHeight="1" thickBot="1" x14ac:dyDescent="0.25">
      <c r="B23" s="410" t="s">
        <v>920</v>
      </c>
      <c r="C23" s="411" t="s">
        <v>921</v>
      </c>
      <c r="D23" s="3725">
        <v>489517.78808338399</v>
      </c>
      <c r="E23" s="3719">
        <f t="shared" si="0"/>
        <v>1.0985266726704563E-2</v>
      </c>
      <c r="F23" s="3430">
        <v>8.4503311664552214</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22108077.93</v>
      </c>
      <c r="N9" s="4179">
        <v>6743462.5300000003</v>
      </c>
      <c r="O9" s="4179">
        <v>344933.64</v>
      </c>
      <c r="P9" s="4180">
        <v>757726.79</v>
      </c>
      <c r="Q9" s="4180">
        <v>1049825.76</v>
      </c>
      <c r="R9" s="4180">
        <v>204210.93</v>
      </c>
      <c r="S9" s="4180">
        <v>1643403.12</v>
      </c>
      <c r="T9" s="4180">
        <v>841048.79</v>
      </c>
      <c r="U9" s="4180">
        <v>2259283.3914299998</v>
      </c>
      <c r="V9" s="4180">
        <v>28387596.75</v>
      </c>
      <c r="W9" s="4180">
        <v>38898.092780000006</v>
      </c>
      <c r="X9" s="4181">
        <v>1861662.9</v>
      </c>
    </row>
    <row r="10" spans="2:24" ht="18" customHeight="1" thickTop="1" x14ac:dyDescent="0.2">
      <c r="B10" s="437" t="s">
        <v>947</v>
      </c>
      <c r="C10" s="376"/>
      <c r="D10" s="438"/>
      <c r="E10" s="438"/>
      <c r="F10" s="4149">
        <f>IF(SUM(F11:F14)=0,"NO",SUM(F11:F14))</f>
        <v>5984.5011937901791</v>
      </c>
      <c r="G10" s="4150">
        <f>IF(SUM($F10)=0,"NA",I10/$F10*1000)</f>
        <v>1.888445583306082</v>
      </c>
      <c r="H10" s="4151">
        <f>IF(SUM($F10)=0,"NA",J10/$F10*1000)</f>
        <v>7.6284309131767633E-2</v>
      </c>
      <c r="I10" s="3192">
        <f>IF(SUM(I11:I14)=0,"NO",SUM(I11:I14))</f>
        <v>11.30140484770304</v>
      </c>
      <c r="J10" s="420">
        <f>IF(SUM(J11:J14)=0,"NO",SUM(J11:J14))</f>
        <v>0.45652353906652243</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3314.0903158809901</v>
      </c>
      <c r="G11" s="4153">
        <f>IF(SUM($F11)=0,"NA",I11/$F11*1000)</f>
        <v>1.8666666666666676</v>
      </c>
      <c r="H11" s="4154">
        <f>IF(SUM($F11)=0,"NA",J11/$F11*1000)</f>
        <v>7.1657142857142891E-2</v>
      </c>
      <c r="I11" s="3326">
        <v>6.1863019229778509</v>
      </c>
      <c r="J11" s="3327">
        <v>0.23747824320655789</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863.83896398358297</v>
      </c>
      <c r="G12" s="4155">
        <f t="shared" ref="G12:G28" si="0">IF(SUM($F12)=0,"NA",I12/$F12*1000)</f>
        <v>1.8666666666666667</v>
      </c>
      <c r="H12" s="4154">
        <f t="shared" ref="H12:H28" si="1">IF(SUM($F12)=0,"NA",J12/$F12*1000)</f>
        <v>8.359999999999998E-2</v>
      </c>
      <c r="I12" s="3180">
        <v>1.6124993994360215</v>
      </c>
      <c r="J12" s="3327">
        <v>7.2216937389027527E-2</v>
      </c>
      <c r="L12" s="1324" t="s">
        <v>952</v>
      </c>
      <c r="M12" s="4177">
        <v>0.23659098061327</v>
      </c>
      <c r="N12" s="4177">
        <v>0.24457059824874999</v>
      </c>
      <c r="O12" s="4177">
        <v>0.21465973347614001</v>
      </c>
      <c r="P12" s="4178">
        <v>0.17897995166003</v>
      </c>
      <c r="Q12" s="4178">
        <v>0.24564229236109</v>
      </c>
      <c r="R12" s="4178">
        <v>0.19771133077253999</v>
      </c>
      <c r="S12" s="4178">
        <v>0.81499999999999995</v>
      </c>
      <c r="T12" s="4178">
        <v>0.28602719279807998</v>
      </c>
      <c r="U12" s="4178">
        <v>0.21886254144874717</v>
      </c>
      <c r="V12" s="4178">
        <v>0.43557701610181804</v>
      </c>
      <c r="W12" s="4178">
        <v>0.12237958685328032</v>
      </c>
      <c r="X12" s="4152">
        <v>0.25869140880151165</v>
      </c>
    </row>
    <row r="13" spans="2:24" ht="18" customHeight="1" thickBot="1" x14ac:dyDescent="0.25">
      <c r="B13" s="439" t="s">
        <v>953</v>
      </c>
      <c r="C13" s="440" t="s">
        <v>2147</v>
      </c>
      <c r="D13" s="440" t="s">
        <v>2147</v>
      </c>
      <c r="E13" s="440" t="s">
        <v>2147</v>
      </c>
      <c r="F13" s="4152">
        <v>48.9397013600747</v>
      </c>
      <c r="G13" s="4155">
        <f t="shared" si="0"/>
        <v>1.9600000000000004</v>
      </c>
      <c r="H13" s="4154">
        <f t="shared" si="1"/>
        <v>5.9714285714285754E-2</v>
      </c>
      <c r="I13" s="3180">
        <v>9.5921814665746438E-2</v>
      </c>
      <c r="J13" s="3327">
        <v>2.9223993097873195E-3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1757.6322125655317</v>
      </c>
      <c r="G14" s="4157">
        <f t="shared" si="0"/>
        <v>1.9382221640390003</v>
      </c>
      <c r="H14" s="4158">
        <f t="shared" si="1"/>
        <v>8.1874898589334014E-2</v>
      </c>
      <c r="I14" s="3199">
        <f>IF(SUM(I15:I19)=0,"NO",SUM(I15:I19))</f>
        <v>3.4066817106234213</v>
      </c>
      <c r="J14" s="3085">
        <f>IF(SUM(J15:J19)=0,"NO",SUM(J15:J19))</f>
        <v>0.14390595916114968</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78.115912845528797</v>
      </c>
      <c r="G15" s="4159">
        <f t="shared" si="0"/>
        <v>1.8666666666666654</v>
      </c>
      <c r="H15" s="4160">
        <f t="shared" si="1"/>
        <v>9.5542857142857082E-2</v>
      </c>
      <c r="I15" s="3328">
        <v>0.14581637064498698</v>
      </c>
      <c r="J15" s="3327">
        <v>7.4634175015842324E-3</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154.67945049126899</v>
      </c>
      <c r="G16" s="4161">
        <f t="shared" si="0"/>
        <v>1.8666666666666665</v>
      </c>
      <c r="H16" s="4162">
        <f t="shared" si="1"/>
        <v>7.1657142857142864E-2</v>
      </c>
      <c r="I16" s="3329">
        <v>0.28873497425036876</v>
      </c>
      <c r="J16" s="3327">
        <v>1.1083887480917218E-2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24.899309742384901</v>
      </c>
      <c r="G17" s="4161">
        <f t="shared" si="0"/>
        <v>1.8666666666666676</v>
      </c>
      <c r="H17" s="4162">
        <f t="shared" si="1"/>
        <v>7.1657142857142905E-2</v>
      </c>
      <c r="I17" s="3329">
        <v>4.6478711519118504E-2</v>
      </c>
      <c r="J17" s="3327">
        <v>1.7842133952543247E-3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1347.51693394022</v>
      </c>
      <c r="G18" s="4161">
        <f t="shared" si="0"/>
        <v>1.960000000000006</v>
      </c>
      <c r="H18" s="4162">
        <f t="shared" si="1"/>
        <v>8.3600000000000244E-2</v>
      </c>
      <c r="I18" s="3329">
        <v>2.6411331905228392</v>
      </c>
      <c r="J18" s="3327">
        <v>0.11265241567740272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152.420605546129</v>
      </c>
      <c r="G19" s="4161">
        <f t="shared" si="0"/>
        <v>1.8666666666666685</v>
      </c>
      <c r="H19" s="4162">
        <f t="shared" si="1"/>
        <v>7.1657142857142919E-2</v>
      </c>
      <c r="I19" s="3329">
        <v>0.28451846368610773</v>
      </c>
      <c r="J19" s="3327">
        <v>1.0922025105991197E-2</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282.893653724101</v>
      </c>
      <c r="G20" s="4165">
        <f t="shared" si="0"/>
        <v>1.8666666666666654</v>
      </c>
      <c r="H20" s="4166">
        <f t="shared" si="1"/>
        <v>0.10748571428571418</v>
      </c>
      <c r="I20" s="3220">
        <f>I21</f>
        <v>0.52806815361832149</v>
      </c>
      <c r="J20" s="449">
        <f>J21</f>
        <v>3.0407026437430484E-2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282.893653724101</v>
      </c>
      <c r="G21" s="4168">
        <f t="shared" si="0"/>
        <v>1.8666666666666654</v>
      </c>
      <c r="H21" s="4158">
        <f t="shared" si="1"/>
        <v>0.10748571428571418</v>
      </c>
      <c r="I21" s="3199">
        <f>I22</f>
        <v>0.52806815361832149</v>
      </c>
      <c r="J21" s="3085">
        <f>J22</f>
        <v>3.0407026437430484E-2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282.893653724101</v>
      </c>
      <c r="G22" s="4170">
        <f t="shared" si="0"/>
        <v>1.8666666666666654</v>
      </c>
      <c r="H22" s="4171">
        <f t="shared" si="1"/>
        <v>0.10748571428571418</v>
      </c>
      <c r="I22" s="3330">
        <v>0.52806815361832149</v>
      </c>
      <c r="J22" s="3331">
        <v>3.0407026437430484E-2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593.51926495999999</v>
      </c>
      <c r="G26" s="4175">
        <f t="shared" si="0"/>
        <v>1.8666666666666669</v>
      </c>
      <c r="H26" s="4176">
        <f t="shared" si="1"/>
        <v>5.9714285714285713E-2</v>
      </c>
      <c r="I26" s="3332">
        <v>1.1079026279253334</v>
      </c>
      <c r="J26" s="3333">
        <v>3.5441578964754285E-2</v>
      </c>
      <c r="L26" s="159"/>
    </row>
    <row r="27" spans="2:24" ht="18" customHeight="1" x14ac:dyDescent="0.2">
      <c r="B27" s="446" t="s">
        <v>963</v>
      </c>
      <c r="C27" s="447"/>
      <c r="D27" s="448"/>
      <c r="E27" s="448"/>
      <c r="F27" s="4164">
        <f>IF(SUM(F28:F29)=0,"NO",SUM(F28:F29))</f>
        <v>463.54854404869366</v>
      </c>
      <c r="G27" s="4165">
        <f t="shared" si="0"/>
        <v>1.8670604831120694</v>
      </c>
      <c r="H27" s="4166">
        <f t="shared" si="1"/>
        <v>0.10783846130181023</v>
      </c>
      <c r="I27" s="3220">
        <f>IF(SUM(I28:I29)=0,"NO",SUM(I28:I29))</f>
        <v>0.86547316859745038</v>
      </c>
      <c r="J27" s="449">
        <f>IF(SUM(J28:J29)=0,"NO",SUM(J28:J29))</f>
        <v>4.9988361728905521E-2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1.9559254273777</v>
      </c>
      <c r="G28" s="4161">
        <f t="shared" si="0"/>
        <v>1.9599999999999977</v>
      </c>
      <c r="H28" s="4162">
        <f t="shared" si="1"/>
        <v>0.19108571428571403</v>
      </c>
      <c r="I28" s="3329">
        <v>3.8336138376602875E-3</v>
      </c>
      <c r="J28" s="3327">
        <v>3.7374940738005833E-4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461.59261862131598</v>
      </c>
      <c r="G29" s="4161">
        <f t="shared" ref="G29" si="2">IF(SUM($F29)=0,"NA",I29/$F29*1000)</f>
        <v>1.8666666666666674</v>
      </c>
      <c r="H29" s="4162">
        <f t="shared" ref="H29" si="3">IF(SUM($F29)=0,"NA",J29/$F29*1000)</f>
        <v>0.10748571428571431</v>
      </c>
      <c r="I29" s="3329">
        <v>0.86163955475979015</v>
      </c>
      <c r="J29" s="3327">
        <v>4.9614612321525461E-2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761.68682887</v>
      </c>
    </row>
    <row r="11" spans="2:5" s="83" customFormat="1" ht="18" customHeight="1" x14ac:dyDescent="0.2">
      <c r="B11" s="1854" t="s">
        <v>972</v>
      </c>
      <c r="C11" s="4187">
        <v>1745086.37</v>
      </c>
      <c r="D11" s="3594">
        <f>IF(SUM(C11)=0,"NA",E11*1000/(44/12)/C11)</f>
        <v>0.10799999999999998</v>
      </c>
      <c r="E11" s="3431">
        <v>691.05420251999999</v>
      </c>
    </row>
    <row r="12" spans="2:5" s="83" customFormat="1" ht="18" customHeight="1" x14ac:dyDescent="0.2">
      <c r="B12" s="1854" t="s">
        <v>973</v>
      </c>
      <c r="C12" s="4187">
        <v>155979.29999999999</v>
      </c>
      <c r="D12" s="3594">
        <f t="shared" ref="D12:D16" si="0">IF(SUM(C12)=0,"NA",E12*1000/(44/12)/C12)</f>
        <v>0.12350000000000001</v>
      </c>
      <c r="E12" s="3431">
        <v>70.632626349999995</v>
      </c>
    </row>
    <row r="13" spans="2:5" s="83" customFormat="1" ht="18" customHeight="1" x14ac:dyDescent="0.2">
      <c r="B13" s="846" t="s">
        <v>974</v>
      </c>
      <c r="C13" s="4188">
        <v>1441304.3478260899</v>
      </c>
      <c r="D13" s="4189">
        <f t="shared" si="0"/>
        <v>0.19999999999999965</v>
      </c>
      <c r="E13" s="3432">
        <v>1056.9565217391305</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53149.910942369774</v>
      </c>
      <c r="D10" s="2989">
        <f t="shared" ref="D10:H10" si="0">IF(SUM(D11,D14,D17,D20,D23,D26,D29:D30)=0,"NO",SUM(D11,D14,D17,D20,D23,D26,D29:D30))</f>
        <v>701.09510624835707</v>
      </c>
      <c r="E10" s="2989">
        <f t="shared" si="0"/>
        <v>16.602642474097376</v>
      </c>
      <c r="F10" s="2989">
        <f t="shared" si="0"/>
        <v>982.48443035562116</v>
      </c>
      <c r="G10" s="2989">
        <f t="shared" si="0"/>
        <v>26083.056683201088</v>
      </c>
      <c r="H10" s="2990">
        <f t="shared" si="0"/>
        <v>782.08924884921498</v>
      </c>
      <c r="I10" s="2991">
        <f>IF(SUM(C10:E10)=0,"NO",SUM(C10)+28*SUM(D10)+265*SUM(E10))</f>
        <v>77180.274172959573</v>
      </c>
    </row>
    <row r="11" spans="2:9" ht="18" customHeight="1" x14ac:dyDescent="0.2">
      <c r="B11" s="473" t="s">
        <v>981</v>
      </c>
      <c r="C11" s="2992">
        <f>IF(SUM(C12:C13)=0,"NO",SUM(C12:C13))</f>
        <v>-27133.555216804682</v>
      </c>
      <c r="D11" s="2992">
        <f t="shared" ref="D11:H11" si="1">IF(SUM(D12:D13)=0,"NO",SUM(D12:D13))</f>
        <v>223.94211204818924</v>
      </c>
      <c r="E11" s="2992">
        <f t="shared" si="1"/>
        <v>4.5479830526331328</v>
      </c>
      <c r="F11" s="2992">
        <f t="shared" si="1"/>
        <v>243.05679585389652</v>
      </c>
      <c r="G11" s="2992">
        <f t="shared" si="1"/>
        <v>6535.4014552084836</v>
      </c>
      <c r="H11" s="2993">
        <f t="shared" si="1"/>
        <v>223.47465727592163</v>
      </c>
      <c r="I11" s="2994">
        <f t="shared" ref="I11:I32" si="2">IF(SUM(C11:E11)=0,"NO",SUM(C11)+28*SUM(D11)+265*SUM(E11))</f>
        <v>-19657.960570507603</v>
      </c>
    </row>
    <row r="12" spans="2:9" ht="18" customHeight="1" x14ac:dyDescent="0.2">
      <c r="B12" s="474" t="s">
        <v>982</v>
      </c>
      <c r="C12" s="2995">
        <f>IF(SUM(Table4.A!U11,'Table4(IV)'!J12)=0,"NO",SUM(Table4.A!U11,'Table4(IV)'!J12))</f>
        <v>-6530.7340680719781</v>
      </c>
      <c r="D12" s="2995">
        <f>'Table4(IV)'!K12</f>
        <v>221.99189983162947</v>
      </c>
      <c r="E12" s="2995">
        <f>IF(SUM('Table4(III)'!I12,'Table4(IV)'!L12)=0,"NO",SUM('Table4(III)'!I12,'Table4(IV)'!L12))</f>
        <v>3.9725695737430442</v>
      </c>
      <c r="F12" s="2905">
        <v>241.81302876779105</v>
      </c>
      <c r="G12" s="2905">
        <v>6489.312961650051</v>
      </c>
      <c r="H12" s="2906">
        <v>218.40175022647873</v>
      </c>
      <c r="I12" s="2996">
        <f t="shared" si="2"/>
        <v>737.77006425555328</v>
      </c>
    </row>
    <row r="13" spans="2:9" ht="18" customHeight="1" thickBot="1" x14ac:dyDescent="0.25">
      <c r="B13" s="475" t="s">
        <v>983</v>
      </c>
      <c r="C13" s="2997">
        <f>IF(SUM(Table4.A!U16,'Table4(IV)'!J19)=0,"NO",SUM(Table4.A!U16,'Table4(IV)'!J19))</f>
        <v>-20602.821148732703</v>
      </c>
      <c r="D13" s="2997">
        <f>'Table4(IV)'!K19</f>
        <v>1.9502122165597795</v>
      </c>
      <c r="E13" s="2997">
        <f>IF(SUM('Table4(III)'!I13,'Table4(IV)'!L19)=0,"NO",SUM('Table4(III)'!I13,'Table4(IV)'!L19))</f>
        <v>0.57541347889008843</v>
      </c>
      <c r="F13" s="2908">
        <v>1.2437670861054542</v>
      </c>
      <c r="G13" s="2908">
        <v>46.088493558432305</v>
      </c>
      <c r="H13" s="2907">
        <v>5.072907049442918</v>
      </c>
      <c r="I13" s="2998">
        <f t="shared" si="2"/>
        <v>-20395.730634763157</v>
      </c>
    </row>
    <row r="14" spans="2:9" ht="18" customHeight="1" x14ac:dyDescent="0.2">
      <c r="B14" s="473" t="s">
        <v>984</v>
      </c>
      <c r="C14" s="2992">
        <f>IF(SUM(C15:C16)=0,"NO",SUM(C15:C16))</f>
        <v>6129.4941960607175</v>
      </c>
      <c r="D14" s="2992">
        <f t="shared" ref="D14" si="3">IF(SUM(D15:D16)=0,"NO",SUM(D15:D16))</f>
        <v>4.4713296000000007</v>
      </c>
      <c r="E14" s="2992">
        <f t="shared" ref="E14" si="4">IF(SUM(E15:E16)=0,"NO",SUM(E15:E16))</f>
        <v>0.18710331874141864</v>
      </c>
      <c r="F14" s="2992">
        <f t="shared" ref="F14" si="5">IF(SUM(F15:F16)=0,"NO",SUM(F15:F16))</f>
        <v>3.3668047285714287</v>
      </c>
      <c r="G14" s="2992">
        <f t="shared" ref="G14" si="6">IF(SUM(G15:G16)=0,"NO",SUM(G15:G16))</f>
        <v>131.86282200000002</v>
      </c>
      <c r="H14" s="2993">
        <f t="shared" ref="H14" si="7">IF(SUM(H15:H16)=0,"NO",SUM(H15:H16))</f>
        <v>15.939462000000001</v>
      </c>
      <c r="I14" s="2999">
        <f t="shared" si="2"/>
        <v>6304.2738043271929</v>
      </c>
    </row>
    <row r="15" spans="2:9" ht="18" customHeight="1" x14ac:dyDescent="0.2">
      <c r="B15" s="474" t="s">
        <v>985</v>
      </c>
      <c r="C15" s="2995">
        <f>IF(SUM(Table4.B!S11,'Table4(IV)'!J26)=0,"NO",SUM(Table4.B!S11,'Table4(IV)'!J26))</f>
        <v>282.87768925233917</v>
      </c>
      <c r="D15" s="2995" t="str">
        <f>'Table4(IV)'!K26</f>
        <v>IE</v>
      </c>
      <c r="E15" s="2995" t="str">
        <f>'Table4(IV)'!L26</f>
        <v>IE</v>
      </c>
      <c r="F15" s="2905" t="s">
        <v>2153</v>
      </c>
      <c r="G15" s="2905" t="s">
        <v>2153</v>
      </c>
      <c r="H15" s="2906" t="s">
        <v>2153</v>
      </c>
      <c r="I15" s="2996">
        <f t="shared" si="2"/>
        <v>282.87768925233917</v>
      </c>
    </row>
    <row r="16" spans="2:9" ht="18" customHeight="1" thickBot="1" x14ac:dyDescent="0.25">
      <c r="B16" s="475" t="s">
        <v>986</v>
      </c>
      <c r="C16" s="2997">
        <f>IF(SUM(Table4.B!S13,'Table4(IV)'!J31)=0,"IE",SUM(Table4.B!S13,'Table4(IV)'!J31))</f>
        <v>5846.6165068083783</v>
      </c>
      <c r="D16" s="2997">
        <f>'Table4(IV)'!K31</f>
        <v>4.4713296000000007</v>
      </c>
      <c r="E16" s="2997">
        <f>IF(SUM('Table4(III)'!I21,'Table4(IV)'!L31)=0,"IE",SUM('Table4(III)'!I21,'Table4(IV)'!L31))</f>
        <v>0.18710331874141864</v>
      </c>
      <c r="F16" s="2908">
        <v>3.3668047285714287</v>
      </c>
      <c r="G16" s="2908">
        <v>131.86282200000002</v>
      </c>
      <c r="H16" s="2907">
        <v>15.939462000000001</v>
      </c>
      <c r="I16" s="2998">
        <f t="shared" si="2"/>
        <v>6021.3961150748537</v>
      </c>
    </row>
    <row r="17" spans="2:9" ht="18" customHeight="1" x14ac:dyDescent="0.2">
      <c r="B17" s="473" t="s">
        <v>987</v>
      </c>
      <c r="C17" s="2992">
        <f>IF(SUM(C18:C19)=0,"NO",SUM(C18:C19))</f>
        <v>75427.288369374437</v>
      </c>
      <c r="D17" s="2992">
        <f t="shared" ref="D17" si="8">IF(SUM(D18:D19)=0,"NO",SUM(D18:D19))</f>
        <v>373.31037832536703</v>
      </c>
      <c r="E17" s="2992">
        <f t="shared" ref="E17" si="9">IF(SUM(E18:E19)=0,"NO",SUM(E18:E19))</f>
        <v>11.377073870658496</v>
      </c>
      <c r="F17" s="2992">
        <f t="shared" ref="F17" si="10">IF(SUM(F18:F19)=0,"NO",SUM(F18:F19))</f>
        <v>709.8174243526563</v>
      </c>
      <c r="G17" s="2992">
        <f t="shared" ref="G17" si="11">IF(SUM(G18:G19)=0,"NO",SUM(G18:G19))</f>
        <v>18753.389347568303</v>
      </c>
      <c r="H17" s="2993">
        <f t="shared" ref="H17" si="12">IF(SUM(H18:H19)=0,"NO",SUM(H18:H19))</f>
        <v>531.98172737982941</v>
      </c>
      <c r="I17" s="2999">
        <f t="shared" si="2"/>
        <v>88894.903538209226</v>
      </c>
    </row>
    <row r="18" spans="2:9" ht="18" customHeight="1" x14ac:dyDescent="0.2">
      <c r="B18" s="474" t="s">
        <v>988</v>
      </c>
      <c r="C18" s="2995">
        <f>IF(SUM(Table4.C!S11,'Table4(IV)'!J37)=0,"IE",SUM(Table4.C!S11,'Table4(IV)'!J37))</f>
        <v>-7628.1950950797363</v>
      </c>
      <c r="D18" s="2995">
        <f>'Table4(IV)'!K37</f>
        <v>271.67360151276279</v>
      </c>
      <c r="E18" s="2995">
        <f>IF(SUM('Table4(III)'!I29,'Table4(IV)'!L37)=0,"NO",SUM('Table4(III)'!I29,'Table4(IV)'!L37))</f>
        <v>9.0369839121897986</v>
      </c>
      <c r="F18" s="2905">
        <v>632.33255503321379</v>
      </c>
      <c r="G18" s="2905">
        <v>15743.74336707494</v>
      </c>
      <c r="H18" s="2906">
        <v>172.94223726233906</v>
      </c>
      <c r="I18" s="2996">
        <f t="shared" si="2"/>
        <v>2373.4664840079181</v>
      </c>
    </row>
    <row r="19" spans="2:9" ht="18" customHeight="1" thickBot="1" x14ac:dyDescent="0.25">
      <c r="B19" s="475" t="s">
        <v>989</v>
      </c>
      <c r="C19" s="2997">
        <f>IF(SUM(Table4.C!S15,'Table4(IV)'!J42)=0,"IE",SUM(Table4.C!S15,'Table4(IV)'!J42))</f>
        <v>83055.48346445417</v>
      </c>
      <c r="D19" s="2997">
        <f>'Table4(IV)'!K42</f>
        <v>101.63677681260425</v>
      </c>
      <c r="E19" s="2997">
        <f>IF(SUM('Table4(III)'!I30,'Table4(IV)'!L42)=0,"NO",SUM('Table4(III)'!I30,'Table4(IV)'!L42))</f>
        <v>2.3400899584686976</v>
      </c>
      <c r="F19" s="2908">
        <v>77.484869319442495</v>
      </c>
      <c r="G19" s="2908">
        <v>3009.6459804933629</v>
      </c>
      <c r="H19" s="2907">
        <v>359.03949011749035</v>
      </c>
      <c r="I19" s="2998">
        <f t="shared" si="2"/>
        <v>86521.437054201291</v>
      </c>
    </row>
    <row r="20" spans="2:9" ht="18" customHeight="1" x14ac:dyDescent="0.2">
      <c r="B20" s="473" t="s">
        <v>2027</v>
      </c>
      <c r="C20" s="2992">
        <f>IF(SUM(C21:C22)=0,"NO",SUM(C21:C22))</f>
        <v>387.88955243601038</v>
      </c>
      <c r="D20" s="2992">
        <f t="shared" ref="D20" si="13">IF(SUM(D21:D22)=0,"NO",SUM(D21:D22))</f>
        <v>96.475439074800789</v>
      </c>
      <c r="E20" s="2992">
        <f t="shared" ref="E20" si="14">IF(SUM(E21:E22)=0,"NO",SUM(E21:E22))</f>
        <v>0.33108748856043096</v>
      </c>
      <c r="F20" s="2992">
        <f t="shared" ref="F20" si="15">IF(SUM(F21:F22)=0,"NO",SUM(F21:F22))</f>
        <v>24.062901427639865</v>
      </c>
      <c r="G20" s="2992">
        <f t="shared" ref="G20" si="16">IF(SUM(G21:G22)=0,"NO",SUM(G21:G22))</f>
        <v>577.00237942430249</v>
      </c>
      <c r="H20" s="2993">
        <f t="shared" ref="H20" si="17">IF(SUM(H21:H22)=0,"NO",SUM(H21:H22))</f>
        <v>0.37024319346392742</v>
      </c>
      <c r="I20" s="2999">
        <f t="shared" si="2"/>
        <v>3176.9400309989469</v>
      </c>
    </row>
    <row r="21" spans="2:9" ht="18" customHeight="1" x14ac:dyDescent="0.2">
      <c r="B21" s="474" t="s">
        <v>990</v>
      </c>
      <c r="C21" s="2995">
        <f>IF(SUM(Table4.D!S11,'Table4(IV)'!J49)=0,"IE",SUM(Table4.D!S11,'Table4(IV)'!J49))</f>
        <v>338.3088857693437</v>
      </c>
      <c r="D21" s="2995">
        <f>IF(SUM('Table4(IV)'!K49,'Table4(II)'!J270)=0,"NO",SUM('Table4(IV)'!K49,'Table4(II)'!J270))</f>
        <v>83.059946803793849</v>
      </c>
      <c r="E21" s="2995">
        <f>IF(SUM('Table4(II)'!I270,'Table4(III)'!I38,'Table4(IV)'!L49)=0,"NO",SUM('Table4(II)'!I270,'Table4(III)'!I38,'Table4(IV)'!L49))</f>
        <v>0.33108748856043096</v>
      </c>
      <c r="F21" s="2905">
        <v>24.062901427639865</v>
      </c>
      <c r="G21" s="2905">
        <v>577.00237942430249</v>
      </c>
      <c r="H21" s="2906">
        <v>0.37024319346392742</v>
      </c>
      <c r="I21" s="2996">
        <f t="shared" si="2"/>
        <v>2751.7255807440856</v>
      </c>
    </row>
    <row r="22" spans="2:9" ht="18" customHeight="1" thickBot="1" x14ac:dyDescent="0.25">
      <c r="B22" s="475" t="s">
        <v>991</v>
      </c>
      <c r="C22" s="2997">
        <f>IF(SUM(Table4.D!S23,'Table4(II)'!H320,'Table4(IV)'!J54)=0,"NO",SUM(Table4.D!S23,'Table4(II)'!H320,'Table4(IV)'!J54))</f>
        <v>49.580666666666666</v>
      </c>
      <c r="D22" s="2997">
        <f>IF(SUM('Table4(IV)'!K54,'Table4(II)'!J320)=0,"NO",SUM('Table4(IV)'!K54,'Table4(II)'!J320))</f>
        <v>13.415492271006942</v>
      </c>
      <c r="E22" s="2997" t="str">
        <f>IF(SUM('Table4(II)'!I320,'Table4(III)'!I39,'Table4(IV)'!L54)=0,"NO",SUM('Table4(II)'!I320,'Table4(III)'!I39,'Table4(IV)'!L54))</f>
        <v>NO</v>
      </c>
      <c r="F22" s="2908" t="s">
        <v>2153</v>
      </c>
      <c r="G22" s="2908" t="s">
        <v>2153</v>
      </c>
      <c r="H22" s="2907" t="s">
        <v>2153</v>
      </c>
      <c r="I22" s="2998">
        <f t="shared" si="2"/>
        <v>425.21445025486105</v>
      </c>
    </row>
    <row r="23" spans="2:9" ht="18" customHeight="1" x14ac:dyDescent="0.2">
      <c r="B23" s="473" t="s">
        <v>992</v>
      </c>
      <c r="C23" s="2992">
        <f>IF(SUM(C24:C25)=0,"NO",SUM(C24:C25))</f>
        <v>4860.0469660885983</v>
      </c>
      <c r="D23" s="2992">
        <f t="shared" ref="D23" si="18">IF(SUM(D24:D25)=0,"NO",SUM(D24:D25))</f>
        <v>2.8958472000000004</v>
      </c>
      <c r="E23" s="2992">
        <f t="shared" ref="E23" si="19">IF(SUM(E24:E25)=0,"NO",SUM(E24:E25))</f>
        <v>8.6515803492469304E-2</v>
      </c>
      <c r="F23" s="2992">
        <f>IF(SUM(F24:F25)=0,"NO",SUM(F24:F25))</f>
        <v>2.180503992857143</v>
      </c>
      <c r="G23" s="2992">
        <f t="shared" ref="G23" si="20">IF(SUM(G24:G25)=0,"NO",SUM(G24:G25))</f>
        <v>85.400678999999997</v>
      </c>
      <c r="H23" s="2993">
        <f t="shared" ref="H23" si="21">IF(SUM(H24:H25)=0,"NO",SUM(H24:H25))</f>
        <v>10.323159</v>
      </c>
      <c r="I23" s="2999">
        <f t="shared" si="2"/>
        <v>4964.057375614103</v>
      </c>
    </row>
    <row r="24" spans="2:9" ht="18" customHeight="1" x14ac:dyDescent="0.2">
      <c r="B24" s="474" t="s">
        <v>993</v>
      </c>
      <c r="C24" s="2995">
        <f>IF(SUM(Table4.E!S11,'Table4(IV)'!J60)=0,"IE",SUM(Table4.E!S11,'Table4(IV)'!J60))</f>
        <v>17.390200574108235</v>
      </c>
      <c r="D24" s="2995" t="str">
        <f>'Table4(IV)'!K60</f>
        <v>IE</v>
      </c>
      <c r="E24" s="2995">
        <f>IF(SUM('Table4(III)'!I47,'Table4(IV)'!L60)=0,"IE",SUM('Table4(III)'!I47,'Table4(IV)'!L60))</f>
        <v>9.2833747226419943E-4</v>
      </c>
      <c r="F24" s="2905" t="s">
        <v>2154</v>
      </c>
      <c r="G24" s="2905" t="s">
        <v>2154</v>
      </c>
      <c r="H24" s="2906" t="s">
        <v>2154</v>
      </c>
      <c r="I24" s="2996">
        <f t="shared" si="2"/>
        <v>17.636210004258249</v>
      </c>
    </row>
    <row r="25" spans="2:9" ht="18" customHeight="1" thickBot="1" x14ac:dyDescent="0.25">
      <c r="B25" s="475" t="s">
        <v>994</v>
      </c>
      <c r="C25" s="2997">
        <f>IF(SUM(Table4.E!S13,'Table4(IV)'!J65)=0,"IE",SUM(Table4.E!S13,'Table4(IV)'!J65))</f>
        <v>4842.65676551449</v>
      </c>
      <c r="D25" s="2997">
        <f>'Table4(IV)'!K65</f>
        <v>2.8958472000000004</v>
      </c>
      <c r="E25" s="2997">
        <f>IF(SUM('Table4(III)'!I48,'Table4(IV)'!L65)=0,"NO",SUM('Table4(III)'!I48,'Table4(IV)'!L65))</f>
        <v>8.5587466020205102E-2</v>
      </c>
      <c r="F25" s="2908">
        <v>2.180503992857143</v>
      </c>
      <c r="G25" s="2908">
        <v>85.400678999999997</v>
      </c>
      <c r="H25" s="2907">
        <v>10.323159</v>
      </c>
      <c r="I25" s="2998">
        <f t="shared" si="2"/>
        <v>4946.4211656098441</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-6523.270398507766</v>
      </c>
      <c r="D29" s="3004"/>
      <c r="E29" s="3004"/>
      <c r="F29" s="3004"/>
      <c r="G29" s="3004"/>
      <c r="H29" s="3005"/>
      <c r="I29" s="3006">
        <f t="shared" si="2"/>
        <v>-6523.270398507766</v>
      </c>
    </row>
    <row r="30" spans="2:9" ht="18" customHeight="1" x14ac:dyDescent="0.2">
      <c r="B30" s="1168" t="s">
        <v>2063</v>
      </c>
      <c r="C30" s="3007">
        <f>IF(SUM(C31:C32)=0,"NO",SUM(C31:C32))</f>
        <v>2.0174737224522223</v>
      </c>
      <c r="D30" s="3007" t="str">
        <f t="shared" ref="D30" si="27">IF(SUM(D31:D32)=0,"NO",SUM(D31:D32))</f>
        <v>NO</v>
      </c>
      <c r="E30" s="3007">
        <f t="shared" ref="E30" si="28">IF(SUM(E31:E32)=0,"NO",SUM(E31:E32))</f>
        <v>7.287894001142857E-2</v>
      </c>
      <c r="F30" s="3007" t="str">
        <f t="shared" ref="F30" si="29">IF(SUM(F31:F32)=0,"NO",SUM(F31:F32))</f>
        <v>NO</v>
      </c>
      <c r="G30" s="3007" t="str">
        <f t="shared" ref="G30" si="30">IF(SUM(G31:G32)=0,"NO",SUM(G31:G32))</f>
        <v>NO</v>
      </c>
      <c r="H30" s="3008" t="str">
        <f t="shared" ref="H30" si="31">IF(SUM(H31:H32)=0,"NO",SUM(H31:H32))</f>
        <v>NO</v>
      </c>
      <c r="I30" s="3009">
        <f t="shared" si="2"/>
        <v>21.330392825480793</v>
      </c>
    </row>
    <row r="31" spans="2:9" ht="18" customHeight="1" x14ac:dyDescent="0.2">
      <c r="B31" s="2677" t="s">
        <v>2218</v>
      </c>
      <c r="C31" s="3010" t="s">
        <v>2146</v>
      </c>
      <c r="D31" s="3010" t="s">
        <v>2146</v>
      </c>
      <c r="E31" s="3010">
        <v>7.287894001142857E-2</v>
      </c>
      <c r="F31" s="3010" t="s">
        <v>2146</v>
      </c>
      <c r="G31" s="3010" t="s">
        <v>2146</v>
      </c>
      <c r="H31" s="3011" t="s">
        <v>2146</v>
      </c>
      <c r="I31" s="3012">
        <f t="shared" si="2"/>
        <v>19.31291910302857</v>
      </c>
    </row>
    <row r="32" spans="2:9" ht="18" customHeight="1" thickBot="1" x14ac:dyDescent="0.25">
      <c r="B32" s="2676" t="s">
        <v>2219</v>
      </c>
      <c r="C32" s="3013">
        <v>2.0174737224522223</v>
      </c>
      <c r="D32" s="3013" t="s">
        <v>2146</v>
      </c>
      <c r="E32" s="3013" t="s">
        <v>2146</v>
      </c>
      <c r="F32" s="3014" t="s">
        <v>2146</v>
      </c>
      <c r="G32" s="3014" t="s">
        <v>2146</v>
      </c>
      <c r="H32" s="3014" t="s">
        <v>2146</v>
      </c>
      <c r="I32" s="2998">
        <f t="shared" si="2"/>
        <v>2.0174737224522223</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334694.8599594477</v>
      </c>
      <c r="D10" s="3765">
        <f t="shared" ref="D10:I10" si="0">IF(SUM(D11,D37,D47)=0,"NO",SUM(D11,D37,D47))</f>
        <v>1386.4653338912947</v>
      </c>
      <c r="E10" s="3765">
        <f t="shared" si="0"/>
        <v>10.63643815539614</v>
      </c>
      <c r="F10" s="3765">
        <f t="shared" si="0"/>
        <v>1891.6995006192515</v>
      </c>
      <c r="G10" s="3765">
        <f t="shared" si="0"/>
        <v>4575.863289507789</v>
      </c>
      <c r="H10" s="3765">
        <f t="shared" si="0"/>
        <v>754.09913885283117</v>
      </c>
      <c r="I10" s="3766">
        <f t="shared" si="0"/>
        <v>700.5242816099983</v>
      </c>
      <c r="J10" s="3028">
        <f t="shared" ref="J10:J40" si="1">IF(SUM(C10:E10)=0,"NO",SUM(C10,IFERROR(28*D10,0),IFERROR(265*E10,0)))</f>
        <v>376334.54541958391</v>
      </c>
    </row>
    <row r="11" spans="2:10" s="83" customFormat="1" ht="18" customHeight="1" thickBot="1" x14ac:dyDescent="0.25">
      <c r="B11" s="18" t="s">
        <v>75</v>
      </c>
      <c r="C11" s="3029">
        <f>IF(SUM(C12,C16,C24,C30,C34)=0,"NO",SUM(C12,C16,C24,C30,C34))</f>
        <v>326522.57605830528</v>
      </c>
      <c r="D11" s="3029">
        <f t="shared" ref="D11:I11" si="2">IF(SUM(D12,D16,D24,D30,D34)=0,"NO",SUM(D12,D16,D24,D30,D34))</f>
        <v>107.76108400182407</v>
      </c>
      <c r="E11" s="3029">
        <f t="shared" si="2"/>
        <v>10.527557806485788</v>
      </c>
      <c r="F11" s="3029">
        <f t="shared" si="2"/>
        <v>1888.321701320752</v>
      </c>
      <c r="G11" s="3029">
        <f t="shared" si="2"/>
        <v>4556.2709535764925</v>
      </c>
      <c r="H11" s="3029">
        <f t="shared" si="2"/>
        <v>546.39029927368392</v>
      </c>
      <c r="I11" s="3030">
        <f t="shared" si="2"/>
        <v>700.5242816099983</v>
      </c>
      <c r="J11" s="3031">
        <f t="shared" si="1"/>
        <v>332329.68922907504</v>
      </c>
    </row>
    <row r="12" spans="2:10" s="83" customFormat="1" ht="18" customHeight="1" x14ac:dyDescent="0.2">
      <c r="B12" s="26" t="s">
        <v>76</v>
      </c>
      <c r="C12" s="3029">
        <f>IF(SUM(C13:C15)=0,"NO",SUM(C13:C15))</f>
        <v>199024.16474164414</v>
      </c>
      <c r="D12" s="3029">
        <f t="shared" ref="D12:I12" si="3">IF(SUM(D13:D15)=0,"NO",SUM(D13:D15))</f>
        <v>11.898502837957114</v>
      </c>
      <c r="E12" s="3029">
        <f t="shared" si="3"/>
        <v>2.640081605164482</v>
      </c>
      <c r="F12" s="3029">
        <f t="shared" si="3"/>
        <v>689.49907007512206</v>
      </c>
      <c r="G12" s="3029">
        <f t="shared" si="3"/>
        <v>103.11325633345302</v>
      </c>
      <c r="H12" s="3029">
        <f>IF(SUM(H13:H15)=0,"NO",SUM(H13:H15))</f>
        <v>17.498189833221375</v>
      </c>
      <c r="I12" s="3030">
        <f t="shared" si="3"/>
        <v>573.34251767656974</v>
      </c>
      <c r="J12" s="3031">
        <f t="shared" si="1"/>
        <v>200056.94444647554</v>
      </c>
    </row>
    <row r="13" spans="2:10" s="83" customFormat="1" ht="18" customHeight="1" x14ac:dyDescent="0.2">
      <c r="B13" s="20" t="s">
        <v>77</v>
      </c>
      <c r="C13" s="3032">
        <f>'Table1.A(a)s1'!H24</f>
        <v>182425.26031313438</v>
      </c>
      <c r="D13" s="3032">
        <f>'Table1.A(a)s1'!I24</f>
        <v>6.2712025702031973</v>
      </c>
      <c r="E13" s="3032">
        <f>'Table1.A(a)s1'!J24</f>
        <v>2.364865791404684</v>
      </c>
      <c r="F13" s="3033">
        <v>549.73585214686682</v>
      </c>
      <c r="G13" s="3033">
        <v>69.162520309281362</v>
      </c>
      <c r="H13" s="3033">
        <v>6.1374779269757056</v>
      </c>
      <c r="I13" s="3034">
        <v>561.32603497923128</v>
      </c>
      <c r="J13" s="3035">
        <f t="shared" si="1"/>
        <v>183227.54341982232</v>
      </c>
    </row>
    <row r="14" spans="2:10" s="83" customFormat="1" ht="18" customHeight="1" x14ac:dyDescent="0.2">
      <c r="B14" s="20" t="s">
        <v>78</v>
      </c>
      <c r="C14" s="3032">
        <f>'Table1.A(a)s1'!H53</f>
        <v>6264.2677302552938</v>
      </c>
      <c r="D14" s="3032">
        <f>'Table1.A(a)s1'!I53</f>
        <v>7.4514709125541034E-2</v>
      </c>
      <c r="E14" s="3032">
        <f>'Table1.A(a)s1'!J53</f>
        <v>5.1787741634631977E-2</v>
      </c>
      <c r="F14" s="3033">
        <v>38.166466445108185</v>
      </c>
      <c r="G14" s="3033">
        <v>4.9531339027705572</v>
      </c>
      <c r="H14" s="3033">
        <v>8.9339682999134098E-2</v>
      </c>
      <c r="I14" s="3034">
        <v>5.2403878340080912</v>
      </c>
      <c r="J14" s="3035">
        <f t="shared" si="1"/>
        <v>6280.0778936439865</v>
      </c>
    </row>
    <row r="15" spans="2:10" s="83" customFormat="1" ht="18" customHeight="1" thickBot="1" x14ac:dyDescent="0.25">
      <c r="B15" s="21" t="s">
        <v>79</v>
      </c>
      <c r="C15" s="3036">
        <f>'Table1.A(a)s1'!H60</f>
        <v>10334.63669825446</v>
      </c>
      <c r="D15" s="3036">
        <f>'Table1.A(a)s1'!I60</f>
        <v>5.5527855586283748</v>
      </c>
      <c r="E15" s="3036">
        <f>'Table1.A(a)s1'!J60</f>
        <v>0.22342807212516613</v>
      </c>
      <c r="F15" s="3037">
        <v>101.59675148314703</v>
      </c>
      <c r="G15" s="3037">
        <v>28.997602121401108</v>
      </c>
      <c r="H15" s="3037">
        <v>11.271372223246535</v>
      </c>
      <c r="I15" s="3038">
        <v>6.7760948633304423</v>
      </c>
      <c r="J15" s="3039">
        <f t="shared" si="1"/>
        <v>10549.323133009224</v>
      </c>
    </row>
    <row r="16" spans="2:10" s="83" customFormat="1" ht="18" customHeight="1" x14ac:dyDescent="0.2">
      <c r="B16" s="25" t="s">
        <v>80</v>
      </c>
      <c r="C16" s="3029">
        <f>IF(SUM(C17:C23)=0,"NO",SUM(C17:C23))</f>
        <v>38027.956942513301</v>
      </c>
      <c r="D16" s="3029">
        <f t="shared" ref="D16:I16" si="4">IF(SUM(D17:D23)=0,"NO",SUM(D17:D23))</f>
        <v>2.0965495511887662</v>
      </c>
      <c r="E16" s="3029">
        <f t="shared" si="4"/>
        <v>1.2429528375383514</v>
      </c>
      <c r="F16" s="3029">
        <f t="shared" si="4"/>
        <v>523.69557863580417</v>
      </c>
      <c r="G16" s="3029">
        <f t="shared" si="4"/>
        <v>158.80458053825876</v>
      </c>
      <c r="H16" s="3029">
        <f t="shared" si="4"/>
        <v>60.274707119729086</v>
      </c>
      <c r="I16" s="3030">
        <f t="shared" si="4"/>
        <v>94.061604126927918</v>
      </c>
      <c r="J16" s="3031">
        <f t="shared" si="1"/>
        <v>38416.04283189425</v>
      </c>
    </row>
    <row r="17" spans="2:10" s="83" customFormat="1" ht="18" customHeight="1" x14ac:dyDescent="0.2">
      <c r="B17" s="20" t="s">
        <v>81</v>
      </c>
      <c r="C17" s="3032">
        <f>'Table1.A(a)s2'!H17</f>
        <v>2535.4459601166918</v>
      </c>
      <c r="D17" s="3032">
        <f>'Table1.A(a)s2'!I17</f>
        <v>6.6246443315853956E-2</v>
      </c>
      <c r="E17" s="3032">
        <f>'Table1.A(a)s2'!J17</f>
        <v>3.1615984212888998E-2</v>
      </c>
      <c r="F17" s="3033">
        <v>27.831998054227064</v>
      </c>
      <c r="G17" s="3033">
        <v>5.5421630205996886</v>
      </c>
      <c r="H17" s="3033">
        <v>1.3970621330611452</v>
      </c>
      <c r="I17" s="3034">
        <v>9.6902747628879915</v>
      </c>
      <c r="J17" s="3035">
        <f t="shared" si="1"/>
        <v>2545.6790963459516</v>
      </c>
    </row>
    <row r="18" spans="2:10" s="83" customFormat="1" ht="18" customHeight="1" x14ac:dyDescent="0.2">
      <c r="B18" s="20" t="s">
        <v>82</v>
      </c>
      <c r="C18" s="3032">
        <f>'Table1.A(a)s2'!H24</f>
        <v>12490.503560739275</v>
      </c>
      <c r="D18" s="3032">
        <f>'Table1.A(a)s2'!I24</f>
        <v>0.23455369145759009</v>
      </c>
      <c r="E18" s="3032">
        <f>'Table1.A(a)s2'!J24</f>
        <v>0.13485564244844989</v>
      </c>
      <c r="F18" s="3033">
        <v>81.692935265079655</v>
      </c>
      <c r="G18" s="3033">
        <v>12.906402685757323</v>
      </c>
      <c r="H18" s="3033">
        <v>1.4528765133536479</v>
      </c>
      <c r="I18" s="3034">
        <v>53.238761648067346</v>
      </c>
      <c r="J18" s="3035">
        <f t="shared" si="1"/>
        <v>12532.807809348928</v>
      </c>
    </row>
    <row r="19" spans="2:10" s="83" customFormat="1" ht="18" customHeight="1" x14ac:dyDescent="0.2">
      <c r="B19" s="20" t="s">
        <v>83</v>
      </c>
      <c r="C19" s="3032">
        <f>'Table1.A(a)s2'!H31</f>
        <v>6646.445129261846</v>
      </c>
      <c r="D19" s="3032">
        <f>'Table1.A(a)s2'!I31</f>
        <v>0.23671352028975254</v>
      </c>
      <c r="E19" s="3032">
        <f>'Table1.A(a)s2'!J31</f>
        <v>7.1801953663353429E-2</v>
      </c>
      <c r="F19" s="3033">
        <v>50.364949039790218</v>
      </c>
      <c r="G19" s="3033">
        <v>16.671264728893789</v>
      </c>
      <c r="H19" s="3033">
        <v>10.778741211696756</v>
      </c>
      <c r="I19" s="3034">
        <v>4.73651300672259</v>
      </c>
      <c r="J19" s="3035">
        <f t="shared" si="1"/>
        <v>6672.1006255507473</v>
      </c>
    </row>
    <row r="20" spans="2:10" s="83" customFormat="1" ht="18" customHeight="1" x14ac:dyDescent="0.2">
      <c r="B20" s="20" t="s">
        <v>84</v>
      </c>
      <c r="C20" s="3032">
        <f>'Table1.A(a)s2'!H38</f>
        <v>1463.6228729442555</v>
      </c>
      <c r="D20" s="3032">
        <f>'Table1.A(a)s2'!I38</f>
        <v>0.18391890476190476</v>
      </c>
      <c r="E20" s="3032">
        <f>'Table1.A(a)s2'!J38</f>
        <v>0.12254260476190476</v>
      </c>
      <c r="F20" s="3033">
        <v>5.4968439047619047</v>
      </c>
      <c r="G20" s="3033">
        <v>4.3646450000000003</v>
      </c>
      <c r="H20" s="3033">
        <v>0.14991038571428569</v>
      </c>
      <c r="I20" s="3034">
        <v>2.7544584345479084</v>
      </c>
      <c r="J20" s="3035">
        <f t="shared" si="1"/>
        <v>1501.2463925394936</v>
      </c>
    </row>
    <row r="21" spans="2:10" s="83" customFormat="1" ht="18" customHeight="1" x14ac:dyDescent="0.2">
      <c r="B21" s="20" t="s">
        <v>85</v>
      </c>
      <c r="C21" s="3032">
        <f>'Table1.A(a)s2'!H45</f>
        <v>2480.7460971672731</v>
      </c>
      <c r="D21" s="3032">
        <f>'Table1.A(a)s2'!I45</f>
        <v>0.85888082702132829</v>
      </c>
      <c r="E21" s="3032">
        <f>'Table1.A(a)s2'!J45</f>
        <v>0.55718019831907983</v>
      </c>
      <c r="F21" s="3033">
        <v>21.699548430964914</v>
      </c>
      <c r="G21" s="3033">
        <v>21.26168876496958</v>
      </c>
      <c r="H21" s="3033">
        <v>1.0092985671065842</v>
      </c>
      <c r="I21" s="3034">
        <v>4.5634268151147106</v>
      </c>
      <c r="J21" s="3035">
        <f t="shared" si="1"/>
        <v>2652.4475128784266</v>
      </c>
    </row>
    <row r="22" spans="2:10" s="83" customFormat="1" ht="18" customHeight="1" x14ac:dyDescent="0.2">
      <c r="B22" s="20" t="s">
        <v>86</v>
      </c>
      <c r="C22" s="3032">
        <f>'Table1.A(a)s2'!H52</f>
        <v>5394.5609488852515</v>
      </c>
      <c r="D22" s="3032">
        <f>'Table1.A(a)s2'!I52</f>
        <v>0.16281424964509972</v>
      </c>
      <c r="E22" s="3032">
        <f>'Table1.A(a)s2'!J52</f>
        <v>4.2521607401714803E-2</v>
      </c>
      <c r="F22" s="3033">
        <v>73.020371482768567</v>
      </c>
      <c r="G22" s="3033">
        <v>13.414226065098592</v>
      </c>
      <c r="H22" s="3033">
        <v>5.9447188066342056</v>
      </c>
      <c r="I22" s="3034">
        <v>10.412679332121117</v>
      </c>
      <c r="J22" s="3035">
        <f t="shared" si="1"/>
        <v>5410.3879738367696</v>
      </c>
    </row>
    <row r="23" spans="2:10" s="83" customFormat="1" ht="18" customHeight="1" thickBot="1" x14ac:dyDescent="0.25">
      <c r="B23" s="3060" t="s">
        <v>2115</v>
      </c>
      <c r="C23" s="3032">
        <f>'Table1.A(a)s2'!H59</f>
        <v>7016.6323733987092</v>
      </c>
      <c r="D23" s="3032">
        <f>'Table1.A(a)s2'!I59</f>
        <v>0.35342191469723672</v>
      </c>
      <c r="E23" s="3032">
        <f>'Table1.A(a)s2'!J59</f>
        <v>0.28243484673095975</v>
      </c>
      <c r="F23" s="3033">
        <v>263.58893245821184</v>
      </c>
      <c r="G23" s="3033">
        <v>84.644190272939781</v>
      </c>
      <c r="H23" s="3033">
        <v>39.542099502162465</v>
      </c>
      <c r="I23" s="3034">
        <v>8.6654901274662564</v>
      </c>
      <c r="J23" s="3035">
        <f t="shared" si="1"/>
        <v>7101.373421393936</v>
      </c>
    </row>
    <row r="24" spans="2:10" s="83" customFormat="1" ht="18" customHeight="1" x14ac:dyDescent="0.2">
      <c r="B24" s="25" t="s">
        <v>87</v>
      </c>
      <c r="C24" s="3029">
        <f>IF(SUM(C25:C29)=0,"NO",SUM(C25:C29))</f>
        <v>71661.082472194263</v>
      </c>
      <c r="D24" s="3029">
        <f t="shared" ref="D24:I24" si="5">IF(SUM(D25:D29)=0,"NO",SUM(D25:D29))</f>
        <v>26.005576130187176</v>
      </c>
      <c r="E24" s="3029">
        <f t="shared" si="5"/>
        <v>5.9826816597628714</v>
      </c>
      <c r="F24" s="3029">
        <f t="shared" si="5"/>
        <v>358.32887131689472</v>
      </c>
      <c r="G24" s="3029">
        <f t="shared" si="5"/>
        <v>3336.848618470051</v>
      </c>
      <c r="H24" s="3029">
        <f t="shared" si="5"/>
        <v>325.47542255035569</v>
      </c>
      <c r="I24" s="3030">
        <f t="shared" si="5"/>
        <v>25.595206157147416</v>
      </c>
      <c r="J24" s="3031">
        <f t="shared" si="1"/>
        <v>73974.649243676671</v>
      </c>
    </row>
    <row r="25" spans="2:10" s="83" customFormat="1" ht="18" customHeight="1" x14ac:dyDescent="0.2">
      <c r="B25" s="20" t="s">
        <v>88</v>
      </c>
      <c r="C25" s="1878">
        <f>'Table1.A(a)s3'!H16</f>
        <v>5482.6318948943053</v>
      </c>
      <c r="D25" s="1878">
        <f>'Table1.A(a)s3'!I16</f>
        <v>3.6423007792907865E-2</v>
      </c>
      <c r="E25" s="1878">
        <f>'Table1.A(a)s3'!J16</f>
        <v>4.9889800973480454E-2</v>
      </c>
      <c r="F25" s="3033">
        <v>18.659786298818361</v>
      </c>
      <c r="G25" s="3033">
        <v>12.625197384865473</v>
      </c>
      <c r="H25" s="3033">
        <v>1.237830544046296</v>
      </c>
      <c r="I25" s="3034">
        <v>0.64688221825942471</v>
      </c>
      <c r="J25" s="3035">
        <f t="shared" si="1"/>
        <v>5496.8725363704798</v>
      </c>
    </row>
    <row r="26" spans="2:10" s="83" customFormat="1" ht="18" customHeight="1" x14ac:dyDescent="0.2">
      <c r="B26" s="20" t="s">
        <v>89</v>
      </c>
      <c r="C26" s="1878">
        <f>'Table1.A(a)s3'!H20</f>
        <v>62150.843622378125</v>
      </c>
      <c r="D26" s="1878">
        <f>'Table1.A(a)s3'!I20</f>
        <v>21.84555786488384</v>
      </c>
      <c r="E26" s="1878">
        <f>'Table1.A(a)s3'!J20</f>
        <v>5.2573223778849849</v>
      </c>
      <c r="F26" s="3033">
        <v>282.95485884112657</v>
      </c>
      <c r="G26" s="3033">
        <v>3105.4507795362174</v>
      </c>
      <c r="H26" s="3033">
        <v>286.96261732320738</v>
      </c>
      <c r="I26" s="3034">
        <v>11.72805044453211</v>
      </c>
      <c r="J26" s="3035">
        <f t="shared" si="1"/>
        <v>64155.709672734389</v>
      </c>
    </row>
    <row r="27" spans="2:10" s="83" customFormat="1" ht="18" customHeight="1" x14ac:dyDescent="0.2">
      <c r="B27" s="20" t="s">
        <v>90</v>
      </c>
      <c r="C27" s="1878">
        <f>'Table1.A(a)s3'!H81</f>
        <v>1491.67299</v>
      </c>
      <c r="D27" s="1878">
        <f>'Table1.A(a)s3'!I81</f>
        <v>8.5360400000000003E-2</v>
      </c>
      <c r="E27" s="1878">
        <f>'Table1.A(a)s3'!J81</f>
        <v>0.64020299999999997</v>
      </c>
      <c r="F27" s="3033">
        <v>32.650352999999996</v>
      </c>
      <c r="G27" s="3033">
        <v>4.3107002000000003</v>
      </c>
      <c r="H27" s="3033">
        <v>1.5151471000000001</v>
      </c>
      <c r="I27" s="3034">
        <v>1.2167600877192979</v>
      </c>
      <c r="J27" s="3035">
        <f t="shared" si="1"/>
        <v>1663.7168761999999</v>
      </c>
    </row>
    <row r="28" spans="2:10" s="83" customFormat="1" ht="18" customHeight="1" x14ac:dyDescent="0.2">
      <c r="B28" s="20" t="s">
        <v>91</v>
      </c>
      <c r="C28" s="1878">
        <f>'Table1.A(a)s3'!H88</f>
        <v>1851.4191796620357</v>
      </c>
      <c r="D28" s="1878">
        <f>'Table1.A(a)s3'!I88</f>
        <v>3.9099592562122059</v>
      </c>
      <c r="E28" s="1878">
        <f>'Table1.A(a)s3'!J88</f>
        <v>3.3895615942135839E-2</v>
      </c>
      <c r="F28" s="3033">
        <v>21.491243316384029</v>
      </c>
      <c r="G28" s="3033">
        <v>209.65666766949957</v>
      </c>
      <c r="H28" s="3033">
        <v>35.076899937526129</v>
      </c>
      <c r="I28" s="3034">
        <v>11.99852919318349</v>
      </c>
      <c r="J28" s="3035">
        <f t="shared" si="1"/>
        <v>1969.8803770606435</v>
      </c>
    </row>
    <row r="29" spans="2:10" s="83" customFormat="1" ht="18" customHeight="1" thickBot="1" x14ac:dyDescent="0.25">
      <c r="B29" s="22" t="s">
        <v>92</v>
      </c>
      <c r="C29" s="1881">
        <f>'Table1.A(a)s3'!H99</f>
        <v>684.51478525980644</v>
      </c>
      <c r="D29" s="1881">
        <f>'Table1.A(a)s3'!I99</f>
        <v>0.12827560129822513</v>
      </c>
      <c r="E29" s="1881">
        <f>'Table1.A(a)s3'!J99</f>
        <v>1.3708649622705259E-3</v>
      </c>
      <c r="F29" s="3040">
        <v>2.5726298605657729</v>
      </c>
      <c r="G29" s="3040">
        <v>4.8052736794684092</v>
      </c>
      <c r="H29" s="3040">
        <v>0.68292764557590879</v>
      </c>
      <c r="I29" s="3041">
        <v>4.9842134530915646E-3</v>
      </c>
      <c r="J29" s="3042">
        <f t="shared" si="1"/>
        <v>688.4697813111585</v>
      </c>
    </row>
    <row r="30" spans="2:10" ht="18" customHeight="1" x14ac:dyDescent="0.2">
      <c r="B30" s="26" t="s">
        <v>93</v>
      </c>
      <c r="C30" s="3029">
        <f>IF(SUM(C31:C33)=0,"NO",SUM(C31:C33))</f>
        <v>17176.218506658799</v>
      </c>
      <c r="D30" s="3029">
        <f t="shared" ref="D30" si="6">IF(SUM(D31:D33)=0,"NO",SUM(D31:D33))</f>
        <v>67.737047234830726</v>
      </c>
      <c r="E30" s="3029">
        <f t="shared" ref="E30" si="7">IF(SUM(E31:E33)=0,"NO",SUM(E31:E33))</f>
        <v>0.64445846970012677</v>
      </c>
      <c r="F30" s="3029">
        <f t="shared" ref="F30" si="8">IF(SUM(F31:F33)=0,"NO",SUM(F31:F33))</f>
        <v>312.3918725088572</v>
      </c>
      <c r="G30" s="3029">
        <f t="shared" ref="G30" si="9">IF(SUM(G31:G33)=0,"NO",SUM(G31:G33))</f>
        <v>952.40439778509153</v>
      </c>
      <c r="H30" s="3029">
        <f t="shared" ref="H30" si="10">IF(SUM(H31:H33)=0,"NO",SUM(H31:H33))</f>
        <v>142.63328434495503</v>
      </c>
      <c r="I30" s="3030">
        <f t="shared" ref="I30" si="11">IF(SUM(I31:I33)=0,"NO",SUM(I31:I33))</f>
        <v>7.3452102359324343</v>
      </c>
      <c r="J30" s="3043">
        <f t="shared" si="1"/>
        <v>19243.637323704595</v>
      </c>
    </row>
    <row r="31" spans="2:10" ht="18" customHeight="1" x14ac:dyDescent="0.2">
      <c r="B31" s="20" t="s">
        <v>94</v>
      </c>
      <c r="C31" s="3032">
        <f>'Table1.A(a)s4'!H17</f>
        <v>4235.6835514896384</v>
      </c>
      <c r="D31" s="3032">
        <f>'Table1.A(a)s4'!I17</f>
        <v>7.6858583981813555E-2</v>
      </c>
      <c r="E31" s="3032">
        <f>'Table1.A(a)s4'!J17</f>
        <v>8.2857632813678736E-2</v>
      </c>
      <c r="F31" s="3033">
        <v>22.367669296410586</v>
      </c>
      <c r="G31" s="3033">
        <v>6.7053410979393728</v>
      </c>
      <c r="H31" s="3033">
        <v>2.5995350588418167</v>
      </c>
      <c r="I31" s="3034">
        <v>2.4762656522415543</v>
      </c>
      <c r="J31" s="3035">
        <f t="shared" si="1"/>
        <v>4259.7928645367538</v>
      </c>
    </row>
    <row r="32" spans="2:10" ht="18" customHeight="1" x14ac:dyDescent="0.2">
      <c r="B32" s="20" t="s">
        <v>95</v>
      </c>
      <c r="C32" s="3032">
        <f>'Table1.A(a)s4'!H38</f>
        <v>7533.793763335234</v>
      </c>
      <c r="D32" s="3032">
        <f>'Table1.A(a)s4'!I38</f>
        <v>67.182116789377048</v>
      </c>
      <c r="E32" s="3032">
        <f>'Table1.A(a)s4'!J38</f>
        <v>0.28112897541458648</v>
      </c>
      <c r="F32" s="3033">
        <v>10.835272476515753</v>
      </c>
      <c r="G32" s="3033">
        <v>830.10043331052873</v>
      </c>
      <c r="H32" s="3033">
        <v>97.355825909489837</v>
      </c>
      <c r="I32" s="3034">
        <v>0.72461142579614257</v>
      </c>
      <c r="J32" s="3035">
        <f t="shared" si="1"/>
        <v>9489.3922119226572</v>
      </c>
    </row>
    <row r="33" spans="2:10" ht="18" customHeight="1" thickBot="1" x14ac:dyDescent="0.25">
      <c r="B33" s="20" t="s">
        <v>96</v>
      </c>
      <c r="C33" s="3032">
        <f>'Table1.A(a)s4'!H59</f>
        <v>5406.7411918339276</v>
      </c>
      <c r="D33" s="3032">
        <f>'Table1.A(a)s4'!I59</f>
        <v>0.47807186147186143</v>
      </c>
      <c r="E33" s="3032">
        <f>'Table1.A(a)s4'!J59</f>
        <v>0.28047186147186148</v>
      </c>
      <c r="F33" s="3033">
        <v>279.18893073593085</v>
      </c>
      <c r="G33" s="3033">
        <v>115.59862337662339</v>
      </c>
      <c r="H33" s="3033">
        <v>42.677923376623376</v>
      </c>
      <c r="I33" s="3034">
        <v>4.1443331578947369</v>
      </c>
      <c r="J33" s="3035">
        <f t="shared" si="1"/>
        <v>5494.4522472451827</v>
      </c>
    </row>
    <row r="34" spans="2:10" ht="18" customHeight="1" x14ac:dyDescent="0.2">
      <c r="B34" s="25" t="s">
        <v>2116</v>
      </c>
      <c r="C34" s="3029">
        <f>IF(SUM(C35:C36)=0,"NO",SUM(C35:C36))</f>
        <v>633.15339529481685</v>
      </c>
      <c r="D34" s="3029">
        <f t="shared" ref="D34:E34" si="12">IF(SUM(D35:D36)=0,"NO",SUM(D35:D36))</f>
        <v>2.3408247660300877E-2</v>
      </c>
      <c r="E34" s="3029">
        <f t="shared" si="12"/>
        <v>1.7383234319957891E-2</v>
      </c>
      <c r="F34" s="3029">
        <f t="shared" ref="F34:I34" si="13">IF(SUM(F35:F36)=0,"NO",SUM(F35:F36))</f>
        <v>4.4063087840739472</v>
      </c>
      <c r="G34" s="3029">
        <f t="shared" si="13"/>
        <v>5.1001004496388198</v>
      </c>
      <c r="H34" s="3029">
        <f t="shared" si="13"/>
        <v>0.50869542542277357</v>
      </c>
      <c r="I34" s="3030">
        <f t="shared" si="13"/>
        <v>0.17974341342070463</v>
      </c>
      <c r="J34" s="3031">
        <f t="shared" si="1"/>
        <v>638.41538332409414</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633.15339529481685</v>
      </c>
      <c r="D36" s="3044">
        <f>'Table1.A(a)s4'!I108</f>
        <v>2.3408247660300877E-2</v>
      </c>
      <c r="E36" s="3044">
        <f>'Table1.A(a)s4'!J108</f>
        <v>1.7383234319957891E-2</v>
      </c>
      <c r="F36" s="3040">
        <v>4.4063087840739472</v>
      </c>
      <c r="G36" s="3040">
        <v>5.1001004496388198</v>
      </c>
      <c r="H36" s="3040">
        <v>0.50869542542277357</v>
      </c>
      <c r="I36" s="3041">
        <v>0.17974341342070463</v>
      </c>
      <c r="J36" s="3042">
        <f t="shared" si="1"/>
        <v>638.41538332409414</v>
      </c>
    </row>
    <row r="37" spans="2:10" ht="18" customHeight="1" thickBot="1" x14ac:dyDescent="0.25">
      <c r="B37" s="18" t="s">
        <v>99</v>
      </c>
      <c r="C37" s="3029">
        <f>IF(SUM(C38,C42)=0,"NO",SUM(C38,C42))</f>
        <v>8172.2839011424339</v>
      </c>
      <c r="D37" s="3029">
        <f t="shared" ref="D37:I37" si="14">IF(SUM(D38,D42)=0,"NO",SUM(D38,D42))</f>
        <v>1278.7042498894707</v>
      </c>
      <c r="E37" s="3029">
        <f t="shared" si="14"/>
        <v>0.10888034891035292</v>
      </c>
      <c r="F37" s="3029">
        <f t="shared" si="14"/>
        <v>3.3777992984993714</v>
      </c>
      <c r="G37" s="3029">
        <f t="shared" si="14"/>
        <v>19.592335931296354</v>
      </c>
      <c r="H37" s="3029">
        <f t="shared" si="14"/>
        <v>207.70883957914728</v>
      </c>
      <c r="I37" s="3030" t="str">
        <f t="shared" si="14"/>
        <v>NO</v>
      </c>
      <c r="J37" s="3031">
        <f t="shared" si="1"/>
        <v>44004.856190508865</v>
      </c>
    </row>
    <row r="38" spans="2:10" ht="18" customHeight="1" x14ac:dyDescent="0.2">
      <c r="B38" s="26" t="s">
        <v>100</v>
      </c>
      <c r="C38" s="3029">
        <f>IF(SUM(C39:C41)=0,"NO",SUM(C39:C41))</f>
        <v>1218.1287625307975</v>
      </c>
      <c r="D38" s="3029">
        <f t="shared" ref="D38" si="15">IF(SUM(D39:D41)=0,"NO",SUM(D39:D41))</f>
        <v>1006.6319903444866</v>
      </c>
      <c r="E38" s="3029">
        <f t="shared" ref="E38" si="16">IF(SUM(E39:E41)=0,"NO",SUM(E39:E41))</f>
        <v>1.6997205392465636E-5</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29403.828996435848</v>
      </c>
    </row>
    <row r="39" spans="2:10" ht="18" customHeight="1" x14ac:dyDescent="0.2">
      <c r="B39" s="20" t="s">
        <v>101</v>
      </c>
      <c r="C39" s="3032">
        <f>'Table1.B.1'!G10</f>
        <v>1218.1287625307975</v>
      </c>
      <c r="D39" s="3032">
        <f>SUM('Table1.B.1'!F10,'Table1.B.1'!H10)</f>
        <v>1006.6319903444866</v>
      </c>
      <c r="E39" s="3033">
        <v>1.6997205392465636E-5</v>
      </c>
      <c r="F39" s="3033" t="s">
        <v>2146</v>
      </c>
      <c r="G39" s="3033" t="s">
        <v>2146</v>
      </c>
      <c r="H39" s="3033" t="s">
        <v>2146</v>
      </c>
      <c r="I39" s="2931"/>
      <c r="J39" s="3035">
        <f t="shared" si="1"/>
        <v>29403.828996435848</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6954.1551386116362</v>
      </c>
      <c r="D42" s="3029">
        <f t="shared" ref="D42:I42" si="21">IF(SUM(D43:D46)=0,"NO",SUM(D43:D46))</f>
        <v>272.07225954498426</v>
      </c>
      <c r="E42" s="3029">
        <f t="shared" si="21"/>
        <v>0.10886335170496045</v>
      </c>
      <c r="F42" s="3029">
        <f t="shared" si="21"/>
        <v>3.3777992984993714</v>
      </c>
      <c r="G42" s="3029">
        <f t="shared" si="21"/>
        <v>19.592335931296354</v>
      </c>
      <c r="H42" s="3029">
        <f t="shared" si="21"/>
        <v>207.70883957914728</v>
      </c>
      <c r="I42" s="3030" t="str">
        <f t="shared" si="21"/>
        <v>NO</v>
      </c>
      <c r="J42" s="3031">
        <f t="shared" ref="J42:J59" si="22">IF(SUM(C42:E42)=0,"NO",SUM(C42,IFERROR(28*D42,0),IFERROR(265*E42,0)))</f>
        <v>14601.027194073011</v>
      </c>
    </row>
    <row r="43" spans="2:10" ht="18" customHeight="1" x14ac:dyDescent="0.2">
      <c r="B43" s="20" t="s">
        <v>103</v>
      </c>
      <c r="C43" s="3032">
        <f>'Table1.B.2'!I10</f>
        <v>483.61379421318759</v>
      </c>
      <c r="D43" s="3032">
        <f>'Table1.B.2'!J10</f>
        <v>3.8327076999917629</v>
      </c>
      <c r="E43" s="3032">
        <f>'Table1.B.2'!K10</f>
        <v>1.4716759242194019E-2</v>
      </c>
      <c r="F43" s="3033">
        <v>0.26668000000000003</v>
      </c>
      <c r="G43" s="3033">
        <v>1.5467439999999999</v>
      </c>
      <c r="H43" s="3033">
        <v>104.30097176324</v>
      </c>
      <c r="I43" s="3034" t="s">
        <v>2146</v>
      </c>
      <c r="J43" s="3035">
        <f t="shared" si="22"/>
        <v>594.82955101213838</v>
      </c>
    </row>
    <row r="44" spans="2:10" ht="18" customHeight="1" x14ac:dyDescent="0.2">
      <c r="B44" s="20" t="s">
        <v>104</v>
      </c>
      <c r="C44" s="3032">
        <f>SUM('Table1.B.2'!I21,'Table1.B.2'!L21)</f>
        <v>178.00734319477149</v>
      </c>
      <c r="D44" s="3032">
        <f>'Table1.B.2'!J21</f>
        <v>133.38931809414254</v>
      </c>
      <c r="E44" s="3032">
        <f>'Table1.B.2'!K21</f>
        <v>4.9904327530584935E-3</v>
      </c>
      <c r="F44" s="3033">
        <v>9.2415421352935054E-2</v>
      </c>
      <c r="G44" s="3033">
        <v>0.53600944384702331</v>
      </c>
      <c r="H44" s="3033">
        <v>73.218829044442913</v>
      </c>
      <c r="I44" s="3034" t="s">
        <v>2146</v>
      </c>
      <c r="J44" s="3035">
        <f t="shared" si="22"/>
        <v>3914.2307145103237</v>
      </c>
    </row>
    <row r="45" spans="2:10" ht="18" customHeight="1" x14ac:dyDescent="0.2">
      <c r="B45" s="20" t="s">
        <v>105</v>
      </c>
      <c r="C45" s="3032">
        <f>'Table1.B.2'!I35</f>
        <v>6292.5340012036768</v>
      </c>
      <c r="D45" s="3032">
        <f>'Table1.B.2'!J35</f>
        <v>134.85023375084992</v>
      </c>
      <c r="E45" s="3032">
        <f>'Table1.B.2'!K35</f>
        <v>8.9156159709707944E-2</v>
      </c>
      <c r="F45" s="3033">
        <v>3.0187038771464363</v>
      </c>
      <c r="G45" s="3033">
        <v>17.509582487449329</v>
      </c>
      <c r="H45" s="3033">
        <v>30.189038771464361</v>
      </c>
      <c r="I45" s="3034" t="s">
        <v>2146</v>
      </c>
      <c r="J45" s="3035">
        <f t="shared" si="22"/>
        <v>10091.966928550548</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10489.664999999999</v>
      </c>
      <c r="D52" s="3032">
        <f t="shared" ref="D52:I52" si="23">IF(SUM(D53:D54)=0,"NO",SUM(D53:D54))</f>
        <v>0.2645435266666667</v>
      </c>
      <c r="E52" s="3032">
        <f t="shared" si="23"/>
        <v>0.11170550690175438</v>
      </c>
      <c r="F52" s="3032">
        <f t="shared" si="23"/>
        <v>109.80528159964911</v>
      </c>
      <c r="G52" s="3032">
        <f t="shared" si="23"/>
        <v>14.534289104210526</v>
      </c>
      <c r="H52" s="3032">
        <f t="shared" si="23"/>
        <v>8.2217792101403511</v>
      </c>
      <c r="I52" s="3055">
        <f t="shared" si="23"/>
        <v>41.197023333333341</v>
      </c>
      <c r="J52" s="3035">
        <f t="shared" si="22"/>
        <v>10526.674178075631</v>
      </c>
    </row>
    <row r="53" spans="2:10" ht="18" customHeight="1" x14ac:dyDescent="0.2">
      <c r="B53" s="164" t="s">
        <v>111</v>
      </c>
      <c r="C53" s="3032">
        <f>Table1.D!G10</f>
        <v>7861.3199999999988</v>
      </c>
      <c r="D53" s="3032">
        <f>Table1.D!H10</f>
        <v>1.2893526666666669E-2</v>
      </c>
      <c r="E53" s="3032">
        <f>Table1.D!I10</f>
        <v>3.9805506901754384E-2</v>
      </c>
      <c r="F53" s="3033">
        <v>39.900281599649126</v>
      </c>
      <c r="G53" s="3033">
        <v>12.387239104210526</v>
      </c>
      <c r="H53" s="3033">
        <v>6.037679210140352</v>
      </c>
      <c r="I53" s="3034">
        <v>0.92619000000000007</v>
      </c>
      <c r="J53" s="3035">
        <f t="shared" si="22"/>
        <v>7872.2294780756301</v>
      </c>
    </row>
    <row r="54" spans="2:10" ht="18" customHeight="1" x14ac:dyDescent="0.2">
      <c r="B54" s="164" t="s">
        <v>112</v>
      </c>
      <c r="C54" s="3032">
        <f>Table1.D!G14</f>
        <v>2628.3449999999998</v>
      </c>
      <c r="D54" s="3032">
        <f>Table1.D!H14</f>
        <v>0.25165000000000004</v>
      </c>
      <c r="E54" s="3032">
        <f>Table1.D!I14</f>
        <v>7.1899999999999992E-2</v>
      </c>
      <c r="F54" s="3033">
        <v>69.904999999999987</v>
      </c>
      <c r="G54" s="3033">
        <v>2.1470500000000001</v>
      </c>
      <c r="H54" s="3033">
        <v>2.1840999999999999</v>
      </c>
      <c r="I54" s="3034">
        <v>40.270833333333343</v>
      </c>
      <c r="J54" s="3035">
        <f t="shared" si="22"/>
        <v>2654.4447</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18429.667800000003</v>
      </c>
      <c r="D56" s="3056"/>
      <c r="E56" s="3056"/>
      <c r="F56" s="3056"/>
      <c r="G56" s="3056"/>
      <c r="H56" s="3056"/>
      <c r="I56" s="2971"/>
      <c r="J56" s="3039">
        <f t="shared" si="22"/>
        <v>18429.667800000003</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132454.39651730101</v>
      </c>
      <c r="D10" s="3549" t="s">
        <v>2146</v>
      </c>
      <c r="E10" s="3549">
        <v>28.780913878</v>
      </c>
      <c r="F10" s="3549">
        <v>672.88428068899998</v>
      </c>
      <c r="G10" s="3549" t="s">
        <v>2146</v>
      </c>
      <c r="H10" s="3549">
        <v>0.47753302399999997</v>
      </c>
      <c r="I10" s="3549" t="s">
        <v>2146</v>
      </c>
      <c r="J10" s="3549">
        <v>21.526184963999999</v>
      </c>
      <c r="K10" s="3549" t="s">
        <v>2146</v>
      </c>
      <c r="L10" s="3549" t="s">
        <v>2146</v>
      </c>
      <c r="M10" s="3550">
        <f>IF(SUM(C10:L10)=0,"NO",SUM(C10:L10))</f>
        <v>133178.06542985601</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10.121925749000001</v>
      </c>
      <c r="D12" s="3549" t="s">
        <v>2146</v>
      </c>
      <c r="E12" s="3549">
        <v>39838.943118447001</v>
      </c>
      <c r="F12" s="3549" t="s">
        <v>2153</v>
      </c>
      <c r="G12" s="3549" t="s">
        <v>2146</v>
      </c>
      <c r="H12" s="3549" t="s">
        <v>2153</v>
      </c>
      <c r="I12" s="3549" t="s">
        <v>2146</v>
      </c>
      <c r="J12" s="3549" t="s">
        <v>2153</v>
      </c>
      <c r="K12" s="3549" t="s">
        <v>2146</v>
      </c>
      <c r="L12" s="3549" t="s">
        <v>2146</v>
      </c>
      <c r="M12" s="3550">
        <f t="shared" si="0"/>
        <v>39849.065044196002</v>
      </c>
    </row>
    <row r="13" spans="2:13" ht="18" customHeight="1" x14ac:dyDescent="0.2">
      <c r="B13" s="2277" t="s">
        <v>1961</v>
      </c>
      <c r="C13" s="3549">
        <v>324.40689027299999</v>
      </c>
      <c r="D13" s="3549" t="s">
        <v>2146</v>
      </c>
      <c r="E13" s="3549" t="s">
        <v>2153</v>
      </c>
      <c r="F13" s="3549">
        <v>520165.05642149801</v>
      </c>
      <c r="G13" s="3549" t="s">
        <v>2146</v>
      </c>
      <c r="H13" s="3549" t="s">
        <v>2153</v>
      </c>
      <c r="I13" s="3549" t="s">
        <v>2146</v>
      </c>
      <c r="J13" s="3549" t="s">
        <v>2153</v>
      </c>
      <c r="K13" s="3549" t="s">
        <v>2146</v>
      </c>
      <c r="L13" s="3549" t="s">
        <v>2146</v>
      </c>
      <c r="M13" s="3550">
        <f t="shared" si="0"/>
        <v>520489.46331177099</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6.666956667</v>
      </c>
      <c r="D15" s="3549" t="s">
        <v>2146</v>
      </c>
      <c r="E15" s="3549">
        <v>0.63304705100000003</v>
      </c>
      <c r="F15" s="3549">
        <v>2.443871627</v>
      </c>
      <c r="G15" s="3549" t="s">
        <v>2146</v>
      </c>
      <c r="H15" s="3549">
        <v>13302.269504884</v>
      </c>
      <c r="I15" s="3549" t="s">
        <v>2146</v>
      </c>
      <c r="J15" s="3549" t="s">
        <v>2146</v>
      </c>
      <c r="K15" s="3549" t="s">
        <v>2146</v>
      </c>
      <c r="L15" s="3549" t="s">
        <v>2146</v>
      </c>
      <c r="M15" s="3550">
        <f t="shared" si="0"/>
        <v>13312.013380229</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6.5378962329999997</v>
      </c>
      <c r="D17" s="3549" t="s">
        <v>2146</v>
      </c>
      <c r="E17" s="3549" t="s">
        <v>2146</v>
      </c>
      <c r="F17" s="3549" t="s">
        <v>2146</v>
      </c>
      <c r="G17" s="3549" t="s">
        <v>2146</v>
      </c>
      <c r="H17" s="3549" t="s">
        <v>2146</v>
      </c>
      <c r="I17" s="3549" t="s">
        <v>2146</v>
      </c>
      <c r="J17" s="3549">
        <v>1301.2260918930001</v>
      </c>
      <c r="K17" s="3549" t="s">
        <v>2146</v>
      </c>
      <c r="L17" s="3549" t="s">
        <v>2146</v>
      </c>
      <c r="M17" s="3550">
        <f t="shared" si="0"/>
        <v>1307.7639881260002</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132802.13018622302</v>
      </c>
      <c r="D20" s="3551" t="str">
        <f t="shared" ref="D20:L20" si="1">IF(SUM(D10:D19)=0,"NO",SUM(D10:D19))</f>
        <v>NO</v>
      </c>
      <c r="E20" s="3551">
        <f t="shared" si="1"/>
        <v>39868.357079376001</v>
      </c>
      <c r="F20" s="3551">
        <f t="shared" si="1"/>
        <v>520840.38457381399</v>
      </c>
      <c r="G20" s="3551" t="str">
        <f t="shared" si="1"/>
        <v>NO</v>
      </c>
      <c r="H20" s="3551">
        <f t="shared" si="1"/>
        <v>13302.747037908</v>
      </c>
      <c r="I20" s="3551" t="str">
        <f t="shared" si="1"/>
        <v>NO</v>
      </c>
      <c r="J20" s="3551">
        <f t="shared" si="1"/>
        <v>1322.7522768570002</v>
      </c>
      <c r="K20" s="3551">
        <f t="shared" si="1"/>
        <v>60692.328845821001</v>
      </c>
      <c r="L20" s="3551" t="str">
        <f t="shared" si="1"/>
        <v>NO</v>
      </c>
      <c r="M20" s="3550">
        <f t="shared" si="0"/>
        <v>768828.69999999891</v>
      </c>
    </row>
    <row r="21" spans="2:13" ht="18" customHeight="1" thickBot="1" x14ac:dyDescent="0.25">
      <c r="B21" s="2279" t="s">
        <v>1968</v>
      </c>
      <c r="C21" s="3552">
        <f>IF(SUM(C20)=0,"NO",C20-M10)</f>
        <v>-375.93524363299366</v>
      </c>
      <c r="D21" s="3552" t="str">
        <f>IF(SUM(D20)=0,"NO",D20-M11)</f>
        <v>NO</v>
      </c>
      <c r="E21" s="3552">
        <f>IF(SUM(E20)=0,"NO",E20-M12)</f>
        <v>19.292035179998493</v>
      </c>
      <c r="F21" s="3552">
        <f>IF(SUM(F20)=0,"NO",F20-M13)</f>
        <v>350.92126204300439</v>
      </c>
      <c r="G21" s="3552" t="str">
        <f>IF(SUM(G20)=0,"NO",G20-M14)</f>
        <v>NO</v>
      </c>
      <c r="H21" s="3552">
        <f>IF(SUM(H20)=0,"NO",H20-M15)</f>
        <v>-9.2663423209996836</v>
      </c>
      <c r="I21" s="3552" t="str">
        <f>IF(SUM(I20)=0,"NO",I20-M16)</f>
        <v>NO</v>
      </c>
      <c r="J21" s="3552">
        <f>IF(SUM(J20)=0,"NO",J20-M17)</f>
        <v>14.988288731000011</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132929.114041016</v>
      </c>
      <c r="E10" s="3556">
        <f t="shared" ref="E10:U10" si="0">IF(SUM(E11,E16)=0,"IE",SUM(E11,E16))</f>
        <v>132802.1301862227</v>
      </c>
      <c r="F10" s="3557">
        <f t="shared" si="0"/>
        <v>126.98385479330118</v>
      </c>
      <c r="G10" s="3558">
        <f t="shared" ref="G10:K11" si="1">IFERROR(IF(SUM($D10)=0,"NA",N10/$D10),"NA")</f>
        <v>5.1844770998656947E-2</v>
      </c>
      <c r="H10" s="3078">
        <f t="shared" si="1"/>
        <v>-4.2115028736318012E-3</v>
      </c>
      <c r="I10" s="3078">
        <f t="shared" si="1"/>
        <v>4.7633268125025142E-2</v>
      </c>
      <c r="J10" s="3078">
        <f t="shared" si="1"/>
        <v>1.66409598561638E-2</v>
      </c>
      <c r="K10" s="3078">
        <f t="shared" si="1"/>
        <v>5.0949692124656869E-3</v>
      </c>
      <c r="L10" s="3078">
        <f>IFERROR(IF(SUM(E10)=0,"NA",S10/E10),"NA")</f>
        <v>-1.3243883716773314E-2</v>
      </c>
      <c r="M10" s="3128">
        <f>IFERROR(IF(SUM(F10)=0,"NA",T10/F10),"NA")</f>
        <v>-0.49068790351606661</v>
      </c>
      <c r="N10" s="3559">
        <f t="shared" si="0"/>
        <v>6891.679476510828</v>
      </c>
      <c r="O10" s="3560">
        <f t="shared" si="0"/>
        <v>-559.83134577306828</v>
      </c>
      <c r="P10" s="3560">
        <f t="shared" si="0"/>
        <v>6331.8481307377597</v>
      </c>
      <c r="Q10" s="3560">
        <f t="shared" si="0"/>
        <v>2212.0680504719671</v>
      </c>
      <c r="R10" s="3560">
        <f t="shared" si="0"/>
        <v>677.26974347931673</v>
      </c>
      <c r="S10" s="3560">
        <f t="shared" si="0"/>
        <v>-1758.8159695261245</v>
      </c>
      <c r="T10" s="3561">
        <f t="shared" si="0"/>
        <v>-62.309441488913578</v>
      </c>
      <c r="U10" s="3562">
        <f t="shared" si="0"/>
        <v>-27133.555216804682</v>
      </c>
      <c r="W10" s="2396"/>
    </row>
    <row r="11" spans="2:23" ht="18" customHeight="1" x14ac:dyDescent="0.2">
      <c r="B11" s="502" t="s">
        <v>982</v>
      </c>
      <c r="C11" s="2256"/>
      <c r="D11" s="3563">
        <f>IF(SUM(D12:D15)=0,"IE",SUM(D12:D15))</f>
        <v>125538.33868829301</v>
      </c>
      <c r="E11" s="3564">
        <f t="shared" ref="E11:U11" si="2">IF(SUM(E12:E15)=0,"IE",SUM(E12:E15))</f>
        <v>125538.33868829301</v>
      </c>
      <c r="F11" s="3565" t="str">
        <f t="shared" si="2"/>
        <v>IE</v>
      </c>
      <c r="G11" s="3558">
        <f t="shared" si="1"/>
        <v>3.7632775198487688E-3</v>
      </c>
      <c r="H11" s="3078">
        <f t="shared" si="1"/>
        <v>-4.4594452310151127E-3</v>
      </c>
      <c r="I11" s="3078">
        <f t="shared" si="1"/>
        <v>-6.9616771116634373E-4</v>
      </c>
      <c r="J11" s="3078">
        <f t="shared" si="1"/>
        <v>9.6808908329392637E-3</v>
      </c>
      <c r="K11" s="3078">
        <f t="shared" si="1"/>
        <v>3.2119213110749487E-3</v>
      </c>
      <c r="L11" s="3078">
        <f t="shared" ref="L11:L28" si="3">IFERROR(IF(SUM(E11)=0,"NA",S11/E11),"NA")</f>
        <v>1.9911272861549228E-3</v>
      </c>
      <c r="M11" s="3128" t="str">
        <f t="shared" ref="M11:M28" si="4">IFERROR(IF(SUM(F11)=0,"NA",T11/F11),"NA")</f>
        <v>NA</v>
      </c>
      <c r="N11" s="3109">
        <f t="shared" si="2"/>
        <v>472.43560786481407</v>
      </c>
      <c r="O11" s="3109">
        <f t="shared" si="2"/>
        <v>-559.83134577306828</v>
      </c>
      <c r="P11" s="3109">
        <f t="shared" si="2"/>
        <v>-87.395737908254205</v>
      </c>
      <c r="Q11" s="3109">
        <f t="shared" si="2"/>
        <v>1215.3229521899202</v>
      </c>
      <c r="R11" s="3566">
        <f t="shared" si="2"/>
        <v>403.21926538987304</v>
      </c>
      <c r="S11" s="3566">
        <f t="shared" si="2"/>
        <v>249.9628116208184</v>
      </c>
      <c r="T11" s="3566" t="str">
        <f t="shared" si="2"/>
        <v>IE</v>
      </c>
      <c r="U11" s="3567">
        <f t="shared" si="2"/>
        <v>-6530.7340680719781</v>
      </c>
      <c r="W11" s="2397"/>
    </row>
    <row r="12" spans="2:23" ht="18" customHeight="1" x14ac:dyDescent="0.2">
      <c r="B12" s="500"/>
      <c r="C12" s="508" t="s">
        <v>2220</v>
      </c>
      <c r="D12" s="3568">
        <f>IF(SUM(E12:F12)=0,E12,SUM(E12:F12))</f>
        <v>12289.497915192516</v>
      </c>
      <c r="E12" s="3569">
        <v>12289.497915192516</v>
      </c>
      <c r="F12" s="3554" t="s">
        <v>2153</v>
      </c>
      <c r="G12" s="3558" t="str">
        <f>IFERROR(IF(SUM($D12)=0,"NA",N12/$D12),"NA")</f>
        <v>NA</v>
      </c>
      <c r="H12" s="3078">
        <f>IFERROR(IF(SUM($D12)=0,"NA",O12/$D12),"NA")</f>
        <v>-2.5897431102250477E-2</v>
      </c>
      <c r="I12" s="3078">
        <f>IFERROR(IF(SUM($D12)=0,"NA",P12/$D12),"NA")</f>
        <v>-2.5897431102250477E-2</v>
      </c>
      <c r="J12" s="3078">
        <f>IFERROR(IF(SUM($D12)=0,"NA",Q12/$D12),"NA")</f>
        <v>8.2376487799419792E-2</v>
      </c>
      <c r="K12" s="3078">
        <f>IFERROR(IF(SUM($D12)=0,"NA",R12/$D12),"NA")</f>
        <v>2.1710056607434962E-2</v>
      </c>
      <c r="L12" s="3078">
        <f t="shared" si="3"/>
        <v>-2.6647539160980161E-2</v>
      </c>
      <c r="M12" s="3128" t="str">
        <f t="shared" si="4"/>
        <v>NA</v>
      </c>
      <c r="N12" s="2905" t="s">
        <v>2153</v>
      </c>
      <c r="O12" s="2905">
        <v>-318.26642553994907</v>
      </c>
      <c r="P12" s="3109">
        <f>IF(SUM(N12:O12)=0,N12,SUM(N12:O12))</f>
        <v>-318.26642553994907</v>
      </c>
      <c r="Q12" s="2905">
        <v>1012.3656750718512</v>
      </c>
      <c r="R12" s="2906">
        <v>266.80569541578348</v>
      </c>
      <c r="S12" s="2906">
        <v>-327.48487696387662</v>
      </c>
      <c r="T12" s="2906" t="s">
        <v>2153</v>
      </c>
      <c r="U12" s="3570">
        <f>IF(SUM(P12:T12)=0,P12,SUM(P12:T12)*-44/12)</f>
        <v>-2322.5402492739668</v>
      </c>
      <c r="W12" s="2398"/>
    </row>
    <row r="13" spans="2:23" ht="18" customHeight="1" x14ac:dyDescent="0.2">
      <c r="B13" s="500"/>
      <c r="C13" s="508" t="s">
        <v>2221</v>
      </c>
      <c r="D13" s="3568">
        <f t="shared" ref="D13:D15" si="5">IF(SUM(E13:F13)=0,E13,SUM(E13:F13))</f>
        <v>682.24894237664239</v>
      </c>
      <c r="E13" s="3569">
        <v>682.24894237664239</v>
      </c>
      <c r="F13" s="3554" t="s">
        <v>2153</v>
      </c>
      <c r="G13" s="3558">
        <f t="shared" ref="G13:K28" si="6">IFERROR(IF(SUM($D13)=0,"NA",N13/$D13),"NA")</f>
        <v>0.60883819769007474</v>
      </c>
      <c r="H13" s="3078" t="str">
        <f t="shared" si="6"/>
        <v>NA</v>
      </c>
      <c r="I13" s="3078">
        <f t="shared" si="6"/>
        <v>0.60883819769007474</v>
      </c>
      <c r="J13" s="3078">
        <f t="shared" si="6"/>
        <v>0.29023420413053225</v>
      </c>
      <c r="K13" s="3078">
        <f t="shared" si="6"/>
        <v>0.21939803761005677</v>
      </c>
      <c r="L13" s="3078">
        <f t="shared" si="3"/>
        <v>0.84638854341515302</v>
      </c>
      <c r="M13" s="3128" t="str">
        <f t="shared" si="4"/>
        <v>NA</v>
      </c>
      <c r="N13" s="2905">
        <v>415.3792164525546</v>
      </c>
      <c r="O13" s="2905" t="s">
        <v>2153</v>
      </c>
      <c r="P13" s="3109">
        <f t="shared" ref="P13:P15" si="7">IF(SUM(N13:O13)=0,N13,SUM(N13:O13))</f>
        <v>415.3792164525546</v>
      </c>
      <c r="Q13" s="2905">
        <v>198.01197880958216</v>
      </c>
      <c r="R13" s="2906">
        <v>149.68407911897205</v>
      </c>
      <c r="S13" s="2906">
        <v>577.44768858469502</v>
      </c>
      <c r="T13" s="2906" t="s">
        <v>2153</v>
      </c>
      <c r="U13" s="3570">
        <f t="shared" ref="U13:U15" si="8">IF(SUM(P13:T13)=0,P13,SUM(P13:T13)*-44/12)</f>
        <v>-4915.2508642079474</v>
      </c>
      <c r="W13" s="2398"/>
    </row>
    <row r="14" spans="2:23" ht="18" customHeight="1" x14ac:dyDescent="0.2">
      <c r="B14" s="500"/>
      <c r="C14" s="508" t="s">
        <v>2222</v>
      </c>
      <c r="D14" s="3568">
        <f t="shared" si="5"/>
        <v>112566.59183072385</v>
      </c>
      <c r="E14" s="3569">
        <v>112566.59183072385</v>
      </c>
      <c r="F14" s="3554" t="s">
        <v>2153</v>
      </c>
      <c r="G14" s="3558" t="str">
        <f t="shared" si="6"/>
        <v>NA</v>
      </c>
      <c r="H14" s="3078">
        <f t="shared" si="6"/>
        <v>-2.1459734749398945E-3</v>
      </c>
      <c r="I14" s="3078">
        <f t="shared" si="6"/>
        <v>-2.1459734749398945E-3</v>
      </c>
      <c r="J14" s="3078">
        <f t="shared" si="6"/>
        <v>-1.2708620016632711E-3</v>
      </c>
      <c r="K14" s="3078">
        <f t="shared" si="6"/>
        <v>-1.1789029879165632E-4</v>
      </c>
      <c r="L14" s="3078" t="str">
        <f t="shared" si="3"/>
        <v>NA</v>
      </c>
      <c r="M14" s="3128" t="str">
        <f t="shared" si="4"/>
        <v>NA</v>
      </c>
      <c r="N14" s="2905" t="s">
        <v>2153</v>
      </c>
      <c r="O14" s="2905">
        <v>-241.56492023311921</v>
      </c>
      <c r="P14" s="3109">
        <f t="shared" si="7"/>
        <v>-241.56492023311921</v>
      </c>
      <c r="Q14" s="2905">
        <v>-143.05660421440612</v>
      </c>
      <c r="R14" s="2906">
        <v>-13.270509144882453</v>
      </c>
      <c r="S14" s="2906" t="s">
        <v>2147</v>
      </c>
      <c r="T14" s="2906" t="s">
        <v>2147</v>
      </c>
      <c r="U14" s="3570">
        <f t="shared" si="8"/>
        <v>1458.937456505495</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v>57.05639141225948</v>
      </c>
      <c r="O15" s="2905" t="s">
        <v>2153</v>
      </c>
      <c r="P15" s="3109">
        <f t="shared" si="7"/>
        <v>57.05639141225948</v>
      </c>
      <c r="Q15" s="2905">
        <v>148.00190252289292</v>
      </c>
      <c r="R15" s="2906" t="s">
        <v>2147</v>
      </c>
      <c r="S15" s="2906" t="s">
        <v>2147</v>
      </c>
      <c r="T15" s="2906" t="s">
        <v>2147</v>
      </c>
      <c r="U15" s="3570">
        <f t="shared" si="8"/>
        <v>-751.88041109555877</v>
      </c>
      <c r="W15" s="2398"/>
    </row>
    <row r="16" spans="2:23" ht="18" customHeight="1" x14ac:dyDescent="0.2">
      <c r="B16" s="485" t="s">
        <v>1041</v>
      </c>
      <c r="C16" s="504"/>
      <c r="D16" s="3568">
        <f>IF(SUM(D17,D19,D23,D25,D27)=0,"IE",SUM(D17,D19,D23,D25,D27))</f>
        <v>7390.7753527229906</v>
      </c>
      <c r="E16" s="3571">
        <f t="shared" ref="E16:T16" si="9">IF(SUM(E17,E19,E23,E25,E27)=0,"IE",SUM(E17,E19,E23,E25,E27))</f>
        <v>7263.7914979296893</v>
      </c>
      <c r="F16" s="3572">
        <f t="shared" si="9"/>
        <v>126.98385479330118</v>
      </c>
      <c r="G16" s="3558">
        <f t="shared" si="6"/>
        <v>0.86854809709254188</v>
      </c>
      <c r="H16" s="3078" t="str">
        <f t="shared" si="6"/>
        <v>NA</v>
      </c>
      <c r="I16" s="3078">
        <f t="shared" si="6"/>
        <v>0.86854809709254188</v>
      </c>
      <c r="J16" s="3078">
        <f t="shared" si="6"/>
        <v>0.13486340075467387</v>
      </c>
      <c r="K16" s="3078">
        <f t="shared" si="6"/>
        <v>3.708007144182443E-2</v>
      </c>
      <c r="L16" s="3078">
        <f t="shared" si="3"/>
        <v>-0.27654686697979708</v>
      </c>
      <c r="M16" s="3128">
        <f t="shared" si="4"/>
        <v>-0.49068790351606661</v>
      </c>
      <c r="N16" s="3078">
        <f t="shared" si="9"/>
        <v>6419.2438686460137</v>
      </c>
      <c r="O16" s="3078" t="str">
        <f t="shared" si="9"/>
        <v>IE</v>
      </c>
      <c r="P16" s="3078">
        <f t="shared" si="9"/>
        <v>6419.2438686460137</v>
      </c>
      <c r="Q16" s="3078">
        <f t="shared" si="9"/>
        <v>996.74509828204691</v>
      </c>
      <c r="R16" s="3573">
        <f t="shared" si="9"/>
        <v>274.05047808944363</v>
      </c>
      <c r="S16" s="3573">
        <f t="shared" si="9"/>
        <v>-2008.7787811469429</v>
      </c>
      <c r="T16" s="3573">
        <f t="shared" si="9"/>
        <v>-62.309441488913578</v>
      </c>
      <c r="U16" s="3570">
        <f>IF(SUM(U17,U19,U23,U25,U27)=0,"IE",SUM(U17,U19,U23,U25,U27))</f>
        <v>-20602.821148732703</v>
      </c>
      <c r="W16" s="2019"/>
    </row>
    <row r="17" spans="2:23" ht="18" customHeight="1" x14ac:dyDescent="0.2">
      <c r="B17" s="487" t="s">
        <v>1042</v>
      </c>
      <c r="C17" s="504"/>
      <c r="D17" s="3568">
        <f>D18</f>
        <v>64.260000000000005</v>
      </c>
      <c r="E17" s="3571">
        <f t="shared" ref="E17:U17" si="10">E18</f>
        <v>64.260000000000005</v>
      </c>
      <c r="F17" s="3572" t="str">
        <f t="shared" si="10"/>
        <v>NO</v>
      </c>
      <c r="G17" s="3558">
        <f t="shared" si="6"/>
        <v>1.509539371304077</v>
      </c>
      <c r="H17" s="3078" t="str">
        <f t="shared" si="6"/>
        <v>NA</v>
      </c>
      <c r="I17" s="3078">
        <f t="shared" si="6"/>
        <v>1.509539371304077</v>
      </c>
      <c r="J17" s="3078">
        <f t="shared" si="6"/>
        <v>5.1851851851851843E-2</v>
      </c>
      <c r="K17" s="3078">
        <f t="shared" si="6"/>
        <v>2.3513849984438218E-2</v>
      </c>
      <c r="L17" s="3078">
        <f t="shared" si="3"/>
        <v>-0.36300964830376597</v>
      </c>
      <c r="M17" s="3128" t="str">
        <f t="shared" si="4"/>
        <v>NA</v>
      </c>
      <c r="N17" s="3078">
        <f t="shared" si="10"/>
        <v>97.003</v>
      </c>
      <c r="O17" s="3078" t="str">
        <f t="shared" si="10"/>
        <v>IE</v>
      </c>
      <c r="P17" s="3078">
        <f t="shared" si="10"/>
        <v>97.003</v>
      </c>
      <c r="Q17" s="3078">
        <f t="shared" si="10"/>
        <v>3.3319999999999999</v>
      </c>
      <c r="R17" s="3573">
        <f t="shared" si="10"/>
        <v>1.5110000000000001</v>
      </c>
      <c r="S17" s="3573">
        <f t="shared" si="10"/>
        <v>-23.327000000000002</v>
      </c>
      <c r="T17" s="3573" t="str">
        <f t="shared" si="10"/>
        <v>NO</v>
      </c>
      <c r="U17" s="3570">
        <f t="shared" si="10"/>
        <v>-287.90299999999996</v>
      </c>
      <c r="W17" s="2019"/>
    </row>
    <row r="18" spans="2:23" ht="18" customHeight="1" x14ac:dyDescent="0.2">
      <c r="B18" s="488"/>
      <c r="C18" s="508" t="s">
        <v>278</v>
      </c>
      <c r="D18" s="3568">
        <f>IF(SUM(E18:F18)=0,E18,SUM(E18:F18))</f>
        <v>64.260000000000005</v>
      </c>
      <c r="E18" s="3569">
        <v>64.260000000000005</v>
      </c>
      <c r="F18" s="3554" t="s">
        <v>2146</v>
      </c>
      <c r="G18" s="3558">
        <f t="shared" si="6"/>
        <v>1.509539371304077</v>
      </c>
      <c r="H18" s="3078" t="str">
        <f t="shared" si="6"/>
        <v>NA</v>
      </c>
      <c r="I18" s="3078">
        <f t="shared" si="6"/>
        <v>1.509539371304077</v>
      </c>
      <c r="J18" s="3078">
        <f t="shared" si="6"/>
        <v>5.1851851851851843E-2</v>
      </c>
      <c r="K18" s="3078">
        <f t="shared" si="6"/>
        <v>2.3513849984438218E-2</v>
      </c>
      <c r="L18" s="3078">
        <f t="shared" si="3"/>
        <v>-0.36300964830376597</v>
      </c>
      <c r="M18" s="3128" t="str">
        <f t="shared" si="4"/>
        <v>NA</v>
      </c>
      <c r="N18" s="2905">
        <v>97.003</v>
      </c>
      <c r="O18" s="2905" t="s">
        <v>2153</v>
      </c>
      <c r="P18" s="3109">
        <f>IF(SUM(N18:O18)=0,N18,SUM(N18:O18))</f>
        <v>97.003</v>
      </c>
      <c r="Q18" s="2905">
        <v>3.3319999999999999</v>
      </c>
      <c r="R18" s="2906">
        <v>1.5110000000000001</v>
      </c>
      <c r="S18" s="2906">
        <v>-23.327000000000002</v>
      </c>
      <c r="T18" s="2906" t="s">
        <v>2146</v>
      </c>
      <c r="U18" s="3570">
        <f t="shared" ref="U18" si="11">IF(SUM(P18:T18)=0,P18,SUM(P18:T18)*-44/12)</f>
        <v>-287.90299999999996</v>
      </c>
      <c r="W18" s="2398"/>
    </row>
    <row r="19" spans="2:23" ht="18" customHeight="1" x14ac:dyDescent="0.2">
      <c r="B19" s="487" t="s">
        <v>1043</v>
      </c>
      <c r="C19" s="504"/>
      <c r="D19" s="3563">
        <f>IF(SUM(D20:D22)=0,"IE",SUM(D20:D22))</f>
        <v>7154.3644979296887</v>
      </c>
      <c r="E19" s="3571">
        <f t="shared" ref="E19:U19" si="12">IF(SUM(E20:E22)=0,"IE",SUM(E20:E22))</f>
        <v>7154.3644979296887</v>
      </c>
      <c r="F19" s="3572" t="str">
        <f t="shared" si="12"/>
        <v>IE</v>
      </c>
      <c r="G19" s="3558">
        <f t="shared" si="6"/>
        <v>0.71588341969525904</v>
      </c>
      <c r="H19" s="3078" t="str">
        <f t="shared" si="6"/>
        <v>NA</v>
      </c>
      <c r="I19" s="3078">
        <f t="shared" si="6"/>
        <v>0.71588341969525904</v>
      </c>
      <c r="J19" s="3078">
        <f t="shared" si="6"/>
        <v>0.15403167784889543</v>
      </c>
      <c r="K19" s="3078">
        <f t="shared" si="6"/>
        <v>3.086438129845407E-2</v>
      </c>
      <c r="L19" s="3078">
        <f t="shared" si="3"/>
        <v>-0.27264249420216119</v>
      </c>
      <c r="M19" s="3128" t="str">
        <f t="shared" si="4"/>
        <v>NA</v>
      </c>
      <c r="N19" s="3078">
        <f t="shared" si="12"/>
        <v>5121.6909225242607</v>
      </c>
      <c r="O19" s="3078" t="str">
        <f t="shared" si="12"/>
        <v>IE</v>
      </c>
      <c r="P19" s="3078">
        <f t="shared" si="12"/>
        <v>5121.6909225242607</v>
      </c>
      <c r="Q19" s="3078">
        <f t="shared" si="12"/>
        <v>1101.9987675586804</v>
      </c>
      <c r="R19" s="3573">
        <f t="shared" si="12"/>
        <v>220.81503381222484</v>
      </c>
      <c r="S19" s="3573">
        <f t="shared" si="12"/>
        <v>-1950.583781146943</v>
      </c>
      <c r="T19" s="3573" t="str">
        <f t="shared" si="12"/>
        <v>IE</v>
      </c>
      <c r="U19" s="3570">
        <f t="shared" si="12"/>
        <v>-16477.710123410146</v>
      </c>
      <c r="W19" s="2019"/>
    </row>
    <row r="20" spans="2:23" ht="18" customHeight="1" x14ac:dyDescent="0.2">
      <c r="B20" s="496"/>
      <c r="C20" s="508" t="s">
        <v>2223</v>
      </c>
      <c r="D20" s="3568">
        <f>IF(SUM(E20:F20)=0,E20,SUM(E20:F20))</f>
        <v>1811.0309999999999</v>
      </c>
      <c r="E20" s="3569">
        <v>1811.0309999999999</v>
      </c>
      <c r="F20" s="3554" t="s">
        <v>2146</v>
      </c>
      <c r="G20" s="3558">
        <f t="shared" si="6"/>
        <v>1.477425289793493</v>
      </c>
      <c r="H20" s="3078" t="str">
        <f t="shared" si="6"/>
        <v>NA</v>
      </c>
      <c r="I20" s="3078">
        <f t="shared" si="6"/>
        <v>1.477425289793493</v>
      </c>
      <c r="J20" s="3078">
        <f t="shared" si="6"/>
        <v>7.0342252562214588E-2</v>
      </c>
      <c r="K20" s="3078">
        <f t="shared" si="6"/>
        <v>3.3845362116937845E-2</v>
      </c>
      <c r="L20" s="3078">
        <f t="shared" si="3"/>
        <v>-0.43205113551341767</v>
      </c>
      <c r="M20" s="3128" t="str">
        <f t="shared" si="4"/>
        <v>NA</v>
      </c>
      <c r="N20" s="2905">
        <v>2675.6629999999991</v>
      </c>
      <c r="O20" s="2905" t="s">
        <v>2153</v>
      </c>
      <c r="P20" s="3109">
        <f>IF(SUM(N20:O20)=0,N20,SUM(N20:O20))</f>
        <v>2675.6629999999991</v>
      </c>
      <c r="Q20" s="2905">
        <v>127.39200000000005</v>
      </c>
      <c r="R20" s="2906">
        <v>61.295000000000059</v>
      </c>
      <c r="S20" s="2906">
        <v>-782.45800000000031</v>
      </c>
      <c r="T20" s="2906" t="s">
        <v>2146</v>
      </c>
      <c r="U20" s="3570">
        <f t="shared" ref="U20:U22" si="13">IF(SUM(P20:T20)=0,P20,SUM(P20:T20)*-44/12)</f>
        <v>-7633.6039999999957</v>
      </c>
      <c r="W20" s="2398"/>
    </row>
    <row r="21" spans="2:23" ht="18" customHeight="1" x14ac:dyDescent="0.2">
      <c r="B21" s="500"/>
      <c r="C21" s="508" t="s">
        <v>2291</v>
      </c>
      <c r="D21" s="3568">
        <f>IF(SUM(E21:F21)=0,E21,SUM(E21:F21))</f>
        <v>5343.3334979296887</v>
      </c>
      <c r="E21" s="3569">
        <v>5343.3334979296887</v>
      </c>
      <c r="F21" s="3554" t="s">
        <v>2146</v>
      </c>
      <c r="G21" s="3558">
        <f t="shared" si="6"/>
        <v>0.45760838949397825</v>
      </c>
      <c r="H21" s="3078" t="str">
        <f t="shared" si="6"/>
        <v>NA</v>
      </c>
      <c r="I21" s="3078">
        <f t="shared" si="6"/>
        <v>0.45760838949397825</v>
      </c>
      <c r="J21" s="3078">
        <f t="shared" si="6"/>
        <v>0.18238171133187628</v>
      </c>
      <c r="K21" s="3078">
        <f t="shared" si="6"/>
        <v>2.98540291138541E-2</v>
      </c>
      <c r="L21" s="3078">
        <f t="shared" si="3"/>
        <v>-0.21861367657465908</v>
      </c>
      <c r="M21" s="3128" t="str">
        <f t="shared" si="4"/>
        <v>NA</v>
      </c>
      <c r="N21" s="2905">
        <v>2445.1542365168302</v>
      </c>
      <c r="O21" s="2905" t="s">
        <v>2153</v>
      </c>
      <c r="P21" s="3109">
        <f t="shared" ref="P21:P28" si="14">IF(SUM(N21:O21)=0,N21,SUM(N21:O21))</f>
        <v>2445.1542365168302</v>
      </c>
      <c r="Q21" s="2905">
        <v>974.52630756935719</v>
      </c>
      <c r="R21" s="2906">
        <v>159.5200338122248</v>
      </c>
      <c r="S21" s="2906">
        <v>-1168.1257811469427</v>
      </c>
      <c r="T21" s="2906" t="s">
        <v>2146</v>
      </c>
      <c r="U21" s="3570">
        <f t="shared" si="13"/>
        <v>-8840.6075880887201</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0.8736860074310413</v>
      </c>
      <c r="O22" s="2905" t="s">
        <v>2153</v>
      </c>
      <c r="P22" s="3109">
        <f t="shared" si="14"/>
        <v>0.8736860074310413</v>
      </c>
      <c r="Q22" s="2905">
        <v>8.0459989323120554E-2</v>
      </c>
      <c r="R22" s="2906" t="s">
        <v>2147</v>
      </c>
      <c r="S22" s="2906" t="s">
        <v>2147</v>
      </c>
      <c r="T22" s="2906" t="s">
        <v>2147</v>
      </c>
      <c r="U22" s="3570">
        <f t="shared" si="13"/>
        <v>-3.4985353214319268</v>
      </c>
      <c r="W22" s="2398"/>
    </row>
    <row r="23" spans="2:23" ht="18" customHeight="1" x14ac:dyDescent="0.2">
      <c r="B23" s="487" t="s">
        <v>1044</v>
      </c>
      <c r="C23" s="504"/>
      <c r="D23" s="3568">
        <f>D24</f>
        <v>126.98385479330118</v>
      </c>
      <c r="E23" s="3571" t="str">
        <f t="shared" ref="E23" si="15">E24</f>
        <v>NO</v>
      </c>
      <c r="F23" s="3572">
        <f t="shared" ref="F23" si="16">F24</f>
        <v>126.98385479330118</v>
      </c>
      <c r="G23" s="3558">
        <f t="shared" si="6"/>
        <v>8.8169078497750597</v>
      </c>
      <c r="H23" s="3078" t="str">
        <f t="shared" si="6"/>
        <v>NA</v>
      </c>
      <c r="I23" s="3078">
        <f t="shared" si="6"/>
        <v>8.8169078497750597</v>
      </c>
      <c r="J23" s="3078">
        <f t="shared" si="6"/>
        <v>-0.86903700833670938</v>
      </c>
      <c r="K23" s="3078">
        <f t="shared" si="6"/>
        <v>0.395675846815365</v>
      </c>
      <c r="L23" s="3078" t="str">
        <f t="shared" si="3"/>
        <v>NA</v>
      </c>
      <c r="M23" s="3128">
        <f t="shared" si="4"/>
        <v>-0.49068790351606661</v>
      </c>
      <c r="N23" s="3078">
        <f t="shared" ref="N23" si="17">N24</f>
        <v>1119.6049461217535</v>
      </c>
      <c r="O23" s="3078" t="str">
        <f t="shared" ref="O23" si="18">O24</f>
        <v>IE</v>
      </c>
      <c r="P23" s="3078">
        <f t="shared" ref="P23" si="19">P24</f>
        <v>1119.6049461217535</v>
      </c>
      <c r="Q23" s="3078">
        <f t="shared" ref="Q23" si="20">Q24</f>
        <v>-110.35366927663357</v>
      </c>
      <c r="R23" s="3573">
        <f t="shared" ref="R23" si="21">R24</f>
        <v>50.24444427721879</v>
      </c>
      <c r="S23" s="3573" t="str">
        <f t="shared" ref="S23" si="22">S24</f>
        <v>NO</v>
      </c>
      <c r="T23" s="3573">
        <f t="shared" ref="T23" si="23">T24</f>
        <v>-62.309441488913578</v>
      </c>
      <c r="U23" s="3570">
        <f t="shared" ref="U23" si="24">U24</f>
        <v>-3656.3496919892254</v>
      </c>
      <c r="W23" s="2019"/>
    </row>
    <row r="24" spans="2:23" ht="18" customHeight="1" x14ac:dyDescent="0.2">
      <c r="B24" s="488"/>
      <c r="C24" s="508" t="s">
        <v>278</v>
      </c>
      <c r="D24" s="3568">
        <f>IF(SUM(E24:F24)=0,E24,SUM(E24:F24))</f>
        <v>126.98385479330118</v>
      </c>
      <c r="E24" s="3569" t="s">
        <v>2146</v>
      </c>
      <c r="F24" s="3554">
        <v>126.98385479330118</v>
      </c>
      <c r="G24" s="3558">
        <f t="shared" si="6"/>
        <v>8.8169078497750597</v>
      </c>
      <c r="H24" s="3078" t="str">
        <f t="shared" si="6"/>
        <v>NA</v>
      </c>
      <c r="I24" s="3078">
        <f t="shared" si="6"/>
        <v>8.8169078497750597</v>
      </c>
      <c r="J24" s="3078">
        <f t="shared" si="6"/>
        <v>-0.86903700833670938</v>
      </c>
      <c r="K24" s="3078">
        <f t="shared" si="6"/>
        <v>0.395675846815365</v>
      </c>
      <c r="L24" s="3078" t="str">
        <f t="shared" si="3"/>
        <v>NA</v>
      </c>
      <c r="M24" s="3128">
        <f t="shared" si="4"/>
        <v>-0.49068790351606661</v>
      </c>
      <c r="N24" s="2905">
        <v>1119.6049461217535</v>
      </c>
      <c r="O24" s="2905" t="s">
        <v>2153</v>
      </c>
      <c r="P24" s="3109">
        <f t="shared" si="14"/>
        <v>1119.6049461217535</v>
      </c>
      <c r="Q24" s="2905">
        <v>-110.35366927663357</v>
      </c>
      <c r="R24" s="2906">
        <v>50.24444427721879</v>
      </c>
      <c r="S24" s="2906" t="s">
        <v>2146</v>
      </c>
      <c r="T24" s="2906">
        <v>-62.309441488913578</v>
      </c>
      <c r="U24" s="3570">
        <f t="shared" ref="U24" si="25">IF(SUM(P24:T24)=0,P24,SUM(P24:T24)*-44/12)</f>
        <v>-3656.3496919892254</v>
      </c>
      <c r="W24" s="2398"/>
    </row>
    <row r="25" spans="2:23" ht="18" customHeight="1" x14ac:dyDescent="0.2">
      <c r="B25" s="487" t="s">
        <v>1045</v>
      </c>
      <c r="C25" s="504"/>
      <c r="D25" s="3568">
        <f>D26</f>
        <v>45.167000000000002</v>
      </c>
      <c r="E25" s="3571">
        <f t="shared" ref="E25" si="26">E26</f>
        <v>45.167000000000002</v>
      </c>
      <c r="F25" s="3572" t="str">
        <f t="shared" ref="F25" si="27">F26</f>
        <v>NO</v>
      </c>
      <c r="G25" s="3558">
        <f t="shared" si="6"/>
        <v>1.7921269953727277</v>
      </c>
      <c r="H25" s="3078" t="str">
        <f t="shared" si="6"/>
        <v>NA</v>
      </c>
      <c r="I25" s="3078">
        <f t="shared" si="6"/>
        <v>1.7921269953727277</v>
      </c>
      <c r="J25" s="3078">
        <f t="shared" si="6"/>
        <v>3.9143622556291092E-2</v>
      </c>
      <c r="K25" s="3078">
        <f t="shared" si="6"/>
        <v>3.2767285850288923E-2</v>
      </c>
      <c r="L25" s="3078">
        <f t="shared" si="3"/>
        <v>-0.77197954258640156</v>
      </c>
      <c r="M25" s="3128" t="str">
        <f t="shared" si="4"/>
        <v>NA</v>
      </c>
      <c r="N25" s="3078">
        <f t="shared" ref="N25" si="28">N26</f>
        <v>80.944999999999993</v>
      </c>
      <c r="O25" s="3078" t="str">
        <f t="shared" ref="O25" si="29">O26</f>
        <v>IE</v>
      </c>
      <c r="P25" s="3078">
        <f t="shared" ref="P25" si="30">P26</f>
        <v>80.944999999999993</v>
      </c>
      <c r="Q25" s="3078">
        <f t="shared" ref="Q25" si="31">Q26</f>
        <v>1.7679999999999998</v>
      </c>
      <c r="R25" s="3573">
        <f t="shared" ref="R25" si="32">R26</f>
        <v>1.4799999999999998</v>
      </c>
      <c r="S25" s="3573">
        <f t="shared" ref="S25" si="33">S26</f>
        <v>-34.868000000000002</v>
      </c>
      <c r="T25" s="3573" t="str">
        <f t="shared" ref="T25" si="34">T26</f>
        <v>NO</v>
      </c>
      <c r="U25" s="3570">
        <f t="shared" ref="U25" si="35">U26</f>
        <v>-180.85833333333332</v>
      </c>
      <c r="W25" s="2019"/>
    </row>
    <row r="26" spans="2:23" ht="18" customHeight="1" x14ac:dyDescent="0.2">
      <c r="B26" s="488"/>
      <c r="C26" s="508" t="s">
        <v>278</v>
      </c>
      <c r="D26" s="3568">
        <f>IF(SUM(E26:F26)=0,E26,SUM(E26:F26))</f>
        <v>45.167000000000002</v>
      </c>
      <c r="E26" s="3569">
        <v>45.167000000000002</v>
      </c>
      <c r="F26" s="3554" t="s">
        <v>2146</v>
      </c>
      <c r="G26" s="3558">
        <f t="shared" si="6"/>
        <v>1.7921269953727277</v>
      </c>
      <c r="H26" s="3078" t="str">
        <f t="shared" si="6"/>
        <v>NA</v>
      </c>
      <c r="I26" s="3078">
        <f t="shared" si="6"/>
        <v>1.7921269953727277</v>
      </c>
      <c r="J26" s="3078">
        <f t="shared" si="6"/>
        <v>3.9143622556291092E-2</v>
      </c>
      <c r="K26" s="3078">
        <f t="shared" si="6"/>
        <v>3.2767285850288923E-2</v>
      </c>
      <c r="L26" s="3078">
        <f t="shared" si="3"/>
        <v>-0.77197954258640156</v>
      </c>
      <c r="M26" s="3128" t="str">
        <f t="shared" si="4"/>
        <v>NA</v>
      </c>
      <c r="N26" s="2905">
        <v>80.944999999999993</v>
      </c>
      <c r="O26" s="2905" t="s">
        <v>2153</v>
      </c>
      <c r="P26" s="3109">
        <f t="shared" si="14"/>
        <v>80.944999999999993</v>
      </c>
      <c r="Q26" s="2905">
        <v>1.7679999999999998</v>
      </c>
      <c r="R26" s="2906">
        <v>1.4799999999999998</v>
      </c>
      <c r="S26" s="2906">
        <v>-34.868000000000002</v>
      </c>
      <c r="T26" s="2906" t="s">
        <v>2146</v>
      </c>
      <c r="U26" s="3570">
        <f t="shared" ref="U26" si="36">IF(SUM(P26:T26)=0,P26,SUM(P26:T26)*-44/12)</f>
        <v>-180.85833333333332</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39868.357079376816</v>
      </c>
      <c r="E10" s="3583">
        <f t="shared" ref="E10:F10" si="0">IF(SUM(E11,E13)=0,"IE",SUM(E11,E13))</f>
        <v>39865.357079376816</v>
      </c>
      <c r="F10" s="3584">
        <f t="shared" si="0"/>
        <v>3</v>
      </c>
      <c r="G10" s="3558">
        <f>IFERROR(IF(SUM($D10)=0,"NA",M10/$D10),"NA")</f>
        <v>1.1558416673137686E-3</v>
      </c>
      <c r="H10" s="3583">
        <f t="shared" ref="H10:J10" si="1">IFERROR(IF(SUM($D10)=0,"NA",N10/$D10),"NA")</f>
        <v>-2.3453963707064703E-2</v>
      </c>
      <c r="I10" s="3583">
        <f t="shared" si="1"/>
        <v>-2.2298122039750935E-2</v>
      </c>
      <c r="J10" s="3583">
        <f t="shared" si="1"/>
        <v>-4.5863941580523773E-3</v>
      </c>
      <c r="K10" s="3585">
        <f>IFERROR(IF(SUM(E10)=0,"NA",Q10/E10),"NA")</f>
        <v>-1.4107831581418914E-2</v>
      </c>
      <c r="L10" s="3584">
        <f>IFERROR(IF(SUM(F10)=0,"NA",R10/F10),"NA")</f>
        <v>-12.475</v>
      </c>
      <c r="M10" s="3586">
        <f>IF(SUM(M11,M13)=0,"IE",SUM(M11,M13))</f>
        <v>46.081508319687586</v>
      </c>
      <c r="N10" s="3583">
        <f t="shared" ref="N10:S10" si="2">IF(SUM(N11,N13)=0,"IE",SUM(N11,N13))</f>
        <v>-935.07100000000003</v>
      </c>
      <c r="O10" s="3587">
        <f t="shared" si="2"/>
        <v>-888.98949168031243</v>
      </c>
      <c r="P10" s="3583">
        <f t="shared" si="2"/>
        <v>-182.85199999999998</v>
      </c>
      <c r="Q10" s="3585">
        <f t="shared" si="2"/>
        <v>-562.4137436089743</v>
      </c>
      <c r="R10" s="3585">
        <f t="shared" si="2"/>
        <v>-37.424999999999997</v>
      </c>
      <c r="S10" s="3588">
        <f t="shared" si="2"/>
        <v>6129.4941960607175</v>
      </c>
      <c r="U10" s="2261"/>
    </row>
    <row r="11" spans="2:21" ht="18" customHeight="1" x14ac:dyDescent="0.2">
      <c r="B11" s="499" t="s">
        <v>985</v>
      </c>
      <c r="C11" s="2256"/>
      <c r="D11" s="3589">
        <f>D12</f>
        <v>37667.818138349001</v>
      </c>
      <c r="E11" s="3078">
        <f t="shared" ref="E11" si="3">E12</f>
        <v>37667.818138349001</v>
      </c>
      <c r="F11" s="3078" t="str">
        <f t="shared" ref="F11" si="4">F12</f>
        <v>IE</v>
      </c>
      <c r="G11" s="3558">
        <f t="shared" ref="G11:G23" si="5">IFERROR(IF(SUM($D11)=0,"NA",M11/$D11),"NA")</f>
        <v>1.2233654774066339E-3</v>
      </c>
      <c r="H11" s="3078" t="str">
        <f t="shared" ref="H11:H23" si="6">IFERROR(IF(SUM($D11)=0,"NA",N11/$D11),"NA")</f>
        <v>NA</v>
      </c>
      <c r="I11" s="3078">
        <f t="shared" ref="I11:I23" si="7">IFERROR(IF(SUM($D11)=0,"NA",O11/$D11),"NA")</f>
        <v>1.2233654774066339E-3</v>
      </c>
      <c r="J11" s="3078" t="str">
        <f t="shared" ref="J11:J23" si="8">IFERROR(IF(SUM($D11)=0,"NA",P11/$D11),"NA")</f>
        <v>NA</v>
      </c>
      <c r="K11" s="3573">
        <f t="shared" ref="K11:K23" si="9">IFERROR(IF(SUM(E11)=0,"NA",Q11/E11),"NA")</f>
        <v>-3.2714920883461667E-3</v>
      </c>
      <c r="L11" s="3128" t="str">
        <f t="shared" ref="L11:L23" si="10">IFERROR(IF(SUM(F11)=0,"NA",R11/F11),"NA")</f>
        <v>NA</v>
      </c>
      <c r="M11" s="3590">
        <f t="shared" ref="M11" si="11">M12</f>
        <v>46.081508319687586</v>
      </c>
      <c r="N11" s="3591" t="str">
        <f t="shared" ref="N11" si="12">N12</f>
        <v>IE</v>
      </c>
      <c r="O11" s="3592">
        <f t="shared" ref="O11" si="13">O12</f>
        <v>46.081508319687586</v>
      </c>
      <c r="P11" s="3591" t="str">
        <f t="shared" ref="P11" si="14">P12</f>
        <v>NA</v>
      </c>
      <c r="Q11" s="3593">
        <f t="shared" ref="Q11" si="15">Q12</f>
        <v>-123.229969024871</v>
      </c>
      <c r="R11" s="3593" t="str">
        <f t="shared" ref="R11" si="16">R12</f>
        <v>IE</v>
      </c>
      <c r="S11" s="3594">
        <f t="shared" ref="S11" si="17">S12</f>
        <v>282.87768925233917</v>
      </c>
      <c r="U11" s="2258"/>
    </row>
    <row r="12" spans="2:21" ht="18" customHeight="1" x14ac:dyDescent="0.2">
      <c r="B12" s="501"/>
      <c r="C12" s="508" t="s">
        <v>278</v>
      </c>
      <c r="D12" s="3568">
        <f>IF(SUM(E12:F12)=0,E12,SUM(E12:F12))</f>
        <v>37667.818138349001</v>
      </c>
      <c r="E12" s="3569">
        <v>37667.818138349001</v>
      </c>
      <c r="F12" s="3554" t="s">
        <v>2153</v>
      </c>
      <c r="G12" s="3558">
        <f t="shared" si="5"/>
        <v>1.2233654774066339E-3</v>
      </c>
      <c r="H12" s="3078" t="str">
        <f t="shared" si="6"/>
        <v>NA</v>
      </c>
      <c r="I12" s="3078">
        <f t="shared" si="7"/>
        <v>1.2233654774066339E-3</v>
      </c>
      <c r="J12" s="3078" t="str">
        <f t="shared" si="8"/>
        <v>NA</v>
      </c>
      <c r="K12" s="3573">
        <f t="shared" si="9"/>
        <v>-3.2714920883461667E-3</v>
      </c>
      <c r="L12" s="3128" t="str">
        <f t="shared" si="10"/>
        <v>NA</v>
      </c>
      <c r="M12" s="2905">
        <v>46.081508319687586</v>
      </c>
      <c r="N12" s="2905" t="s">
        <v>2153</v>
      </c>
      <c r="O12" s="3109">
        <f>IF(SUM(M12:N12)=0,M12,SUM(M12:N12))</f>
        <v>46.081508319687586</v>
      </c>
      <c r="P12" s="2905" t="s">
        <v>2147</v>
      </c>
      <c r="Q12" s="2906">
        <v>-123.229969024871</v>
      </c>
      <c r="R12" s="2906" t="s">
        <v>2153</v>
      </c>
      <c r="S12" s="3594">
        <f>IF(SUM(O12:R12)=0,Q12,SUM(O12:R12)*-44/12)</f>
        <v>282.87768925233917</v>
      </c>
      <c r="U12" s="2398"/>
    </row>
    <row r="13" spans="2:21" ht="18" customHeight="1" x14ac:dyDescent="0.2">
      <c r="B13" s="485" t="s">
        <v>1054</v>
      </c>
      <c r="C13" s="504"/>
      <c r="D13" s="3589">
        <f>IF(SUM(D14,D16,D18,D20,D22)=0,"IE",SUM(D14,D16,D18,D20,D22))</f>
        <v>2200.5389410278121</v>
      </c>
      <c r="E13" s="3591">
        <f t="shared" ref="E13:F13" si="18">IF(SUM(E14,E16,E18,E20,E22)=0,"IE",SUM(E14,E16,E18,E20,E22))</f>
        <v>2197.5389410278121</v>
      </c>
      <c r="F13" s="3595">
        <f t="shared" si="18"/>
        <v>3</v>
      </c>
      <c r="G13" s="3558" t="str">
        <f t="shared" si="5"/>
        <v>NA</v>
      </c>
      <c r="H13" s="3078">
        <f t="shared" si="6"/>
        <v>-0.42492817671440691</v>
      </c>
      <c r="I13" s="3078">
        <f t="shared" si="7"/>
        <v>-0.42492817671440691</v>
      </c>
      <c r="J13" s="3078">
        <f t="shared" si="8"/>
        <v>-8.3094189605476723E-2</v>
      </c>
      <c r="K13" s="3573">
        <f t="shared" si="9"/>
        <v>-0.19985255614114053</v>
      </c>
      <c r="L13" s="3128">
        <f t="shared" si="10"/>
        <v>-12.475</v>
      </c>
      <c r="M13" s="3590" t="str">
        <f>IF(SUM(M14,M16,M18,M20,M22)=0,"IE",SUM(M14,M16,M18,M20,M22))</f>
        <v>IE</v>
      </c>
      <c r="N13" s="3591">
        <f t="shared" ref="N13" si="19">IF(SUM(N14,N16,N18,N20,N22)=0,"IE",SUM(N14,N16,N18,N20,N22))</f>
        <v>-935.07100000000003</v>
      </c>
      <c r="O13" s="3592">
        <f t="shared" ref="O13" si="20">IF(SUM(O14,O16,O18,O20,O22)=0,"IE",SUM(O14,O16,O18,O20,O22))</f>
        <v>-935.07100000000003</v>
      </c>
      <c r="P13" s="3592">
        <f t="shared" ref="P13" si="21">IF(SUM(P14,P16,P18,P20,P22)=0,"IE",SUM(P14,P16,P18,P20,P22))</f>
        <v>-182.85199999999998</v>
      </c>
      <c r="Q13" s="3592">
        <f t="shared" ref="Q13" si="22">IF(SUM(Q14,Q16,Q18,Q20,Q22)=0,"IE",SUM(Q14,Q16,Q18,Q20,Q22))</f>
        <v>-439.18377458410333</v>
      </c>
      <c r="R13" s="3592">
        <f t="shared" ref="R13" si="23">IF(SUM(R14,R16,R18,R20,R22)=0,"IE",SUM(R14,R16,R18,R20,R22))</f>
        <v>-37.424999999999997</v>
      </c>
      <c r="S13" s="3594">
        <f t="shared" ref="S13" si="24">IF(SUM(S14,S16,S18,S20,S22)=0,"IE",SUM(S14,S16,S18,S20,S22))</f>
        <v>5846.6165068083783</v>
      </c>
      <c r="U13" s="503"/>
    </row>
    <row r="14" spans="2:21" ht="18" customHeight="1" x14ac:dyDescent="0.2">
      <c r="B14" s="487" t="s">
        <v>1055</v>
      </c>
      <c r="C14" s="504"/>
      <c r="D14" s="3589">
        <f>D15</f>
        <v>2187.8780000000002</v>
      </c>
      <c r="E14" s="3078">
        <f t="shared" ref="E14" si="25">E15</f>
        <v>2187.8780000000002</v>
      </c>
      <c r="F14" s="3078" t="str">
        <f t="shared" ref="F14" si="26">F15</f>
        <v>IE</v>
      </c>
      <c r="G14" s="3558" t="str">
        <f t="shared" si="5"/>
        <v>NA</v>
      </c>
      <c r="H14" s="3078">
        <f t="shared" si="6"/>
        <v>-0.42738717606740412</v>
      </c>
      <c r="I14" s="3078">
        <f t="shared" si="7"/>
        <v>-0.42738717606740412</v>
      </c>
      <c r="J14" s="3078">
        <f t="shared" si="8"/>
        <v>-8.3575043946691713E-2</v>
      </c>
      <c r="K14" s="3573">
        <f t="shared" si="9"/>
        <v>-0.18783497068849359</v>
      </c>
      <c r="L14" s="3128" t="str">
        <f t="shared" si="10"/>
        <v>NA</v>
      </c>
      <c r="M14" s="3590" t="str">
        <f t="shared" ref="M14" si="27">M15</f>
        <v>IE</v>
      </c>
      <c r="N14" s="3591">
        <f t="shared" ref="N14" si="28">N15</f>
        <v>-935.07100000000003</v>
      </c>
      <c r="O14" s="3592">
        <f t="shared" ref="O14" si="29">O15</f>
        <v>-935.07100000000003</v>
      </c>
      <c r="P14" s="3591">
        <f t="shared" ref="P14" si="30">P15</f>
        <v>-182.85199999999998</v>
      </c>
      <c r="Q14" s="3593">
        <f t="shared" ref="Q14" si="31">Q15</f>
        <v>-410.96</v>
      </c>
      <c r="R14" s="3593" t="str">
        <f t="shared" ref="R14" si="32">R15</f>
        <v>IE</v>
      </c>
      <c r="S14" s="3594">
        <f t="shared" ref="S14" si="33">S15</f>
        <v>5605.9043333333329</v>
      </c>
      <c r="U14" s="503"/>
    </row>
    <row r="15" spans="2:21" ht="18" customHeight="1" x14ac:dyDescent="0.2">
      <c r="B15" s="501"/>
      <c r="C15" s="508" t="s">
        <v>278</v>
      </c>
      <c r="D15" s="3568">
        <f>IF(SUM(E15:F15)=0,E15,SUM(E15:F15))</f>
        <v>2187.8780000000002</v>
      </c>
      <c r="E15" s="3569">
        <v>2187.8780000000002</v>
      </c>
      <c r="F15" s="3554" t="s">
        <v>2153</v>
      </c>
      <c r="G15" s="3558" t="str">
        <f t="shared" si="5"/>
        <v>NA</v>
      </c>
      <c r="H15" s="3078">
        <f t="shared" si="6"/>
        <v>-0.42738717606740412</v>
      </c>
      <c r="I15" s="3078">
        <f t="shared" si="7"/>
        <v>-0.42738717606740412</v>
      </c>
      <c r="J15" s="3078">
        <f t="shared" si="8"/>
        <v>-8.3575043946691713E-2</v>
      </c>
      <c r="K15" s="3573">
        <f t="shared" si="9"/>
        <v>-0.18783497068849359</v>
      </c>
      <c r="L15" s="3128" t="str">
        <f t="shared" si="10"/>
        <v>NA</v>
      </c>
      <c r="M15" s="2905" t="s">
        <v>2153</v>
      </c>
      <c r="N15" s="2905">
        <v>-935.07100000000003</v>
      </c>
      <c r="O15" s="3109">
        <f>IF(SUM(M15:N15)=0,M15,SUM(M15:N15))</f>
        <v>-935.07100000000003</v>
      </c>
      <c r="P15" s="2905">
        <v>-182.85199999999998</v>
      </c>
      <c r="Q15" s="2906">
        <v>-410.96</v>
      </c>
      <c r="R15" s="2906" t="s">
        <v>2153</v>
      </c>
      <c r="S15" s="3594">
        <f>IF(SUM(O15:R15)=0,Q15,SUM(O15:R15)*-44/12)</f>
        <v>5605.9043333333329</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520840.38457381423</v>
      </c>
      <c r="E10" s="3583">
        <f t="shared" ref="E10:F10" si="0">IF(SUM(E11,E15)=0,"IE",SUM(E11,E15))</f>
        <v>520839.38457381423</v>
      </c>
      <c r="F10" s="3584">
        <f t="shared" si="0"/>
        <v>1</v>
      </c>
      <c r="G10" s="3558" t="str">
        <f>IFERROR(IF(SUM($D10)=0,"NA",M10/$D10),"NA")</f>
        <v>NA</v>
      </c>
      <c r="H10" s="3583">
        <f t="shared" ref="H10:J10" si="1">IFERROR(IF(SUM($D10)=0,"NA",N10/$D10),"NA")</f>
        <v>-4.1621209909272136E-2</v>
      </c>
      <c r="I10" s="3583">
        <f t="shared" si="1"/>
        <v>-4.1621209909272136E-2</v>
      </c>
      <c r="J10" s="3583">
        <f t="shared" si="1"/>
        <v>-5.1199535781631168E-5</v>
      </c>
      <c r="K10" s="3585">
        <f>IFERROR(IF(SUM(E10)=0,"NA",Q10/E10),"NA")</f>
        <v>2.193229139576194E-3</v>
      </c>
      <c r="L10" s="3584">
        <f>IFERROR(IF(SUM(F10)=0,"NA",R10/F10),"NA")</f>
        <v>-8.7249999999999996</v>
      </c>
      <c r="M10" s="3586" t="str">
        <f>IF(SUM(M11,M15)=0,"IE",SUM(M11,M15))</f>
        <v>IE</v>
      </c>
      <c r="N10" s="3583">
        <f t="shared" ref="N10:S10" si="2">IF(SUM(N11,N15)=0,"IE",SUM(N11,N15))</f>
        <v>-21678.006975572745</v>
      </c>
      <c r="O10" s="3587">
        <f t="shared" si="2"/>
        <v>-21678.006975572745</v>
      </c>
      <c r="P10" s="3583">
        <f t="shared" si="2"/>
        <v>-26.666785906505538</v>
      </c>
      <c r="Q10" s="3585">
        <f t="shared" si="2"/>
        <v>1142.3201152862209</v>
      </c>
      <c r="R10" s="3585">
        <f t="shared" si="2"/>
        <v>-8.7249999999999996</v>
      </c>
      <c r="S10" s="3588">
        <f t="shared" si="2"/>
        <v>75427.288369374437</v>
      </c>
      <c r="U10" s="2261"/>
    </row>
    <row r="11" spans="2:21" ht="18" customHeight="1" x14ac:dyDescent="0.2">
      <c r="B11" s="493" t="s">
        <v>988</v>
      </c>
      <c r="C11" s="483"/>
      <c r="D11" s="3599">
        <f>IF(SUM(D12:D14)=0,"IE",SUM(D12:D14))</f>
        <v>509810.227659564</v>
      </c>
      <c r="E11" s="3564">
        <f t="shared" ref="E11:F11" si="3">IF(SUM(E12:E14)=0,"IE",SUM(E12:E14))</f>
        <v>509810.227659564</v>
      </c>
      <c r="F11" s="3565" t="str">
        <f t="shared" si="3"/>
        <v>IE</v>
      </c>
      <c r="G11" s="3599" t="str">
        <f t="shared" ref="G11:G26" si="4">IFERROR(IF(SUM($D11)=0,"NA",M11/$D11),"NA")</f>
        <v>NA</v>
      </c>
      <c r="H11" s="3109">
        <f t="shared" ref="H11:H26" si="5">IFERROR(IF(SUM($D11)=0,"NA",N11/$D11),"NA")</f>
        <v>-2.8107420616493486E-3</v>
      </c>
      <c r="I11" s="3109">
        <f t="shared" ref="I11:I26" si="6">IFERROR(IF(SUM($D11)=0,"NA",O11/$D11),"NA")</f>
        <v>-2.8107420616493486E-3</v>
      </c>
      <c r="J11" s="3109">
        <f t="shared" ref="J11:J26" si="7">IFERROR(IF(SUM($D11)=0,"NA",P11/$D11),"NA")</f>
        <v>6.6132335546822171E-4</v>
      </c>
      <c r="K11" s="3566">
        <f t="shared" ref="K11:K26" si="8">IFERROR(IF(SUM(E11)=0,"NA",Q11/E11),"NA")</f>
        <v>6.2301858843200001E-3</v>
      </c>
      <c r="L11" s="3249" t="str">
        <f t="shared" ref="L11:L26" si="9">IFERROR(IF(SUM(F11)=0,"NA",R11/F11),"NA")</f>
        <v>NA</v>
      </c>
      <c r="M11" s="3109" t="str">
        <f>IF(SUM(M12:M14)=0,"IE",SUM(M12:M14))</f>
        <v>IE</v>
      </c>
      <c r="N11" s="3109">
        <f t="shared" ref="N11:O11" si="10">IF(SUM(N12:N14)=0,"IE",SUM(N12:N14))</f>
        <v>-1432.9450503417668</v>
      </c>
      <c r="O11" s="3109">
        <f t="shared" si="10"/>
        <v>-1432.9450503417668</v>
      </c>
      <c r="P11" s="3109">
        <f t="shared" ref="P11" si="11">IF(SUM(P12:P14)=0,"IE",SUM(P12:P14))</f>
        <v>337.14941040784089</v>
      </c>
      <c r="Q11" s="3566">
        <f t="shared" ref="Q11" si="12">IF(SUM(Q12:Q14)=0,"IE",SUM(Q12:Q14))</f>
        <v>3176.2124840465813</v>
      </c>
      <c r="R11" s="3566" t="str">
        <f t="shared" ref="R11" si="13">IF(SUM(R12:R14)=0,"IE",SUM(R12:R14))</f>
        <v>IE</v>
      </c>
      <c r="S11" s="3567">
        <f t="shared" ref="S11" si="14">IF(SUM(S12:S14)=0,"IE",SUM(S12:S14))</f>
        <v>-7628.1950950797363</v>
      </c>
      <c r="U11" s="2397"/>
    </row>
    <row r="12" spans="2:21" ht="18" customHeight="1" x14ac:dyDescent="0.2">
      <c r="B12" s="499"/>
      <c r="C12" s="484" t="s">
        <v>2226</v>
      </c>
      <c r="D12" s="3600">
        <f>IF(SUM(E12:F12)=0,E12,SUM(E12:F12))</f>
        <v>70456.100045431143</v>
      </c>
      <c r="E12" s="3569">
        <v>70456.100045431143</v>
      </c>
      <c r="F12" s="3554" t="s">
        <v>2153</v>
      </c>
      <c r="G12" s="3558" t="str">
        <f t="shared" si="4"/>
        <v>NA</v>
      </c>
      <c r="H12" s="3078">
        <f t="shared" si="5"/>
        <v>-2.8852684149412253E-3</v>
      </c>
      <c r="I12" s="3078">
        <f t="shared" si="6"/>
        <v>-2.8852684149412253E-3</v>
      </c>
      <c r="J12" s="3078">
        <f t="shared" si="7"/>
        <v>-5.7705368298824474E-4</v>
      </c>
      <c r="K12" s="3573">
        <f t="shared" si="8"/>
        <v>-2.308214731952979E-3</v>
      </c>
      <c r="L12" s="3128" t="str">
        <f t="shared" si="9"/>
        <v>NA</v>
      </c>
      <c r="M12" s="2905" t="s">
        <v>2153</v>
      </c>
      <c r="N12" s="2905">
        <v>-203.2847601010215</v>
      </c>
      <c r="O12" s="3109">
        <f>IF(SUM(M12:N12)=0,M12,SUM(M12:N12))</f>
        <v>-203.2847601010215</v>
      </c>
      <c r="P12" s="2905">
        <v>-40.65695202020428</v>
      </c>
      <c r="Q12" s="2906">
        <v>-162.62780808081712</v>
      </c>
      <c r="R12" s="2906" t="s">
        <v>2153</v>
      </c>
      <c r="S12" s="3570">
        <f>IF(SUM(O12:R12)=0,Q12,SUM(O12:R12)*-44/12)</f>
        <v>1490.7549074074905</v>
      </c>
      <c r="U12" s="2398"/>
    </row>
    <row r="13" spans="2:21" ht="18" customHeight="1" x14ac:dyDescent="0.2">
      <c r="B13" s="499"/>
      <c r="C13" s="484" t="s">
        <v>2227</v>
      </c>
      <c r="D13" s="3600">
        <f>IF(SUM(E13:F13)=0,E13,SUM(E13:F13))</f>
        <v>439354.12761413283</v>
      </c>
      <c r="E13" s="3569">
        <v>439354.12761413283</v>
      </c>
      <c r="F13" s="3554" t="s">
        <v>2153</v>
      </c>
      <c r="G13" s="3558" t="str">
        <f t="shared" si="4"/>
        <v>NA</v>
      </c>
      <c r="H13" s="3078" t="str">
        <f t="shared" si="5"/>
        <v>NA</v>
      </c>
      <c r="I13" s="3078" t="str">
        <f t="shared" si="6"/>
        <v>NA</v>
      </c>
      <c r="J13" s="3078" t="str">
        <f t="shared" si="7"/>
        <v>NA</v>
      </c>
      <c r="K13" s="3573">
        <f t="shared" si="8"/>
        <v>7.5994285299164598E-3</v>
      </c>
      <c r="L13" s="3128" t="str">
        <f t="shared" si="9"/>
        <v>NA</v>
      </c>
      <c r="M13" s="2905" t="s">
        <v>2147</v>
      </c>
      <c r="N13" s="2905" t="s">
        <v>2147</v>
      </c>
      <c r="O13" s="3109" t="str">
        <f>IF(SUM(M13:N13)=0,M13,SUM(M13:N13))</f>
        <v>NA</v>
      </c>
      <c r="P13" s="2905" t="s">
        <v>2147</v>
      </c>
      <c r="Q13" s="2906">
        <v>3338.8402921273982</v>
      </c>
      <c r="R13" s="2906" t="s">
        <v>2153</v>
      </c>
      <c r="S13" s="3570">
        <f>IF(SUM(O13:R13)=0,Q13,SUM(O13:R13)*-44/12)</f>
        <v>-12242.414404467127</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-1229.6602902407453</v>
      </c>
      <c r="O14" s="3109">
        <f>IF(SUM(M14:N14)=0,M14,SUM(M14:N14))</f>
        <v>-1229.6602902407453</v>
      </c>
      <c r="P14" s="2905">
        <v>377.80636242804519</v>
      </c>
      <c r="Q14" s="2906" t="s">
        <v>2147</v>
      </c>
      <c r="R14" s="2906" t="s">
        <v>2147</v>
      </c>
      <c r="S14" s="3570">
        <f>IF(SUM(O14:R14)=0,Q14,SUM(O14:R14)*-44/12)</f>
        <v>3123.4644019799002</v>
      </c>
      <c r="U14" s="2398"/>
    </row>
    <row r="15" spans="2:21" ht="18" customHeight="1" x14ac:dyDescent="0.2">
      <c r="B15" s="485" t="s">
        <v>1066</v>
      </c>
      <c r="C15" s="486"/>
      <c r="D15" s="3589">
        <f>IF(SUM(D16,D19,D21,D23,D25)=0,"IE",SUM(D16,D19,D21,D23,D25))</f>
        <v>11030.156914250241</v>
      </c>
      <c r="E15" s="3591">
        <f t="shared" ref="E15:F15" si="15">IF(SUM(E16,E19,E21,E23,E25)=0,"IE",SUM(E16,E19,E21,E23,E25))</f>
        <v>11029.156914250241</v>
      </c>
      <c r="F15" s="3595">
        <f t="shared" si="15"/>
        <v>1</v>
      </c>
      <c r="G15" s="3558" t="str">
        <f t="shared" si="4"/>
        <v>NA</v>
      </c>
      <c r="H15" s="3078">
        <f t="shared" si="5"/>
        <v>-1.835428279272771</v>
      </c>
      <c r="I15" s="3078">
        <f t="shared" si="6"/>
        <v>-1.835428279272771</v>
      </c>
      <c r="J15" s="3078">
        <f t="shared" si="7"/>
        <v>-3.2983773408002896E-2</v>
      </c>
      <c r="K15" s="3573">
        <f t="shared" si="8"/>
        <v>-0.18441050250472601</v>
      </c>
      <c r="L15" s="3128">
        <f t="shared" si="9"/>
        <v>-8.7249999999999996</v>
      </c>
      <c r="M15" s="3590" t="str">
        <f>IF(SUM(M16,M19,M21,M23,M25)=0,"IE",SUM(M16,M19,M21,M23,M25))</f>
        <v>IE</v>
      </c>
      <c r="N15" s="3591">
        <f t="shared" ref="N15:S15" si="16">IF(SUM(N16,N19,N21,N23,N25)=0,"IE",SUM(N16,N19,N21,N23,N25))</f>
        <v>-20245.061925230977</v>
      </c>
      <c r="O15" s="3592">
        <f t="shared" si="16"/>
        <v>-20245.061925230977</v>
      </c>
      <c r="P15" s="3592">
        <f t="shared" si="16"/>
        <v>-363.81619631434643</v>
      </c>
      <c r="Q15" s="3592">
        <f t="shared" si="16"/>
        <v>-2033.8923687603603</v>
      </c>
      <c r="R15" s="3592">
        <f t="shared" si="16"/>
        <v>-8.7249999999999996</v>
      </c>
      <c r="S15" s="3594">
        <f t="shared" si="16"/>
        <v>83055.48346445417</v>
      </c>
      <c r="U15" s="2019"/>
    </row>
    <row r="16" spans="2:21" ht="18" customHeight="1" x14ac:dyDescent="0.2">
      <c r="B16" s="500" t="s">
        <v>1067</v>
      </c>
      <c r="C16" s="486"/>
      <c r="D16" s="3599">
        <f>IF(SUM(D17:D18)=0,"IE",SUM(D17:D18))</f>
        <v>10981.279481713695</v>
      </c>
      <c r="E16" s="3564">
        <f t="shared" ref="E16:F16" si="17">IF(SUM(E17:E18)=0,"IE",SUM(E17:E18))</f>
        <v>10981.279481713695</v>
      </c>
      <c r="F16" s="3565" t="str">
        <f t="shared" si="17"/>
        <v>IE</v>
      </c>
      <c r="G16" s="3558" t="str">
        <f t="shared" si="4"/>
        <v>NA</v>
      </c>
      <c r="H16" s="3078">
        <f t="shared" si="5"/>
        <v>-1.843597730022587</v>
      </c>
      <c r="I16" s="3078">
        <f t="shared" si="6"/>
        <v>-1.843597730022587</v>
      </c>
      <c r="J16" s="3078">
        <f t="shared" si="7"/>
        <v>-3.3130583455250585E-2</v>
      </c>
      <c r="K16" s="3573">
        <f t="shared" si="8"/>
        <v>-0.17443309542663987</v>
      </c>
      <c r="L16" s="3128" t="str">
        <f t="shared" si="9"/>
        <v>NA</v>
      </c>
      <c r="M16" s="3506" t="str">
        <f>IF(SUM(M17:M18)=0,"IE",SUM(M17:M18))</f>
        <v>IE</v>
      </c>
      <c r="N16" s="3506">
        <f t="shared" ref="N16:O16" si="18">IF(SUM(N17:N18)=0,"IE",SUM(N17:N18))</f>
        <v>-20245.061925230977</v>
      </c>
      <c r="O16" s="3506">
        <f t="shared" si="18"/>
        <v>-20245.061925230977</v>
      </c>
      <c r="P16" s="3506">
        <f t="shared" ref="P16" si="19">IF(SUM(P17:P18)=0,"IE",SUM(P17:P18))</f>
        <v>-363.81619631434643</v>
      </c>
      <c r="Q16" s="3601">
        <f t="shared" ref="Q16" si="20">IF(SUM(Q17:Q18)=0,"IE",SUM(Q17:Q18))</f>
        <v>-1915.4985717403672</v>
      </c>
      <c r="R16" s="3601" t="str">
        <f t="shared" ref="R16" si="21">IF(SUM(R17:R18)=0,"IE",SUM(R17:R18))</f>
        <v>IE</v>
      </c>
      <c r="S16" s="3287">
        <f t="shared" ref="S16" si="22">IF(SUM(S17:S18)=0,"IE",SUM(S17:S18))</f>
        <v>82589.3812087142</v>
      </c>
      <c r="U16" s="2400"/>
    </row>
    <row r="17" spans="2:21" ht="18" customHeight="1" x14ac:dyDescent="0.2">
      <c r="B17" s="500"/>
      <c r="C17" s="484" t="s">
        <v>2228</v>
      </c>
      <c r="D17" s="3600">
        <f>IF(SUM(E17:F17)=0,E17,SUM(E17:F17))</f>
        <v>10981.279481713695</v>
      </c>
      <c r="E17" s="3569">
        <v>10981.279481713695</v>
      </c>
      <c r="F17" s="3554" t="s">
        <v>2153</v>
      </c>
      <c r="G17" s="3558" t="str">
        <f t="shared" si="4"/>
        <v>NA</v>
      </c>
      <c r="H17" s="3078">
        <f t="shared" si="5"/>
        <v>-1.8435745835267772</v>
      </c>
      <c r="I17" s="3078">
        <f t="shared" si="6"/>
        <v>-1.8435745835267772</v>
      </c>
      <c r="J17" s="3078">
        <f t="shared" si="7"/>
        <v>-3.3365151627072452E-2</v>
      </c>
      <c r="K17" s="3573">
        <f t="shared" si="8"/>
        <v>-0.17443309542663987</v>
      </c>
      <c r="L17" s="3128" t="str">
        <f t="shared" si="9"/>
        <v>NA</v>
      </c>
      <c r="M17" s="2905" t="s">
        <v>2153</v>
      </c>
      <c r="N17" s="2905">
        <v>-20244.807747091469</v>
      </c>
      <c r="O17" s="3109">
        <f>IF(SUM(M17:N17)=0,M17,SUM(M17:N17))</f>
        <v>-20244.807747091469</v>
      </c>
      <c r="P17" s="2905">
        <v>-366.39205496663703</v>
      </c>
      <c r="Q17" s="2906">
        <v>-1915.4985717403672</v>
      </c>
      <c r="R17" s="2906" t="s">
        <v>2153</v>
      </c>
      <c r="S17" s="3570">
        <f>IF(SUM(O17:R17)=0,Q17,SUM(O17:R17)*-44/12)</f>
        <v>82597.894037261067</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-0.25417813950717599</v>
      </c>
      <c r="O18" s="3109">
        <f>IF(SUM(M18:N18)=0,M18,SUM(M18:N18))</f>
        <v>-0.25417813950717599</v>
      </c>
      <c r="P18" s="2905">
        <v>2.5758586522906231</v>
      </c>
      <c r="Q18" s="2906" t="s">
        <v>2147</v>
      </c>
      <c r="R18" s="2906" t="s">
        <v>2147</v>
      </c>
      <c r="S18" s="3570">
        <f>IF(SUM(O18:R18)=0,Q18,SUM(O18:R18)*-44/12)</f>
        <v>-8.5128285468726386</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13302.747037907999</v>
      </c>
      <c r="E10" s="3583">
        <f>IF(SUM(E11,E23)=0,"IE",SUM(E11,E23))</f>
        <v>13227.832676430617</v>
      </c>
      <c r="F10" s="3584">
        <f>IF(SUM(F11,F23)=0,"IE",SUM(F11,F23))</f>
        <v>74.914361477382826</v>
      </c>
      <c r="G10" s="3608" t="str">
        <f>IFERROR(IF(SUM($D10)=0,"NA",M10/$D10),"NA")</f>
        <v>NA</v>
      </c>
      <c r="H10" s="3609">
        <f t="shared" ref="H10:J10" si="0">IFERROR(IF(SUM($D10)=0,"NA",N10/$D10),"NA")</f>
        <v>-5.6229279065117535E-3</v>
      </c>
      <c r="I10" s="3610">
        <f t="shared" si="0"/>
        <v>-5.6229279065117535E-3</v>
      </c>
      <c r="J10" s="3609">
        <f t="shared" si="0"/>
        <v>5.7164909501448103E-5</v>
      </c>
      <c r="K10" s="3609">
        <f>IFERROR(IF(SUM(E10)=0,"NA",Q10/E10),"NA")</f>
        <v>-2.4001001002732407E-3</v>
      </c>
      <c r="L10" s="3611" t="str">
        <f>IFERROR(IF(SUM(F10)=0,"NA",R10/F10),"NA")</f>
        <v>NA</v>
      </c>
      <c r="M10" s="3610" t="str">
        <f t="shared" ref="M10:S10" si="1">IF(SUM(M11,M23)=0,"IE",SUM(M11,M23))</f>
        <v>IE</v>
      </c>
      <c r="N10" s="3609">
        <f t="shared" si="1"/>
        <v>-74.800387552719457</v>
      </c>
      <c r="O10" s="3610">
        <f t="shared" si="1"/>
        <v>-74.800387552719457</v>
      </c>
      <c r="P10" s="3609">
        <f t="shared" si="1"/>
        <v>0.76045033054266753</v>
      </c>
      <c r="Q10" s="3612">
        <f t="shared" si="1"/>
        <v>-31.748122533098773</v>
      </c>
      <c r="R10" s="3612" t="str">
        <f t="shared" si="1"/>
        <v>IE</v>
      </c>
      <c r="S10" s="3588">
        <f t="shared" si="1"/>
        <v>387.88955243601038</v>
      </c>
      <c r="U10" s="2401"/>
    </row>
    <row r="11" spans="1:23" ht="18" customHeight="1" x14ac:dyDescent="0.2">
      <c r="B11" s="501" t="s">
        <v>990</v>
      </c>
      <c r="C11" s="483"/>
      <c r="D11" s="3613">
        <f>IF(SUM(D12,D14,D17)=0,"IE",SUM(D12,D14,D17))</f>
        <v>13266.486037907998</v>
      </c>
      <c r="E11" s="3614">
        <f t="shared" ref="E11:S11" si="2">IF(SUM(E12,E14,E17)=0,"IE",SUM(E12,E14,E17))</f>
        <v>13191.571676430616</v>
      </c>
      <c r="F11" s="3615">
        <f t="shared" si="2"/>
        <v>74.914361477382826</v>
      </c>
      <c r="G11" s="3616" t="str">
        <f t="shared" ref="G11:G56" si="3">IFERROR(IF(SUM($D11)=0,"NA",M11/$D11),"NA")</f>
        <v>NA</v>
      </c>
      <c r="H11" s="3617">
        <f t="shared" ref="H11:H56" si="4">IFERROR(IF(SUM($D11)=0,"NA",N11/$D11),"NA")</f>
        <v>-4.619036825397548E-3</v>
      </c>
      <c r="I11" s="3618">
        <f t="shared" ref="I11:I56" si="5">IFERROR(IF(SUM($D11)=0,"NA",O11/$D11),"NA")</f>
        <v>-4.619036825397548E-3</v>
      </c>
      <c r="J11" s="3617">
        <f t="shared" ref="J11:J56" si="6">IFERROR(IF(SUM($D11)=0,"NA",P11/$D11),"NA")</f>
        <v>5.7321157114984118E-5</v>
      </c>
      <c r="K11" s="3617">
        <f t="shared" ref="K11:K56" si="7">IFERROR(IF(SUM(E11)=0,"NA",Q11/E11),"NA")</f>
        <v>-2.4066974968436211E-3</v>
      </c>
      <c r="L11" s="3619" t="str">
        <f t="shared" ref="L11:L56" si="8">IFERROR(IF(SUM(F11)=0,"NA",R11/F11),"NA")</f>
        <v>NA</v>
      </c>
      <c r="M11" s="3618" t="str">
        <f t="shared" si="2"/>
        <v>IE</v>
      </c>
      <c r="N11" s="3617">
        <f t="shared" si="2"/>
        <v>-61.278387552719451</v>
      </c>
      <c r="O11" s="3618">
        <f t="shared" si="2"/>
        <v>-61.278387552719451</v>
      </c>
      <c r="P11" s="3617">
        <f t="shared" si="2"/>
        <v>0.76045033054266753</v>
      </c>
      <c r="Q11" s="3620">
        <f t="shared" si="2"/>
        <v>-31.748122533098773</v>
      </c>
      <c r="R11" s="3620" t="str">
        <f t="shared" si="2"/>
        <v>IE</v>
      </c>
      <c r="S11" s="3621">
        <f t="shared" si="2"/>
        <v>338.3088857693437</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799.63499347714037</v>
      </c>
      <c r="E14" s="3564">
        <f>IF(SUM(E15:E16)=0,"IE",SUM(E15:E16))</f>
        <v>799.63499347714037</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466.8449</v>
      </c>
      <c r="E15" s="3569">
        <v>466.8449</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12466.851044430858</v>
      </c>
      <c r="E17" s="3564">
        <f>IF(SUM(E18:E21)=0,"IE",SUM(E18:E21))</f>
        <v>12391.936682953476</v>
      </c>
      <c r="F17" s="3565">
        <f>IF(SUM(F18:F21)=0,"IE",SUM(F18:F21))</f>
        <v>74.914361477382826</v>
      </c>
      <c r="G17" s="3622" t="str">
        <f t="shared" si="3"/>
        <v>NA</v>
      </c>
      <c r="H17" s="3591">
        <f t="shared" si="4"/>
        <v>-4.9153059849939805E-3</v>
      </c>
      <c r="I17" s="3623">
        <f t="shared" si="5"/>
        <v>-4.9153059849939805E-3</v>
      </c>
      <c r="J17" s="3591">
        <f t="shared" si="6"/>
        <v>6.099778747917044E-5</v>
      </c>
      <c r="K17" s="3591">
        <f t="shared" si="7"/>
        <v>-2.5619984466812148E-3</v>
      </c>
      <c r="L17" s="3595" t="str">
        <f t="shared" si="8"/>
        <v>NA</v>
      </c>
      <c r="M17" s="3564" t="str">
        <f t="shared" ref="M17:S17" si="16">IF(SUM(M18:M21)=0,"IE",SUM(M18:M21))</f>
        <v>IE</v>
      </c>
      <c r="N17" s="3617">
        <f t="shared" si="16"/>
        <v>-61.278387552719451</v>
      </c>
      <c r="O17" s="3618">
        <f t="shared" si="16"/>
        <v>-61.278387552719451</v>
      </c>
      <c r="P17" s="3617">
        <f t="shared" si="16"/>
        <v>0.76045033054266753</v>
      </c>
      <c r="Q17" s="3620">
        <f t="shared" si="16"/>
        <v>-31.748122533098773</v>
      </c>
      <c r="R17" s="3620" t="str">
        <f t="shared" si="16"/>
        <v>IE</v>
      </c>
      <c r="S17" s="3634">
        <f t="shared" si="16"/>
        <v>338.3088857693437</v>
      </c>
      <c r="U17" s="2402"/>
    </row>
    <row r="18" spans="1:23" ht="18" customHeight="1" x14ac:dyDescent="0.2">
      <c r="A18" s="2502"/>
      <c r="B18" s="2682"/>
      <c r="C18" s="2503" t="s">
        <v>2231</v>
      </c>
      <c r="D18" s="3600">
        <f>IF(SUM(E18:F18)=0,E18,SUM(E18:F18))</f>
        <v>1716.6986404464246</v>
      </c>
      <c r="E18" s="3569">
        <v>1716.6986404464246</v>
      </c>
      <c r="F18" s="3635" t="s">
        <v>2153</v>
      </c>
      <c r="G18" s="3630" t="str">
        <f t="shared" si="3"/>
        <v>NA</v>
      </c>
      <c r="H18" s="3631">
        <f t="shared" si="4"/>
        <v>-2.311713438303499E-2</v>
      </c>
      <c r="I18" s="3632">
        <f t="shared" si="5"/>
        <v>-2.311713438303499E-2</v>
      </c>
      <c r="J18" s="3631">
        <f t="shared" si="6"/>
        <v>-4.6234268766069979E-3</v>
      </c>
      <c r="K18" s="3631">
        <f t="shared" si="7"/>
        <v>-1.8493707506427991E-2</v>
      </c>
      <c r="L18" s="3633" t="str">
        <f t="shared" si="8"/>
        <v>NA</v>
      </c>
      <c r="M18" s="3624" t="s">
        <v>2153</v>
      </c>
      <c r="N18" s="3625">
        <v>-39.685153166373468</v>
      </c>
      <c r="O18" s="3109">
        <f>IF(SUM(M18:N18)=0,M18,SUM(M18:N18))</f>
        <v>-39.685153166373468</v>
      </c>
      <c r="P18" s="3625">
        <v>-7.9370306332746932</v>
      </c>
      <c r="Q18" s="3626">
        <v>-31.748122533098773</v>
      </c>
      <c r="R18" s="3636" t="s">
        <v>2153</v>
      </c>
      <c r="S18" s="3570">
        <f>IF(SUM(O18:R18)=0,Q18,SUM(O18:R18)*-44/12)</f>
        <v>291.0244565534054</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-21.593234386345987</v>
      </c>
      <c r="O19" s="3109">
        <f t="shared" ref="O19:O22" si="18">IF(SUM(M19:N19)=0,M19,SUM(M19:N19))</f>
        <v>-21.593234386345987</v>
      </c>
      <c r="P19" s="3625">
        <v>8.6974809638173607</v>
      </c>
      <c r="Q19" s="3628" t="s">
        <v>2147</v>
      </c>
      <c r="R19" s="3627" t="s">
        <v>2147</v>
      </c>
      <c r="S19" s="3570">
        <f t="shared" ref="S19:S22" si="19">IF(SUM(O19:R19)=0,Q19,SUM(O19:R19)*-44/12)</f>
        <v>47.284429215938296</v>
      </c>
      <c r="T19" s="2502"/>
      <c r="U19" s="2684"/>
      <c r="V19" s="2502"/>
      <c r="W19" s="2502"/>
    </row>
    <row r="20" spans="1:23" ht="18" customHeight="1" x14ac:dyDescent="0.2">
      <c r="A20" s="2502"/>
      <c r="B20" s="2682"/>
      <c r="C20" s="2683" t="s">
        <v>2234</v>
      </c>
      <c r="D20" s="3600">
        <f t="shared" si="17"/>
        <v>10675.238042507051</v>
      </c>
      <c r="E20" s="3607">
        <v>10675.238042507051</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74.914361477382826</v>
      </c>
      <c r="E21" s="3564" t="str">
        <f t="shared" ref="E21:F21" si="20">E22</f>
        <v>IE</v>
      </c>
      <c r="F21" s="3565">
        <f t="shared" si="20"/>
        <v>74.914361477382826</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74.914361477382826</v>
      </c>
      <c r="E22" s="3569" t="s">
        <v>2153</v>
      </c>
      <c r="F22" s="3554">
        <v>74.914361477382826</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36.261000000000003</v>
      </c>
      <c r="E23" s="3591">
        <f t="shared" ref="E23:F23" si="22">IF(SUM(E24,E35,E46)=0,"IE",SUM(E24,E35,E46))</f>
        <v>36.261000000000003</v>
      </c>
      <c r="F23" s="3595" t="str">
        <f t="shared" si="22"/>
        <v>IE</v>
      </c>
      <c r="G23" s="3622" t="str">
        <f t="shared" si="3"/>
        <v>NA</v>
      </c>
      <c r="H23" s="3591">
        <f t="shared" si="4"/>
        <v>-0.37290753150768041</v>
      </c>
      <c r="I23" s="3623">
        <f t="shared" si="5"/>
        <v>-0.37290753150768041</v>
      </c>
      <c r="J23" s="3591" t="str">
        <f t="shared" si="6"/>
        <v>NA</v>
      </c>
      <c r="K23" s="3591" t="str">
        <f t="shared" si="7"/>
        <v>NA</v>
      </c>
      <c r="L23" s="3595" t="str">
        <f t="shared" si="8"/>
        <v>NA</v>
      </c>
      <c r="M23" s="3591" t="str">
        <f t="shared" ref="M23" si="23">IF(SUM(M24,M35,M46)=0,"IE",SUM(M24,M35,M46))</f>
        <v>IE</v>
      </c>
      <c r="N23" s="3591">
        <f t="shared" ref="N23" si="24">IF(SUM(N24,N35,N46)=0,"IE",SUM(N24,N35,N46))</f>
        <v>-13.522</v>
      </c>
      <c r="O23" s="3623">
        <f t="shared" ref="O23" si="25">IF(SUM(O24,O35,O46)=0,"IE",SUM(O24,O35,O46))</f>
        <v>-13.522</v>
      </c>
      <c r="P23" s="3591" t="str">
        <f>IF(SUM(P24,P35,P46)=0,"NO",SUM(P24,P35,P46))</f>
        <v>NO</v>
      </c>
      <c r="Q23" s="3590" t="str">
        <f>IF(SUM(Q24,Q35,Q46)=0,"NO",SUM(Q24,Q35,Q46))</f>
        <v>NO</v>
      </c>
      <c r="R23" s="3590" t="str">
        <f>IF(SUM(R24,R35,R46)=0,"NO",SUM(R24,R35,R46))</f>
        <v>NO</v>
      </c>
      <c r="S23" s="3594">
        <f t="shared" ref="S23" si="26">IF(SUM(S24,S35,S46)=0,"IE",SUM(S24,S35,S46))</f>
        <v>49.580666666666666</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36.261000000000003</v>
      </c>
      <c r="E35" s="3591">
        <f>IF(SUM(E36,E38,E40,E42,E44)=0,"IE",SUM(E36,E38,E40,E42,E44))</f>
        <v>36.261000000000003</v>
      </c>
      <c r="F35" s="3595" t="str">
        <f>IF(SUM(F36,F38,F40,F42,F44)=0,"IE",SUM(F36,F38,F40,F42,F44))</f>
        <v>IE</v>
      </c>
      <c r="G35" s="3622" t="str">
        <f t="shared" si="3"/>
        <v>NA</v>
      </c>
      <c r="H35" s="3591">
        <f t="shared" si="4"/>
        <v>-0.37290753150768041</v>
      </c>
      <c r="I35" s="3623">
        <f t="shared" si="5"/>
        <v>-0.37290753150768041</v>
      </c>
      <c r="J35" s="3591" t="str">
        <f t="shared" si="6"/>
        <v>NA</v>
      </c>
      <c r="K35" s="3591" t="str">
        <f t="shared" si="7"/>
        <v>NA</v>
      </c>
      <c r="L35" s="3595" t="str">
        <f t="shared" si="8"/>
        <v>NA</v>
      </c>
      <c r="M35" s="3591" t="str">
        <f t="shared" ref="M35:S35" si="48">IF(SUM(M36,M38,M40,M42,M44)=0,"IE",SUM(M36,M38,M40,M42,M44))</f>
        <v>IE</v>
      </c>
      <c r="N35" s="3591">
        <f t="shared" si="48"/>
        <v>-13.522</v>
      </c>
      <c r="O35" s="3623">
        <f t="shared" si="48"/>
        <v>-13.522</v>
      </c>
      <c r="P35" s="3591" t="str">
        <f>IF(SUM(P36,P38,P40,P42,P44)=0,"NO",SUM(P36,P38,P40,P42,P44))</f>
        <v>NO</v>
      </c>
      <c r="Q35" s="3590" t="str">
        <f>IF(SUM(Q36,Q38,Q40,Q42,Q44)=0,"NO",SUM(Q36,Q38,Q40,Q42,Q44))</f>
        <v>NO</v>
      </c>
      <c r="R35" s="3590" t="str">
        <f>IF(SUM(R36,R38,R40,R42,R44)=0,"NO",SUM(R36,R38,R40,R42,R44))</f>
        <v>NO</v>
      </c>
      <c r="S35" s="3594">
        <f t="shared" si="48"/>
        <v>49.580666666666666</v>
      </c>
      <c r="U35" s="503"/>
    </row>
    <row r="36" spans="2:21" ht="18" customHeight="1" x14ac:dyDescent="0.2">
      <c r="B36" s="505" t="s">
        <v>1087</v>
      </c>
      <c r="C36" s="486"/>
      <c r="D36" s="3600">
        <f>D37</f>
        <v>36.261000000000003</v>
      </c>
      <c r="E36" s="3564">
        <f t="shared" ref="E36:F36" si="49">E37</f>
        <v>36.261000000000003</v>
      </c>
      <c r="F36" s="3565" t="str">
        <f t="shared" si="49"/>
        <v>IE</v>
      </c>
      <c r="G36" s="3558" t="str">
        <f t="shared" si="3"/>
        <v>NA</v>
      </c>
      <c r="H36" s="3078">
        <f t="shared" si="4"/>
        <v>-0.37290753150768041</v>
      </c>
      <c r="I36" s="3078">
        <f t="shared" si="5"/>
        <v>-0.37290753150768041</v>
      </c>
      <c r="J36" s="3078" t="str">
        <f t="shared" si="6"/>
        <v>NA</v>
      </c>
      <c r="K36" s="3573" t="str">
        <f t="shared" si="7"/>
        <v>NA</v>
      </c>
      <c r="L36" s="3128" t="str">
        <f t="shared" si="8"/>
        <v>NA</v>
      </c>
      <c r="M36" s="3505" t="str">
        <f t="shared" ref="M36:S36" si="50">M37</f>
        <v>IE</v>
      </c>
      <c r="N36" s="3506">
        <f t="shared" si="50"/>
        <v>-13.522</v>
      </c>
      <c r="O36" s="3506">
        <f t="shared" si="50"/>
        <v>-13.522</v>
      </c>
      <c r="P36" s="3506" t="str">
        <f t="shared" si="50"/>
        <v>NA</v>
      </c>
      <c r="Q36" s="3601" t="str">
        <f t="shared" si="50"/>
        <v>NA</v>
      </c>
      <c r="R36" s="3601" t="str">
        <f t="shared" si="50"/>
        <v>NA</v>
      </c>
      <c r="S36" s="3287">
        <f t="shared" si="50"/>
        <v>49.580666666666666</v>
      </c>
      <c r="U36" s="2402"/>
    </row>
    <row r="37" spans="2:21" ht="18" customHeight="1" x14ac:dyDescent="0.2">
      <c r="B37" s="1479"/>
      <c r="C37" s="885" t="s">
        <v>278</v>
      </c>
      <c r="D37" s="3600">
        <f>IF(SUM(E37:F37)=0,E37,SUM(E37:F37))</f>
        <v>36.261000000000003</v>
      </c>
      <c r="E37" s="3569">
        <v>36.261000000000003</v>
      </c>
      <c r="F37" s="3554" t="s">
        <v>2153</v>
      </c>
      <c r="G37" s="3622" t="str">
        <f t="shared" si="3"/>
        <v>NA</v>
      </c>
      <c r="H37" s="3591">
        <f t="shared" si="4"/>
        <v>-0.37290753150768041</v>
      </c>
      <c r="I37" s="3623">
        <f t="shared" si="5"/>
        <v>-0.37290753150768041</v>
      </c>
      <c r="J37" s="3591" t="str">
        <f t="shared" si="6"/>
        <v>NA</v>
      </c>
      <c r="K37" s="3591" t="str">
        <f t="shared" si="7"/>
        <v>NA</v>
      </c>
      <c r="L37" s="3595" t="str">
        <f t="shared" si="8"/>
        <v>NA</v>
      </c>
      <c r="M37" s="3624" t="s">
        <v>2153</v>
      </c>
      <c r="N37" s="3625">
        <v>-13.522</v>
      </c>
      <c r="O37" s="3109">
        <f t="shared" ref="O37" si="51">IF(SUM(M37:N37)=0,M37,SUM(M37:N37))</f>
        <v>-13.522</v>
      </c>
      <c r="P37" s="3625" t="s">
        <v>2147</v>
      </c>
      <c r="Q37" s="3626" t="s">
        <v>2147</v>
      </c>
      <c r="R37" s="3626" t="s">
        <v>2147</v>
      </c>
      <c r="S37" s="3570">
        <f t="shared" ref="S37" si="52">IF(SUM(O37:R37)=0,Q37,SUM(O37:R37)*-44/12)</f>
        <v>49.580666666666666</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1322.7522768566273</v>
      </c>
      <c r="E10" s="3583">
        <f t="shared" ref="E10:F10" si="0">IF(SUM(E11,E13)=0,"IE",SUM(E11,E13))</f>
        <v>1250.5837030080002</v>
      </c>
      <c r="F10" s="3584">
        <f t="shared" si="0"/>
        <v>72.168573848627389</v>
      </c>
      <c r="G10" s="3582" t="str">
        <f>IFERROR(IF(SUM($D10)=0,"NA",M10/$D10),"NA")</f>
        <v>NA</v>
      </c>
      <c r="H10" s="3583">
        <f t="shared" ref="H10:J10" si="1">IFERROR(IF(SUM($D10)=0,"NA",N10/$D10),"NA")</f>
        <v>-1.0702881248468787</v>
      </c>
      <c r="I10" s="3583">
        <f t="shared" si="1"/>
        <v>-1.0702881248468787</v>
      </c>
      <c r="J10" s="3583">
        <f t="shared" si="1"/>
        <v>0.16138013852915287</v>
      </c>
      <c r="K10" s="3585">
        <f>IFERROR(IF(SUM(E10)=0,"NA",Q10/E10),"NA")</f>
        <v>-0.10541006769305342</v>
      </c>
      <c r="L10" s="3584">
        <f>IFERROR(IF(SUM(F10)=0,"NA",R10/F10),"NA")</f>
        <v>0.1193991553043722</v>
      </c>
      <c r="M10" s="3586" t="str">
        <f>IF(SUM(M11,M13)=0,"IE",SUM(M11,M13))</f>
        <v>IE</v>
      </c>
      <c r="N10" s="3583">
        <f t="shared" ref="N10:S10" si="2">IF(SUM(N11,N13)=0,"IE",SUM(N11,N13))</f>
        <v>-1415.7260540338191</v>
      </c>
      <c r="O10" s="3587">
        <f t="shared" si="2"/>
        <v>-1415.7260540338191</v>
      </c>
      <c r="P10" s="3583">
        <f t="shared" si="2"/>
        <v>213.46594567887487</v>
      </c>
      <c r="Q10" s="3585">
        <f t="shared" si="2"/>
        <v>-131.8241127899027</v>
      </c>
      <c r="R10" s="3585">
        <f t="shared" si="2"/>
        <v>8.6168667570473154</v>
      </c>
      <c r="S10" s="3588">
        <f t="shared" si="2"/>
        <v>4860.0469660885983</v>
      </c>
      <c r="U10" s="2261"/>
    </row>
    <row r="11" spans="2:21" ht="18" customHeight="1" x14ac:dyDescent="0.2">
      <c r="B11" s="493" t="s">
        <v>993</v>
      </c>
      <c r="C11" s="2256"/>
      <c r="D11" s="3589">
        <f>D12</f>
        <v>962.45370300800005</v>
      </c>
      <c r="E11" s="3078">
        <f t="shared" ref="E11:F11" si="3">E12</f>
        <v>962.45370300800005</v>
      </c>
      <c r="F11" s="3078" t="str">
        <f t="shared" si="3"/>
        <v>IE</v>
      </c>
      <c r="G11" s="3558" t="str">
        <f t="shared" ref="G11:G24" si="4">IFERROR(IF(SUM($D11)=0,"NA",M11/$D11),"NA")</f>
        <v>NA</v>
      </c>
      <c r="H11" s="3078">
        <f t="shared" ref="H11:H24" si="5">IFERROR(IF(SUM($D11)=0,"NA",N11/$D11),"NA")</f>
        <v>-2.4639013595843416E-3</v>
      </c>
      <c r="I11" s="3078">
        <f t="shared" ref="I11:I24" si="6">IFERROR(IF(SUM($D11)=0,"NA",O11/$D11),"NA")</f>
        <v>-2.4639013595843416E-3</v>
      </c>
      <c r="J11" s="3078">
        <f t="shared" ref="J11:J24" si="7">IFERROR(IF(SUM($D11)=0,"NA",P11/$D11),"NA")</f>
        <v>-4.9278027191686842E-4</v>
      </c>
      <c r="K11" s="3573">
        <f t="shared" ref="K11:K24" si="8">IFERROR(IF(SUM(E11)=0,"NA",Q11/E11),"NA")</f>
        <v>-1.9711210876674737E-3</v>
      </c>
      <c r="L11" s="3128" t="str">
        <f t="shared" ref="L11:L24" si="9">IFERROR(IF(SUM(F11)=0,"NA",R11/F11),"NA")</f>
        <v>NA</v>
      </c>
      <c r="M11" s="3590" t="str">
        <f t="shared" ref="M11:S11" si="10">M12</f>
        <v>IE</v>
      </c>
      <c r="N11" s="3591">
        <f t="shared" si="10"/>
        <v>-2.3713909873783954</v>
      </c>
      <c r="O11" s="3592">
        <f t="shared" si="10"/>
        <v>-2.3713909873783954</v>
      </c>
      <c r="P11" s="3591">
        <f t="shared" si="10"/>
        <v>-0.47427819747567923</v>
      </c>
      <c r="Q11" s="3593">
        <f t="shared" si="10"/>
        <v>-1.8971127899027169</v>
      </c>
      <c r="R11" s="3593" t="str">
        <f t="shared" si="10"/>
        <v>IE</v>
      </c>
      <c r="S11" s="3594">
        <f t="shared" si="10"/>
        <v>17.390200574108235</v>
      </c>
      <c r="U11" s="2397"/>
    </row>
    <row r="12" spans="2:21" ht="18" customHeight="1" x14ac:dyDescent="0.2">
      <c r="B12" s="501"/>
      <c r="C12" s="885" t="s">
        <v>278</v>
      </c>
      <c r="D12" s="3600">
        <f>IF(SUM(E12:F12)=0,E12,SUM(E12:F12))</f>
        <v>962.45370300800005</v>
      </c>
      <c r="E12" s="3569">
        <v>962.45370300800005</v>
      </c>
      <c r="F12" s="3554" t="s">
        <v>2153</v>
      </c>
      <c r="G12" s="3558" t="str">
        <f t="shared" si="4"/>
        <v>NA</v>
      </c>
      <c r="H12" s="3078">
        <f t="shared" si="5"/>
        <v>-2.4639013595843416E-3</v>
      </c>
      <c r="I12" s="3078">
        <f t="shared" si="6"/>
        <v>-2.4639013595843416E-3</v>
      </c>
      <c r="J12" s="3078">
        <f t="shared" si="7"/>
        <v>-4.9278027191686842E-4</v>
      </c>
      <c r="K12" s="3573">
        <f t="shared" si="8"/>
        <v>-1.9711210876674737E-3</v>
      </c>
      <c r="L12" s="3128" t="str">
        <f t="shared" si="9"/>
        <v>NA</v>
      </c>
      <c r="M12" s="2905" t="s">
        <v>2153</v>
      </c>
      <c r="N12" s="2905">
        <v>-2.3713909873783954</v>
      </c>
      <c r="O12" s="3109">
        <f>IF(SUM(M12:N12)=0,M12,SUM(M12:N12))</f>
        <v>-2.3713909873783954</v>
      </c>
      <c r="P12" s="2905">
        <v>-0.47427819747567923</v>
      </c>
      <c r="Q12" s="2906">
        <v>-1.8971127899027169</v>
      </c>
      <c r="R12" s="2906" t="s">
        <v>2153</v>
      </c>
      <c r="S12" s="3570">
        <f>IF(SUM(O12:R12)=0,Q12,SUM(O12:R12)*-44/12)</f>
        <v>17.390200574108235</v>
      </c>
      <c r="U12" s="2398"/>
    </row>
    <row r="13" spans="2:21" ht="18" customHeight="1" x14ac:dyDescent="0.2">
      <c r="B13" s="493" t="s">
        <v>994</v>
      </c>
      <c r="C13" s="504"/>
      <c r="D13" s="3589">
        <f>IF(SUM(D14,D17,D19,D21,D23)=0,"IE",SUM(D14,D17,D19,D21,D23))</f>
        <v>360.29857384862737</v>
      </c>
      <c r="E13" s="3591">
        <f t="shared" ref="E13:S13" si="11">IF(SUM(E14,E17,E19,E21,E23)=0,"IE",SUM(E14,E17,E19,E21,E23))</f>
        <v>288.13</v>
      </c>
      <c r="F13" s="3595">
        <f t="shared" si="11"/>
        <v>72.168573848627389</v>
      </c>
      <c r="G13" s="3558" t="str">
        <f t="shared" si="4"/>
        <v>NA</v>
      </c>
      <c r="H13" s="3078">
        <f t="shared" si="5"/>
        <v>-3.9227317720114954</v>
      </c>
      <c r="I13" s="3078">
        <f t="shared" si="6"/>
        <v>-3.9227317720114954</v>
      </c>
      <c r="J13" s="3078">
        <f t="shared" si="7"/>
        <v>0.59378593034962579</v>
      </c>
      <c r="K13" s="3573">
        <f t="shared" si="8"/>
        <v>-0.45093187103043764</v>
      </c>
      <c r="L13" s="3128">
        <f t="shared" si="9"/>
        <v>0.1193991553043722</v>
      </c>
      <c r="M13" s="3078" t="str">
        <f t="shared" si="11"/>
        <v>IE</v>
      </c>
      <c r="N13" s="3078">
        <f t="shared" si="11"/>
        <v>-1413.3546630464407</v>
      </c>
      <c r="O13" s="3078">
        <f t="shared" si="11"/>
        <v>-1413.3546630464407</v>
      </c>
      <c r="P13" s="3078">
        <f t="shared" si="11"/>
        <v>213.94022387635056</v>
      </c>
      <c r="Q13" s="3573">
        <f t="shared" si="11"/>
        <v>-129.92699999999999</v>
      </c>
      <c r="R13" s="3573">
        <f t="shared" si="11"/>
        <v>8.6168667570473154</v>
      </c>
      <c r="S13" s="3570">
        <f t="shared" si="11"/>
        <v>4842.65676551449</v>
      </c>
      <c r="U13" s="2019"/>
    </row>
    <row r="14" spans="2:21" ht="18" customHeight="1" x14ac:dyDescent="0.2">
      <c r="B14" s="495" t="s">
        <v>1101</v>
      </c>
      <c r="C14" s="504"/>
      <c r="D14" s="3599">
        <f>IF(SUM(D15:D16)=0,"IE",SUM(D15:D16))</f>
        <v>360.29857384862737</v>
      </c>
      <c r="E14" s="3564">
        <f t="shared" ref="E14:F14" si="12">IF(SUM(E15:E16)=0,"IE",SUM(E15:E16))</f>
        <v>288.13</v>
      </c>
      <c r="F14" s="3565">
        <f t="shared" si="12"/>
        <v>72.168573848627389</v>
      </c>
      <c r="G14" s="3558" t="str">
        <f t="shared" si="4"/>
        <v>NA</v>
      </c>
      <c r="H14" s="3078">
        <f t="shared" si="5"/>
        <v>-3.9227317720114954</v>
      </c>
      <c r="I14" s="3078">
        <f t="shared" si="6"/>
        <v>-3.9227317720114954</v>
      </c>
      <c r="J14" s="3078">
        <f t="shared" si="7"/>
        <v>0.59378593034962579</v>
      </c>
      <c r="K14" s="3573">
        <f t="shared" si="8"/>
        <v>-0.45093187103043764</v>
      </c>
      <c r="L14" s="3128">
        <f t="shared" si="9"/>
        <v>0.1193991553043722</v>
      </c>
      <c r="M14" s="3506" t="str">
        <f>IF(SUM(M15:M16)=0,"IE",SUM(M15:M16))</f>
        <v>IE</v>
      </c>
      <c r="N14" s="3506">
        <f t="shared" ref="N14:S14" si="13">IF(SUM(N15:N16)=0,"IE",SUM(N15:N16))</f>
        <v>-1413.3546630464407</v>
      </c>
      <c r="O14" s="3506">
        <f t="shared" si="13"/>
        <v>-1413.3546630464407</v>
      </c>
      <c r="P14" s="3506">
        <f t="shared" si="13"/>
        <v>213.94022387635056</v>
      </c>
      <c r="Q14" s="3601">
        <f t="shared" si="13"/>
        <v>-129.92699999999999</v>
      </c>
      <c r="R14" s="3601">
        <f t="shared" si="13"/>
        <v>8.6168667570473154</v>
      </c>
      <c r="S14" s="3287">
        <f t="shared" si="13"/>
        <v>4842.65676551449</v>
      </c>
      <c r="U14" s="2019"/>
    </row>
    <row r="15" spans="2:21" ht="18" customHeight="1" x14ac:dyDescent="0.2">
      <c r="B15" s="496"/>
      <c r="C15" s="508" t="s">
        <v>2235</v>
      </c>
      <c r="D15" s="3600">
        <f>IF(SUM(E15:F15)=0,E15,SUM(E15:F15))</f>
        <v>72.168573848627389</v>
      </c>
      <c r="E15" s="3569" t="s">
        <v>2146</v>
      </c>
      <c r="F15" s="3554">
        <v>72.168573848627389</v>
      </c>
      <c r="G15" s="3558" t="str">
        <f t="shared" si="4"/>
        <v>NA</v>
      </c>
      <c r="H15" s="3078">
        <f t="shared" si="5"/>
        <v>-12.432415041599238</v>
      </c>
      <c r="I15" s="3078">
        <f t="shared" si="6"/>
        <v>-12.432415041599238</v>
      </c>
      <c r="J15" s="3078">
        <f t="shared" si="7"/>
        <v>3.5972475280012506</v>
      </c>
      <c r="K15" s="3573" t="str">
        <f t="shared" si="8"/>
        <v>NA</v>
      </c>
      <c r="L15" s="3128">
        <f t="shared" si="9"/>
        <v>0.1193991553043722</v>
      </c>
      <c r="M15" s="2905" t="s">
        <v>2153</v>
      </c>
      <c r="N15" s="2905">
        <v>-897.22966304644058</v>
      </c>
      <c r="O15" s="3109">
        <f>IF(SUM(M15:N15)=0,M15,SUM(M15:N15))</f>
        <v>-897.22966304644058</v>
      </c>
      <c r="P15" s="2905">
        <v>259.60822387635056</v>
      </c>
      <c r="Q15" s="2906" t="s">
        <v>2146</v>
      </c>
      <c r="R15" s="2906">
        <v>8.6168667570473154</v>
      </c>
      <c r="S15" s="3570">
        <f>IF(SUM(O15:R15)=0,Q15,SUM(O15:R15)*-44/12)</f>
        <v>2306.3500988478231</v>
      </c>
      <c r="U15" s="2019"/>
    </row>
    <row r="16" spans="2:21" ht="18" customHeight="1" x14ac:dyDescent="0.2">
      <c r="B16" s="494"/>
      <c r="C16" s="508" t="s">
        <v>2236</v>
      </c>
      <c r="D16" s="3600">
        <f>IF(SUM(E16:F16)=0,E16,SUM(E16:F16))</f>
        <v>288.13</v>
      </c>
      <c r="E16" s="3569">
        <v>288.13</v>
      </c>
      <c r="F16" s="3554" t="s">
        <v>2153</v>
      </c>
      <c r="G16" s="3558" t="str">
        <f t="shared" si="4"/>
        <v>NA</v>
      </c>
      <c r="H16" s="3078">
        <f t="shared" si="5"/>
        <v>-1.7912921250824281</v>
      </c>
      <c r="I16" s="3078">
        <f t="shared" si="6"/>
        <v>-1.7912921250824281</v>
      </c>
      <c r="J16" s="3078">
        <f t="shared" si="7"/>
        <v>-0.15849790025335783</v>
      </c>
      <c r="K16" s="3573">
        <f t="shared" si="8"/>
        <v>-0.45093187103043764</v>
      </c>
      <c r="L16" s="3128" t="str">
        <f t="shared" si="9"/>
        <v>NA</v>
      </c>
      <c r="M16" s="2905" t="s">
        <v>2153</v>
      </c>
      <c r="N16" s="2905">
        <v>-516.125</v>
      </c>
      <c r="O16" s="3109">
        <f>IF(SUM(M16:N16)=0,M16,SUM(M16:N16))</f>
        <v>-516.125</v>
      </c>
      <c r="P16" s="2905">
        <v>-45.667999999999992</v>
      </c>
      <c r="Q16" s="2906">
        <v>-129.92699999999999</v>
      </c>
      <c r="R16" s="2906" t="s">
        <v>2153</v>
      </c>
      <c r="S16" s="3570">
        <f>IF(SUM(O16:R16)=0,Q16,SUM(O16:R16)*-44/12)</f>
        <v>2536.3066666666668</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81.458829567173851</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81.458829567173851</v>
      </c>
    </row>
    <row r="270" spans="2:10" ht="18" customHeight="1" x14ac:dyDescent="0.2">
      <c r="B270" s="2827" t="s">
        <v>1187</v>
      </c>
      <c r="C270" s="2828"/>
      <c r="D270" s="2808"/>
      <c r="E270" s="2809"/>
      <c r="F270" s="2810"/>
      <c r="G270" s="2811"/>
      <c r="H270" s="2819" t="s">
        <v>2154</v>
      </c>
      <c r="I270" s="2815" t="s">
        <v>2154</v>
      </c>
      <c r="J270" s="3741">
        <f>J277</f>
        <v>68.043337296166911</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651.42968546247471</v>
      </c>
      <c r="E277" s="2755" t="s">
        <v>2147</v>
      </c>
      <c r="F277" s="2753" t="s">
        <v>2147</v>
      </c>
      <c r="G277" s="3735">
        <f>IF(SUM(D277)=0,"NA",J277*1000/D277)</f>
        <v>104.45231283536052</v>
      </c>
      <c r="H277" s="2778" t="str">
        <f t="shared" ref="H277:J277" si="1">H302</f>
        <v>NE</v>
      </c>
      <c r="I277" s="2777" t="str">
        <f t="shared" si="1"/>
        <v>NE</v>
      </c>
      <c r="J277" s="3734">
        <f t="shared" si="1"/>
        <v>68.043337296166911</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362.23594433614977</v>
      </c>
      <c r="E281" s="2755" t="str">
        <f t="shared" si="2"/>
        <v>NA</v>
      </c>
      <c r="F281" s="2753" t="str">
        <f t="shared" si="2"/>
        <v>NA</v>
      </c>
      <c r="G281" s="3735">
        <f t="shared" si="2"/>
        <v>121.95484741390779</v>
      </c>
      <c r="H281" s="2780" t="str">
        <f t="shared" ref="H281" si="3">H306</f>
        <v>NA</v>
      </c>
      <c r="I281" s="2758" t="str">
        <f t="shared" ref="I281:J281" si="4">I306</f>
        <v>NA</v>
      </c>
      <c r="J281" s="3744">
        <f t="shared" si="4"/>
        <v>44.176429319347939</v>
      </c>
    </row>
    <row r="282" spans="2:10" ht="18" customHeight="1" outlineLevel="1" x14ac:dyDescent="0.2">
      <c r="B282" s="2847" t="str">
        <f>B307</f>
        <v>Other Constructed Water Bodies</v>
      </c>
      <c r="C282" s="2835" t="str">
        <f t="shared" si="2"/>
        <v>Other Constructed Water Bodies</v>
      </c>
      <c r="D282" s="3729">
        <f t="shared" si="2"/>
        <v>289.19374112632499</v>
      </c>
      <c r="E282" s="2755" t="str">
        <f t="shared" si="2"/>
        <v>NA</v>
      </c>
      <c r="F282" s="2753" t="str">
        <f t="shared" si="2"/>
        <v>NA</v>
      </c>
      <c r="G282" s="3735">
        <f t="shared" si="2"/>
        <v>82.529130415701076</v>
      </c>
      <c r="H282" s="2845" t="str">
        <f t="shared" ref="H282" si="5">H307</f>
        <v>NA</v>
      </c>
      <c r="I282" s="2846" t="str">
        <f t="shared" ref="I282:J282" si="6">I307</f>
        <v>NA</v>
      </c>
      <c r="J282" s="3744">
        <f t="shared" si="6"/>
        <v>23.866907976818972</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68.043337296166911</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651.42968546247471</v>
      </c>
      <c r="E302" s="2755" t="s">
        <v>2147</v>
      </c>
      <c r="F302" s="2753" t="s">
        <v>2147</v>
      </c>
      <c r="G302" s="3735">
        <f>IF(SUM(D302)=0,"NA",J302*1000/D302)</f>
        <v>104.45231283536052</v>
      </c>
      <c r="H302" s="2778" t="s">
        <v>2154</v>
      </c>
      <c r="I302" s="2777" t="s">
        <v>2154</v>
      </c>
      <c r="J302" s="3734">
        <f t="shared" ref="J302" si="7">IF(SUM(J306:J307)=0,"NO",SUM(J306:J307))</f>
        <v>68.043337296166911</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362.23594433614977</v>
      </c>
      <c r="E306" s="2755" t="s">
        <v>2147</v>
      </c>
      <c r="F306" s="2753" t="s">
        <v>2147</v>
      </c>
      <c r="G306" s="3735">
        <f>IF(SUM(D306)=0,"NA",J306*1000/D306)</f>
        <v>121.95484741390779</v>
      </c>
      <c r="H306" s="2780" t="s">
        <v>2147</v>
      </c>
      <c r="I306" s="2758" t="s">
        <v>2147</v>
      </c>
      <c r="J306" s="3744">
        <v>44.176429319347939</v>
      </c>
    </row>
    <row r="307" spans="2:10" ht="18" customHeight="1" outlineLevel="2" x14ac:dyDescent="0.2">
      <c r="B307" s="2847" t="s">
        <v>2245</v>
      </c>
      <c r="C307" s="2835" t="s">
        <v>2245</v>
      </c>
      <c r="D307" s="3732">
        <v>289.19374112632499</v>
      </c>
      <c r="E307" s="2755" t="s">
        <v>2147</v>
      </c>
      <c r="F307" s="2753" t="s">
        <v>2147</v>
      </c>
      <c r="G307" s="3735">
        <f>IF(SUM(D307)=0,"NA",J307*1000/D307)</f>
        <v>82.529130415701076</v>
      </c>
      <c r="H307" s="2780" t="s">
        <v>2147</v>
      </c>
      <c r="I307" s="2758" t="s">
        <v>2147</v>
      </c>
      <c r="J307" s="3744">
        <v>23.866907976818972</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13.415492271006942</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68.826511805555555</v>
      </c>
      <c r="E327" s="2776" t="str">
        <f t="shared" ref="E327:J327" si="8">E331</f>
        <v>NA</v>
      </c>
      <c r="F327" s="2777" t="str">
        <f t="shared" si="8"/>
        <v>NA</v>
      </c>
      <c r="G327" s="3737">
        <f t="shared" si="8"/>
        <v>194.91750953335495</v>
      </c>
      <c r="H327" s="2778" t="str">
        <f t="shared" si="8"/>
        <v>IE</v>
      </c>
      <c r="I327" s="2777" t="str">
        <f t="shared" si="8"/>
        <v>NA</v>
      </c>
      <c r="J327" s="3734">
        <f t="shared" si="8"/>
        <v>13.415492271006942</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68.826511805555555</v>
      </c>
      <c r="E331" s="2755" t="str">
        <f t="shared" si="9"/>
        <v>NA</v>
      </c>
      <c r="F331" s="2753" t="str">
        <f t="shared" si="9"/>
        <v>NA</v>
      </c>
      <c r="G331" s="3735">
        <f t="shared" si="9"/>
        <v>194.91750953335495</v>
      </c>
      <c r="H331" s="2765" t="str">
        <f t="shared" si="9"/>
        <v>IE</v>
      </c>
      <c r="I331" s="2758" t="str">
        <f t="shared" si="9"/>
        <v>NA</v>
      </c>
      <c r="J331" s="3744">
        <f t="shared" si="9"/>
        <v>13.415492271006942</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13.415492271006942</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68.826511805555555</v>
      </c>
      <c r="E411" s="2776" t="str">
        <f t="shared" ref="E411:J411" si="10">E415</f>
        <v>NA</v>
      </c>
      <c r="F411" s="2777" t="str">
        <f t="shared" si="10"/>
        <v>NA</v>
      </c>
      <c r="G411" s="3737">
        <f t="shared" si="10"/>
        <v>194.91750953335495</v>
      </c>
      <c r="H411" s="2778" t="str">
        <f t="shared" si="10"/>
        <v>IE</v>
      </c>
      <c r="I411" s="2777" t="str">
        <f t="shared" si="10"/>
        <v>NA</v>
      </c>
      <c r="J411" s="3734">
        <f t="shared" si="10"/>
        <v>13.415492271006942</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68.826511805555555</v>
      </c>
      <c r="E415" s="2755" t="str">
        <f>E427</f>
        <v>NA</v>
      </c>
      <c r="F415" s="2753" t="str">
        <f>F427</f>
        <v>NA</v>
      </c>
      <c r="G415" s="3735">
        <f t="shared" ref="G415:J415" si="11">G427</f>
        <v>194.91750953335495</v>
      </c>
      <c r="H415" s="2780" t="str">
        <f t="shared" si="11"/>
        <v>IE</v>
      </c>
      <c r="I415" s="2758" t="str">
        <f t="shared" si="11"/>
        <v>NA</v>
      </c>
      <c r="J415" s="3744">
        <f t="shared" si="11"/>
        <v>13.415492271006942</v>
      </c>
    </row>
    <row r="416" spans="2:10" ht="18" customHeight="1" outlineLevel="2" x14ac:dyDescent="0.2">
      <c r="B416" s="2842" t="s">
        <v>1199</v>
      </c>
      <c r="C416" s="2828"/>
      <c r="D416" s="3731"/>
      <c r="E416" s="2809"/>
      <c r="F416" s="2810"/>
      <c r="G416" s="3738"/>
      <c r="H416" s="2819" t="s">
        <v>2154</v>
      </c>
      <c r="I416" s="2815" t="s">
        <v>2154</v>
      </c>
      <c r="J416" s="3741">
        <f>J423</f>
        <v>13.415492271006942</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68.826511805555555</v>
      </c>
      <c r="E423" s="2776" t="str">
        <f t="shared" ref="E423:J423" si="12">E427</f>
        <v>NA</v>
      </c>
      <c r="F423" s="2777" t="str">
        <f t="shared" si="12"/>
        <v>NA</v>
      </c>
      <c r="G423" s="3737">
        <f t="shared" si="12"/>
        <v>194.91750953335495</v>
      </c>
      <c r="H423" s="2778" t="str">
        <f t="shared" si="12"/>
        <v>IE</v>
      </c>
      <c r="I423" s="2777" t="str">
        <f t="shared" si="12"/>
        <v>NA</v>
      </c>
      <c r="J423" s="3734">
        <f t="shared" si="12"/>
        <v>13.415492271006942</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68.826511805555555</v>
      </c>
      <c r="E427" s="2755" t="s">
        <v>2147</v>
      </c>
      <c r="F427" s="2753" t="s">
        <v>2147</v>
      </c>
      <c r="G427" s="3735">
        <f>IF(SUM(D427)=0,"NA",J427*1000/D427)</f>
        <v>194.91750953335495</v>
      </c>
      <c r="H427" s="2780" t="s">
        <v>2153</v>
      </c>
      <c r="I427" s="2758" t="s">
        <v>2147</v>
      </c>
      <c r="J427" s="3744">
        <v>13.415492271006942</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657032.09903050843</v>
      </c>
      <c r="D10" s="4332">
        <f>IF(SUM(D11,D20,D28,D37,D46,D55)=0,"NO",SUM(D11,D20,D28,D37,D46,D55))</f>
        <v>48497.773058233666</v>
      </c>
      <c r="E10" s="4333">
        <f t="shared" ref="E10:E12" si="0">IF(SUM(C10)=0,"NA",G10/C10*1000/(44/28))</f>
        <v>1.0869523510410714E-3</v>
      </c>
      <c r="F10" s="4332">
        <f t="shared" ref="F10:F11" si="1">IF(SUM(D10)=0,"NA",H10/D10*1000/(44/28))</f>
        <v>7.4999999999999997E-3</v>
      </c>
      <c r="G10" s="4331">
        <f>IF(SUM(G11,G20,G28,G37,G46,G55)=0,"NO",SUM(G11,G20,G28,G37,G46,G55))</f>
        <v>1.1222554903224675</v>
      </c>
      <c r="H10" s="4334">
        <f>IF(SUM(H11,H20,H28,H37,H46,H55)=0,"NO",SUM(H11,H20,H28,H37,H46,H55))</f>
        <v>0.57158089675775392</v>
      </c>
      <c r="I10" s="4335">
        <f t="shared" ref="I10:I11" si="2">IF(SUM(G10:H10)=0,"NO",SUM(G10:H10))</f>
        <v>1.6938363870802213</v>
      </c>
    </row>
    <row r="11" spans="2:10" ht="18" customHeight="1" x14ac:dyDescent="0.2">
      <c r="B11" s="2848" t="s">
        <v>1901</v>
      </c>
      <c r="C11" s="4336">
        <f>IF(SUM(C12:C13)=0,"NO",SUM(C12:C13))</f>
        <v>132802.1301862227</v>
      </c>
      <c r="D11" s="4337">
        <f>IF(SUM(D12:D13)=0,"NO",SUM(D12:D13))</f>
        <v>21627.109435241844</v>
      </c>
      <c r="E11" s="4336">
        <f t="shared" si="0"/>
        <v>2.3121441061409224E-3</v>
      </c>
      <c r="F11" s="4337">
        <f t="shared" si="1"/>
        <v>7.4999999999999997E-3</v>
      </c>
      <c r="G11" s="4336">
        <f>IF(SUM(G12:G13)=0,"NO",SUM(G12:G13))</f>
        <v>0.48251918407476813</v>
      </c>
      <c r="H11" s="4338">
        <f>IF(SUM(H12:H13)=0,"NO",SUM(H12:H13))</f>
        <v>0.25489093262963602</v>
      </c>
      <c r="I11" s="4337">
        <f t="shared" si="2"/>
        <v>0.73741011670440415</v>
      </c>
    </row>
    <row r="12" spans="2:10" ht="18" customHeight="1" x14ac:dyDescent="0.2">
      <c r="B12" s="914" t="s">
        <v>1228</v>
      </c>
      <c r="C12" s="4339">
        <f>Table4.A!E11</f>
        <v>125538.33868829301</v>
      </c>
      <c r="D12" s="4340">
        <f>H12/F12*1000/(44/28)</f>
        <v>7281.1183464948226</v>
      </c>
      <c r="E12" s="4341">
        <f t="shared" si="0"/>
        <v>5.3101993890973715E-4</v>
      </c>
      <c r="F12" s="4342">
        <v>7.4999999999999997E-3</v>
      </c>
      <c r="G12" s="4339">
        <v>0.10475671005027995</v>
      </c>
      <c r="H12" s="4343">
        <v>8.5813180512260404E-2</v>
      </c>
      <c r="I12" s="4344">
        <f>IF(SUM(G12:H12)=0,"NO",SUM(G12:H12))</f>
        <v>0.19056989056254037</v>
      </c>
    </row>
    <row r="13" spans="2:10" ht="18" customHeight="1" x14ac:dyDescent="0.2">
      <c r="B13" s="914" t="s">
        <v>1902</v>
      </c>
      <c r="C13" s="4345">
        <f>IF(SUM(C15:C19)=0,"NO",SUM(C15:C19))</f>
        <v>7263.7914979296893</v>
      </c>
      <c r="D13" s="4344">
        <f>IF(SUM(D15:D19)=0,"NO",SUM(D15:D19))</f>
        <v>14345.99108874702</v>
      </c>
      <c r="E13" s="4345">
        <f>IF(SUM(C13)=0,"NA",G13/C13*1000/(44/28))</f>
        <v>3.3094879130336229E-2</v>
      </c>
      <c r="F13" s="4344">
        <f>IF(SUM(D13)=0,"NA",H13/D13*1000/(44/28))</f>
        <v>7.5000000000000006E-3</v>
      </c>
      <c r="G13" s="4345">
        <f>IF(SUM(G15:G19)=0,"NO",SUM(G15:G19))</f>
        <v>0.37776247402448815</v>
      </c>
      <c r="H13" s="4346">
        <f>IF(SUM(H15:H19)=0,"NO",SUM(H15:H19))</f>
        <v>0.16907775211737561</v>
      </c>
      <c r="I13" s="4344">
        <f>IF(SUM(G13:H13)=0,"NO",SUM(G13:H13))</f>
        <v>0.54684022614186378</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64.260000000000005</v>
      </c>
      <c r="D15" s="4340">
        <f>H15/F15*1000/(44/28)</f>
        <v>115.81637334027668</v>
      </c>
      <c r="E15" s="4345">
        <f>IF(SUM(C15)=0,"NA",G15/C15*1000/(44/28))</f>
        <v>4.2610748002904861E-2</v>
      </c>
      <c r="F15" s="4342">
        <v>7.4999999999999997E-3</v>
      </c>
      <c r="G15" s="4350">
        <v>4.302833333333333E-3</v>
      </c>
      <c r="H15" s="4351">
        <v>1.364978685796118E-3</v>
      </c>
      <c r="I15" s="4344">
        <f>IF(SUM(G15:H15)=0,"NO",SUM(G15:H15))</f>
        <v>5.667812019129451E-3</v>
      </c>
    </row>
    <row r="16" spans="2:10" ht="18" customHeight="1" x14ac:dyDescent="0.2">
      <c r="B16" s="528" t="s">
        <v>1230</v>
      </c>
      <c r="C16" s="4350">
        <f>Table4.A!E19</f>
        <v>7154.3644979296887</v>
      </c>
      <c r="D16" s="4340">
        <f>H16/F16*1000/(44/28)</f>
        <v>14045.172704986457</v>
      </c>
      <c r="E16" s="4345">
        <f t="shared" ref="E16:E21" si="3">IF(SUM(C16)=0,"NA",G16/C16*1000/(44/28))</f>
        <v>3.2649748516383553E-2</v>
      </c>
      <c r="F16" s="4342">
        <v>7.4999999999999997E-3</v>
      </c>
      <c r="G16" s="4350">
        <v>0.36706717402448819</v>
      </c>
      <c r="H16" s="4351">
        <v>0.16553239259448324</v>
      </c>
      <c r="I16" s="4344">
        <f t="shared" ref="I16:I21" si="4">IF(SUM(G16:H16)=0,"NO",SUM(G16:H16))</f>
        <v>0.53259956661897145</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45.167000000000002</v>
      </c>
      <c r="D18" s="4340">
        <f>H18/F18*1000/(44/28)</f>
        <v>185.00201042028615</v>
      </c>
      <c r="E18" s="4345">
        <f t="shared" si="3"/>
        <v>9.0064279968413527E-2</v>
      </c>
      <c r="F18" s="4342">
        <v>7.4999999999999997E-3</v>
      </c>
      <c r="G18" s="4350">
        <v>6.3924666666666675E-3</v>
      </c>
      <c r="H18" s="4351">
        <v>2.1803808370962291E-3</v>
      </c>
      <c r="I18" s="4344">
        <f t="shared" si="4"/>
        <v>8.5728475037628975E-3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2187.8780000000002</v>
      </c>
      <c r="D20" s="4360">
        <f>D21</f>
        <v>2469.3587142213801</v>
      </c>
      <c r="E20" s="4359">
        <f t="shared" si="3"/>
        <v>2.1914079913657583E-2</v>
      </c>
      <c r="F20" s="4360">
        <f t="shared" si="5"/>
        <v>7.4999999999999997E-3</v>
      </c>
      <c r="G20" s="4359">
        <f>G21</f>
        <v>7.5342666666666669E-2</v>
      </c>
      <c r="H20" s="4361">
        <f>H21</f>
        <v>2.9103156274751976E-2</v>
      </c>
      <c r="I20" s="4360">
        <f t="shared" si="4"/>
        <v>0.10444582294141865</v>
      </c>
    </row>
    <row r="21" spans="2:9" ht="18" customHeight="1" x14ac:dyDescent="0.2">
      <c r="B21" s="914" t="s">
        <v>1904</v>
      </c>
      <c r="C21" s="4345">
        <f>IF(SUM(C23:C27)=0,"NO",SUM(C23:C27))</f>
        <v>2187.8780000000002</v>
      </c>
      <c r="D21" s="4344">
        <f>IF(SUM(D23:D27)=0,"NO",SUM(D23:D27))</f>
        <v>2469.3587142213801</v>
      </c>
      <c r="E21" s="4345">
        <f t="shared" si="3"/>
        <v>2.1914079913657583E-2</v>
      </c>
      <c r="F21" s="4344">
        <f t="shared" si="5"/>
        <v>7.4999999999999997E-3</v>
      </c>
      <c r="G21" s="4345">
        <f>IF(SUM(G23:G27)=0,"NO",SUM(G23:G27))</f>
        <v>7.5342666666666669E-2</v>
      </c>
      <c r="H21" s="4346">
        <f>IF(SUM(H23:H27)=0,"NO",SUM(H23:H27))</f>
        <v>2.9103156274751976E-2</v>
      </c>
      <c r="I21" s="4344">
        <f t="shared" si="4"/>
        <v>0.10444582294141865</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2187.8780000000002</v>
      </c>
      <c r="D23" s="4340">
        <f>H23/F23*1000/(44/28)</f>
        <v>2469.3587142213801</v>
      </c>
      <c r="E23" s="4345">
        <f>IF(SUM(C23)=0,"NA",G23/C23*1000/(44/28))</f>
        <v>2.1914079913657583E-2</v>
      </c>
      <c r="F23" s="4342">
        <v>7.4999999999999997E-3</v>
      </c>
      <c r="G23" s="4350">
        <v>7.5342666666666669E-2</v>
      </c>
      <c r="H23" s="4351">
        <v>2.9103156274751976E-2</v>
      </c>
      <c r="I23" s="4344">
        <f>IF(SUM(G23:H23)=0,"NO",SUM(G23:H23))</f>
        <v>0.10444582294141865</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520791.50714127772</v>
      </c>
      <c r="D28" s="4337">
        <f>IF(SUM(D29:D30)=0,"NO",SUM(D29:D30))</f>
        <v>23675.720397818535</v>
      </c>
      <c r="E28" s="4336">
        <f t="shared" si="6"/>
        <v>6.5978876638982868E-4</v>
      </c>
      <c r="F28" s="4337">
        <f t="shared" si="7"/>
        <v>7.4999999999999997E-3</v>
      </c>
      <c r="G28" s="4336">
        <f>IF(SUM(G29:G30)=0,"NO",SUM(G29:G30))</f>
        <v>0.53996232092478236</v>
      </c>
      <c r="H28" s="4338">
        <f>IF(SUM(H29:H30)=0,"NO",SUM(H29:H30))</f>
        <v>0.27903527611714701</v>
      </c>
      <c r="I28" s="4360">
        <f t="shared" si="8"/>
        <v>0.81899759704192943</v>
      </c>
    </row>
    <row r="29" spans="2:9" ht="18" customHeight="1" x14ac:dyDescent="0.2">
      <c r="B29" s="914" t="s">
        <v>1239</v>
      </c>
      <c r="C29" s="4339">
        <f>Table4.C!E11</f>
        <v>509810.227659564</v>
      </c>
      <c r="D29" s="4340">
        <f>H29/F29*1000/(44/28)</f>
        <v>15059.51491815866</v>
      </c>
      <c r="E29" s="4341">
        <f t="shared" si="6"/>
        <v>2.3150388697659285E-4</v>
      </c>
      <c r="F29" s="4342">
        <v>7.4999999999999997E-3</v>
      </c>
      <c r="G29" s="4339">
        <v>0.18546479179424549</v>
      </c>
      <c r="H29" s="4343">
        <v>0.17748714010686992</v>
      </c>
      <c r="I29" s="4344">
        <f t="shared" si="8"/>
        <v>0.36295193190111541</v>
      </c>
    </row>
    <row r="30" spans="2:9" ht="18" customHeight="1" x14ac:dyDescent="0.2">
      <c r="B30" s="914" t="s">
        <v>1906</v>
      </c>
      <c r="C30" s="4345">
        <f>IF(SUM(C32:C36)=0,"NO",SUM(C32:C36))</f>
        <v>10981.279481713695</v>
      </c>
      <c r="D30" s="4344">
        <f>IF(SUM(D32:D36)=0,"NO",SUM(D32:D36))</f>
        <v>8616.2054796598768</v>
      </c>
      <c r="E30" s="4345">
        <f>IF(SUM(C30)=0,"NA",G30/C30*1000/(44/28))</f>
        <v>2.0543083080171998E-2</v>
      </c>
      <c r="F30" s="4344">
        <f>IF(SUM(D30)=0,"NA",H30/D30*1000/(44/28))</f>
        <v>7.4999999999999997E-3</v>
      </c>
      <c r="G30" s="4345">
        <f>IF(SUM(G32:G36)=0,"NO",SUM(G32:G36))</f>
        <v>0.35449752913053684</v>
      </c>
      <c r="H30" s="4346">
        <f>IF(SUM(H32:H36)=0,"NO",SUM(H32:H36))</f>
        <v>0.10154813601027711</v>
      </c>
      <c r="I30" s="4344">
        <f t="shared" si="8"/>
        <v>0.45604566514081396</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10981.279481713695</v>
      </c>
      <c r="D32" s="4340">
        <f>H32/F32*1000/(44/28)</f>
        <v>8616.2054796598768</v>
      </c>
      <c r="E32" s="4345">
        <f>IF(SUM(C32)=0,"NA",G32/C32*1000/(44/28))</f>
        <v>2.0543083080171998E-2</v>
      </c>
      <c r="F32" s="4342">
        <v>7.4999999999999997E-3</v>
      </c>
      <c r="G32" s="4350">
        <v>0.35449752913053684</v>
      </c>
      <c r="H32" s="4351">
        <v>0.10154813601027711</v>
      </c>
      <c r="I32" s="4344">
        <f t="shared" si="8"/>
        <v>0.45604566514081396</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1250.5837030080002</v>
      </c>
      <c r="D46" s="4337">
        <f>IF(SUM(D47:D48)=0,"NO",SUM(D47:D48))</f>
        <v>725.58451095190708</v>
      </c>
      <c r="E46" s="4336">
        <f t="shared" si="11"/>
        <v>1.2431956968457947E-2</v>
      </c>
      <c r="F46" s="4337">
        <f t="shared" si="12"/>
        <v>7.4999999999999997E-3</v>
      </c>
      <c r="G46" s="4336">
        <f>IF(SUM(G47:G48)=0,"NO",SUM(G47:G48))</f>
        <v>2.4431318656250395E-2</v>
      </c>
      <c r="H46" s="4338">
        <f>IF(SUM(H47:H48)=0,"NO",SUM(H47:H48))</f>
        <v>8.5515317362189047E-3</v>
      </c>
      <c r="I46" s="4337">
        <f t="shared" si="8"/>
        <v>3.2982850392469301E-2</v>
      </c>
    </row>
    <row r="47" spans="2:9" ht="18" customHeight="1" x14ac:dyDescent="0.2">
      <c r="B47" s="914" t="s">
        <v>1251</v>
      </c>
      <c r="C47" s="4339">
        <f>Table4.E!E11</f>
        <v>962.45370300800005</v>
      </c>
      <c r="D47" s="4340">
        <f>H47/F47*1000/(44/28)</f>
        <v>26.89432378298984</v>
      </c>
      <c r="E47" s="4341">
        <f t="shared" si="11"/>
        <v>4.0423012559910598E-4</v>
      </c>
      <c r="F47" s="4342">
        <v>7.4999999999999997E-3</v>
      </c>
      <c r="G47" s="4339">
        <v>6.1136865625039056E-4</v>
      </c>
      <c r="H47" s="4343">
        <v>3.1696881601380887E-4</v>
      </c>
      <c r="I47" s="4344">
        <f t="shared" si="8"/>
        <v>9.2833747226419943E-4</v>
      </c>
    </row>
    <row r="48" spans="2:9" ht="18" customHeight="1" x14ac:dyDescent="0.2">
      <c r="B48" s="914" t="s">
        <v>1910</v>
      </c>
      <c r="C48" s="4345">
        <f>IF(SUM(C50:C54)=0,"NO",SUM(C50:C54))</f>
        <v>288.13</v>
      </c>
      <c r="D48" s="4344">
        <f>IF(SUM(D50:D54)=0,"NO",SUM(D50:D54))</f>
        <v>698.69018716891719</v>
      </c>
      <c r="E48" s="4345">
        <f>IF(SUM(C48)=0,"NA",G48/C48*1000/(44/28))</f>
        <v>5.2608718286884404E-2</v>
      </c>
      <c r="F48" s="4344">
        <f>IF(SUM(D48)=0,"NA",H48/D48*1000/(44/28))</f>
        <v>7.4999999999999997E-3</v>
      </c>
      <c r="G48" s="4345">
        <f>IF(SUM(G50:G54)=0,"NO",SUM(G50:G54))</f>
        <v>2.3819950000000003E-2</v>
      </c>
      <c r="H48" s="4346">
        <f>IF(SUM(H50:H54)=0,"NO",SUM(H50:H54))</f>
        <v>8.2345629202050952E-3</v>
      </c>
      <c r="I48" s="4344">
        <f t="shared" si="8"/>
        <v>3.20545129202051E-2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288.13</v>
      </c>
      <c r="D50" s="4340">
        <f>H50/F50*1000/(44/28)</f>
        <v>698.69018716891719</v>
      </c>
      <c r="E50" s="4345">
        <f>IF(SUM(C50)=0,"NA",G50/C50*1000/(44/28))</f>
        <v>5.2608718286884404E-2</v>
      </c>
      <c r="F50" s="4342">
        <v>7.4999999999999997E-3</v>
      </c>
      <c r="G50" s="4350">
        <v>2.3819950000000003E-2</v>
      </c>
      <c r="H50" s="4351">
        <v>8.2345629202050952E-3</v>
      </c>
      <c r="I50" s="4344">
        <f t="shared" si="8"/>
        <v>3.20545129202051E-2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4575228.7016450549</v>
      </c>
      <c r="D10" s="3076" t="s">
        <v>1814</v>
      </c>
      <c r="E10" s="628"/>
      <c r="F10" s="628"/>
      <c r="G10" s="628"/>
      <c r="H10" s="1913">
        <f>IF(SUM(H11:H15)=0,"NO",SUM(H11:H15))</f>
        <v>326522.57605830533</v>
      </c>
      <c r="I10" s="1913">
        <f t="shared" ref="I10:K10" si="0">IF(SUM(I11:I16)=0,"NO",SUM(I11:I16))</f>
        <v>107.76108400182409</v>
      </c>
      <c r="J10" s="1913">
        <f t="shared" si="0"/>
        <v>10.52755780648579</v>
      </c>
      <c r="K10" s="3085" t="str">
        <f t="shared" si="0"/>
        <v>NO</v>
      </c>
    </row>
    <row r="11" spans="2:11" ht="18" customHeight="1" x14ac:dyDescent="0.2">
      <c r="B11" s="282" t="s">
        <v>132</v>
      </c>
      <c r="C11" s="3086">
        <f>IF(SUM(C18,'Table1.A(a)s2'!C11,'Table1.A(a)s3'!C11,'Table1.A(a)s4'!C11,'Table1.A(a)s4'!C94)=0,"NO",SUM(C18,'Table1.A(a)s2'!C11,'Table1.A(a)s3'!C11,'Table1.A(a)s4'!C11,'Table1.A(a)s4'!C94))</f>
        <v>1464671.0439474103</v>
      </c>
      <c r="D11" s="3077" t="s">
        <v>2145</v>
      </c>
      <c r="E11" s="1913">
        <f>IFERROR(H11*1000/$C11,"NA")</f>
        <v>68.034891547087184</v>
      </c>
      <c r="F11" s="1913">
        <f t="shared" ref="F11:G16" si="1">IFERROR(I11*1000000/$C11,"NA")</f>
        <v>18.948153802609834</v>
      </c>
      <c r="G11" s="1913">
        <f t="shared" si="1"/>
        <v>4.6391022568605393</v>
      </c>
      <c r="H11" s="1913">
        <f>IF(SUM(H18,'Table1.A(a)s2'!H11,'Table1.A(a)s3'!H11,'Table1.A(a)s4'!H11,'Table1.A(a)s4'!H94)=0,"NO",SUM(H18,'Table1.A(a)s2'!H11,'Table1.A(a)s3'!H11,'Table1.A(a)s4'!H11,'Table1.A(a)s4'!H94))</f>
        <v>99648.73562712103</v>
      </c>
      <c r="I11" s="1913">
        <f>IF(SUM(I18,'Table1.A(a)s2'!I11,'Table1.A(a)s3'!I11,'Table1.A(a)s4'!I11,'Table1.A(a)s4'!I94)=0,"NO",SUM(I18,'Table1.A(a)s2'!I11,'Table1.A(a)s3'!I11,'Table1.A(a)s4'!I11,'Table1.A(a)s4'!I94))</f>
        <v>27.752812210944636</v>
      </c>
      <c r="J11" s="1913">
        <f>IF(SUM(J18,'Table1.A(a)s2'!J11,'Table1.A(a)s3'!J11,'Table1.A(a)s4'!J11,'Table1.A(a)s4'!J94)=0,"NO",SUM(J18,'Table1.A(a)s2'!J11,'Table1.A(a)s3'!J11,'Table1.A(a)s4'!J11,'Table1.A(a)s4'!J94))</f>
        <v>6.7947587455347138</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1977714.0418101072</v>
      </c>
      <c r="D12" s="3077" t="s">
        <v>1814</v>
      </c>
      <c r="E12" s="1913">
        <f t="shared" ref="E12:E16" si="2">IFERROR(H12*1000/$C12,"NA")</f>
        <v>90.711745317566184</v>
      </c>
      <c r="F12" s="1913">
        <f t="shared" si="1"/>
        <v>0.68656607799442104</v>
      </c>
      <c r="G12" s="1913">
        <f t="shared" si="1"/>
        <v>1.0727616370026951</v>
      </c>
      <c r="H12" s="1913">
        <f>IF(SUM(H19,'Table1.A(a)s2'!H12,'Table1.A(a)s3'!H12,'Table1.A(a)s4'!H12,'Table1.A(a)s4'!H95)=0,"NO",SUM(H19,'Table1.A(a)s2'!H12,'Table1.A(a)s3'!H12,'Table1.A(a)s4'!H12,'Table1.A(a)s4'!H95))</f>
        <v>179401.89247165289</v>
      </c>
      <c r="I12" s="1913">
        <f>IF(SUM(I19,'Table1.A(a)s2'!I12,'Table1.A(a)s3'!I12,'Table1.A(a)s4'!I12,'Table1.A(a)s4'!I95)=0,"NO",SUM(I19,'Table1.A(a)s2'!I12,'Table1.A(a)s3'!I12,'Table1.A(a)s4'!I12,'Table1.A(a)s4'!I95))</f>
        <v>1.3578313730800597</v>
      </c>
      <c r="J12" s="1913">
        <f>IF(SUM(J19,'Table1.A(a)s2'!J12,'Table1.A(a)s3'!J12,'Table1.A(a)s4'!J12,'Table1.A(a)s4'!J95)=0,"NO",SUM(J19,'Table1.A(a)s2'!J12,'Table1.A(a)s3'!J12,'Table1.A(a)s4'!J12,'Table1.A(a)s4'!J95))</f>
        <v>2.1216157530154272</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913626.39894684358</v>
      </c>
      <c r="D13" s="3077" t="s">
        <v>2145</v>
      </c>
      <c r="E13" s="1913">
        <f t="shared" si="2"/>
        <v>51.475418384352906</v>
      </c>
      <c r="F13" s="1913">
        <f t="shared" si="1"/>
        <v>9.5626718998390476</v>
      </c>
      <c r="G13" s="1913">
        <f t="shared" si="1"/>
        <v>0.76994316944082497</v>
      </c>
      <c r="H13" s="1913">
        <f>IF(SUM(H20,'Table1.A(a)s2'!H13,'Table1.A(a)s3'!H13,'Table1.A(a)s4'!H13,'Table1.A(a)s4'!H96)=0,"NO",SUM(H20,'Table1.A(a)s2'!H13,'Table1.A(a)s3'!H13,'Table1.A(a)s4'!H13,'Table1.A(a)s4'!H96))</f>
        <v>47029.301132778499</v>
      </c>
      <c r="I13" s="1913">
        <f>IF(SUM(I20,'Table1.A(a)s2'!I13,'Table1.A(a)s3'!I13,'Table1.A(a)s4'!I13,'Table1.A(a)s4'!I96)=0,"NO",SUM(I20,'Table1.A(a)s2'!I13,'Table1.A(a)s3'!I13,'Table1.A(a)s4'!I13,'Table1.A(a)s4'!I96))</f>
        <v>8.7367094921601218</v>
      </c>
      <c r="J13" s="1913">
        <f>IF(SUM(J20,'Table1.A(a)s2'!J13,'Table1.A(a)s3'!J13,'Table1.A(a)s4'!J13,'Table1.A(a)s4'!J96)=0,"NO",SUM(J20,'Table1.A(a)s2'!J13,'Table1.A(a)s3'!J13,'Table1.A(a)s4'!J13,'Table1.A(a)s4'!J96))</f>
        <v>0.70344040528994034</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4922.4669406947442</v>
      </c>
      <c r="D14" s="3077" t="s">
        <v>2145</v>
      </c>
      <c r="E14" s="1913">
        <f t="shared" si="2"/>
        <v>89.923778480562163</v>
      </c>
      <c r="F14" s="1913">
        <f t="shared" si="1"/>
        <v>31.853946789101176</v>
      </c>
      <c r="G14" s="1913">
        <f t="shared" si="1"/>
        <v>0.99543583715941175</v>
      </c>
      <c r="H14" s="1913">
        <f>IF(SUM(H21,'Table1.A(a)s2'!H14,'Table1.A(a)s3'!H14,'Table1.A(a)s4'!H14,'Table1.A(a)s4'!H97)=0,"NO",SUM(H21,'Table1.A(a)s2'!H14,'Table1.A(a)s3'!H14,'Table1.A(a)s4'!H14,'Table1.A(a)s4'!H97))</f>
        <v>442.64682675292471</v>
      </c>
      <c r="I14" s="1913">
        <f>IF(SUM(I21,'Table1.A(a)s2'!I14,'Table1.A(a)s3'!I14,'Table1.A(a)s4'!I14,'Table1.A(a)s4'!I97)=0,"NO",SUM(I21,'Table1.A(a)s2'!I14,'Table1.A(a)s3'!I14,'Table1.A(a)s4'!I14,'Table1.A(a)s4'!I97))</f>
        <v>0.15680000000000002</v>
      </c>
      <c r="J14" s="1913">
        <f>IF(SUM(J21,'Table1.A(a)s2'!J14,'Table1.A(a)s3'!J14,'Table1.A(a)s4'!J14,'Table1.A(a)s4'!J97)=0,"NO",SUM(J21,'Table1.A(a)s2'!J14,'Table1.A(a)s3'!J14,'Table1.A(a)s4'!J14,'Table1.A(a)s4'!J97))</f>
        <v>4.9000000000000007E-3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214294.75</v>
      </c>
      <c r="D16" s="3079" t="s">
        <v>2145</v>
      </c>
      <c r="E16" s="2880">
        <f t="shared" si="2"/>
        <v>86.001490003838185</v>
      </c>
      <c r="F16" s="1913">
        <f t="shared" si="1"/>
        <v>325.51861828457896</v>
      </c>
      <c r="G16" s="1913">
        <f t="shared" si="1"/>
        <v>4.2130892270842368</v>
      </c>
      <c r="H16" s="2880">
        <f>IF(SUM(H23,'Table1.A(a)s2'!H16,'Table1.A(a)s3'!H15,'Table1.A(a)s4'!H16,'Table1.A(a)s4'!H99)=0,"NO",SUM(H23,'Table1.A(a)s2'!H16,'Table1.A(a)s3'!H15,'Table1.A(a)s4'!H16,'Table1.A(a)s4'!H99))</f>
        <v>18429.667800000003</v>
      </c>
      <c r="I16" s="2880">
        <f>IF(SUM(I23,'Table1.A(a)s2'!I16,'Table1.A(a)s3'!I15,'Table1.A(a)s4'!I16,'Table1.A(a)s4'!I99)=0,"NO",SUM(I23,'Table1.A(a)s2'!I16,'Table1.A(a)s3'!I15,'Table1.A(a)s4'!I16,'Table1.A(a)s4'!I99))</f>
        <v>69.756930925639267</v>
      </c>
      <c r="J16" s="2880">
        <f>IF(SUM(J23,'Table1.A(a)s2'!J16,'Table1.A(a)s3'!J15,'Table1.A(a)s4'!J16,'Table1.A(a)s4'!J99)=0,"NO",SUM(J23,'Table1.A(a)s2'!J16,'Table1.A(a)s3'!J15,'Table1.A(a)s4'!J16,'Table1.A(a)s4'!J99))</f>
        <v>0.90284290264570966</v>
      </c>
      <c r="K16" s="3066" t="str">
        <f>IF(SUM(K23,'Table1.A(a)s2'!K16,'Table1.A(a)s3'!K15,'Table1.A(a)s4'!K16,'Table1.A(a)s4'!K99)=0,"NO",SUM(K23,'Table1.A(a)s2'!K16,'Table1.A(a)s3'!K15,'Table1.A(a)s4'!K16,'Table1.A(a)s4'!K99))</f>
        <v>NO</v>
      </c>
    </row>
    <row r="17" spans="2:12" ht="18" customHeight="1" x14ac:dyDescent="0.2">
      <c r="B17" s="2184" t="s">
        <v>76</v>
      </c>
      <c r="C17" s="3067">
        <f>IF(SUM(C18:C23)=0,"NO",SUM(C18:C23))</f>
        <v>2416085.2984768478</v>
      </c>
      <c r="D17" s="3080" t="s">
        <v>1814</v>
      </c>
      <c r="E17" s="3081"/>
      <c r="F17" s="3081"/>
      <c r="G17" s="3081"/>
      <c r="H17" s="3067">
        <f>IF(SUM(H18:H22)=0,"NO",SUM(H18:H22))</f>
        <v>199024.16474164414</v>
      </c>
      <c r="I17" s="3067">
        <f t="shared" ref="I17" si="3">IF(SUM(I18:I23)=0,"NO",SUM(I18:I23))</f>
        <v>11.898502837957112</v>
      </c>
      <c r="J17" s="3067">
        <f t="shared" ref="J17" si="4">IF(SUM(J18:J23)=0,"NO",SUM(J18:J23))</f>
        <v>2.6400816051644824</v>
      </c>
      <c r="K17" s="3068" t="str">
        <f t="shared" ref="K17" si="5">IF(SUM(K18:K23)=0,"NO",SUM(K18:K23))</f>
        <v>NO</v>
      </c>
    </row>
    <row r="18" spans="2:12" ht="18" customHeight="1" x14ac:dyDescent="0.2">
      <c r="B18" s="282" t="s">
        <v>132</v>
      </c>
      <c r="C18" s="3086">
        <f>IF(SUM(C25,C54,C61)=0,"NO",SUM(C25,C54,C61))</f>
        <v>132092.87852424046</v>
      </c>
      <c r="D18" s="3077" t="s">
        <v>1814</v>
      </c>
      <c r="E18" s="1913">
        <f>IFERROR(H18*1000/$C18,"NA")</f>
        <v>67.009415098088454</v>
      </c>
      <c r="F18" s="1913">
        <f t="shared" ref="F18:G23" si="6">IFERROR(I18*1000000/$C18,"NA")</f>
        <v>1.7188952099231432</v>
      </c>
      <c r="G18" s="1913">
        <f t="shared" si="6"/>
        <v>1.0084079950365366</v>
      </c>
      <c r="H18" s="3086">
        <f>IF(SUM(H25,H54,H61)=0,"NO",SUM(H25,H54,H61))</f>
        <v>8851.4665285322026</v>
      </c>
      <c r="I18" s="3086">
        <f>IF(SUM(I25,I54,I61)=0,"NO",SUM(I25,I54,I61))</f>
        <v>0.22705381616027653</v>
      </c>
      <c r="J18" s="3086">
        <f>IF(SUM(J25,J54,J61)=0,"NO",SUM(J25,J54,J61))</f>
        <v>0.1332035147912341</v>
      </c>
      <c r="K18" s="3069" t="str">
        <f>IF(SUM(K25,K54,K61)=0,"NO",SUM(K25,K54,K61))</f>
        <v>NO</v>
      </c>
      <c r="L18" s="19"/>
    </row>
    <row r="19" spans="2:12" ht="18" customHeight="1" x14ac:dyDescent="0.2">
      <c r="B19" s="282" t="s">
        <v>133</v>
      </c>
      <c r="C19" s="3086">
        <f t="shared" ref="C19:C23" si="7">IF(SUM(C26,C55,C62)=0,"NO",SUM(C26,C55,C62))</f>
        <v>1853850.1301705723</v>
      </c>
      <c r="D19" s="3077" t="s">
        <v>1814</v>
      </c>
      <c r="E19" s="1913">
        <f t="shared" ref="E19:E23" si="8">IFERROR(H19*1000/$C19,"NA")</f>
        <v>91.307304128166606</v>
      </c>
      <c r="F19" s="1913">
        <f t="shared" si="6"/>
        <v>0.66816984655270073</v>
      </c>
      <c r="G19" s="1913">
        <f t="shared" si="6"/>
        <v>1.0972831280258684</v>
      </c>
      <c r="H19" s="3086">
        <f t="shared" ref="H19:K23" si="9">IF(SUM(H26,H55,H62)=0,"NO",SUM(H26,H55,H62))</f>
        <v>169270.05764352568</v>
      </c>
      <c r="I19" s="3086">
        <f t="shared" si="9"/>
        <v>1.2386867570077755</v>
      </c>
      <c r="J19" s="3086">
        <f t="shared" si="9"/>
        <v>2.0341984697247288</v>
      </c>
      <c r="K19" s="3069" t="str">
        <f t="shared" si="9"/>
        <v>NO</v>
      </c>
      <c r="L19" s="19"/>
    </row>
    <row r="20" spans="2:12" ht="18" customHeight="1" x14ac:dyDescent="0.2">
      <c r="B20" s="282" t="s">
        <v>134</v>
      </c>
      <c r="C20" s="3086">
        <f t="shared" si="7"/>
        <v>405614.37906497868</v>
      </c>
      <c r="D20" s="3077" t="s">
        <v>1814</v>
      </c>
      <c r="E20" s="1913">
        <f t="shared" si="8"/>
        <v>51.533282961444741</v>
      </c>
      <c r="F20" s="1913">
        <f t="shared" si="6"/>
        <v>19.871082152459476</v>
      </c>
      <c r="G20" s="1913">
        <f t="shared" si="6"/>
        <v>0.91704670154868051</v>
      </c>
      <c r="H20" s="3086">
        <f t="shared" si="9"/>
        <v>20902.640569586256</v>
      </c>
      <c r="I20" s="3086">
        <f t="shared" si="9"/>
        <v>8.0599966486190304</v>
      </c>
      <c r="J20" s="3086">
        <f t="shared" si="9"/>
        <v>0.37196732842225488</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24527.910717056606</v>
      </c>
      <c r="D23" s="3077" t="s">
        <v>1814</v>
      </c>
      <c r="E23" s="1913">
        <f t="shared" si="8"/>
        <v>77.184373343461075</v>
      </c>
      <c r="F23" s="1913">
        <f t="shared" si="6"/>
        <v>96.737371704472949</v>
      </c>
      <c r="G23" s="1913">
        <f t="shared" si="6"/>
        <v>4.1060281647319394</v>
      </c>
      <c r="H23" s="3086">
        <f t="shared" si="9"/>
        <v>1893.1714181203772</v>
      </c>
      <c r="I23" s="3086">
        <f t="shared" si="9"/>
        <v>2.3727656161700303</v>
      </c>
      <c r="J23" s="3086">
        <f t="shared" si="9"/>
        <v>0.10071229222626481</v>
      </c>
      <c r="K23" s="3069" t="str">
        <f t="shared" si="9"/>
        <v>NO</v>
      </c>
      <c r="L23" s="19"/>
    </row>
    <row r="24" spans="2:12" ht="18" customHeight="1" x14ac:dyDescent="0.2">
      <c r="B24" s="1237" t="s">
        <v>138</v>
      </c>
      <c r="C24" s="3086">
        <f>IF(SUM(C25:C30)=0,"NO",SUM(C25:C30))</f>
        <v>2127941.7677264758</v>
      </c>
      <c r="D24" s="3077" t="s">
        <v>1814</v>
      </c>
      <c r="E24" s="628"/>
      <c r="F24" s="628"/>
      <c r="G24" s="628"/>
      <c r="H24" s="3086">
        <f>IF(SUM(H25:H29)=0,"NO",SUM(H25:H29))</f>
        <v>182425.26031313438</v>
      </c>
      <c r="I24" s="3086">
        <f t="shared" ref="I24" si="10">IF(SUM(I25:I30)=0,"NO",SUM(I25:I30))</f>
        <v>6.2712025702031973</v>
      </c>
      <c r="J24" s="3086">
        <f t="shared" ref="J24" si="11">IF(SUM(J25:J30)=0,"NO",SUM(J25:J30))</f>
        <v>2.364865791404684</v>
      </c>
      <c r="K24" s="3069" t="str">
        <f t="shared" ref="K24" si="12">IF(SUM(K25:K30)=0,"NO",SUM(K25:K30))</f>
        <v>NO</v>
      </c>
      <c r="L24" s="19"/>
    </row>
    <row r="25" spans="2:12" ht="18" customHeight="1" x14ac:dyDescent="0.2">
      <c r="B25" s="160" t="s">
        <v>132</v>
      </c>
      <c r="C25" s="3074">
        <f>IF(SUM(C33,C40,C47)=0,"NO",SUM(C33,C40,C47))</f>
        <v>27754.478524240541</v>
      </c>
      <c r="D25" s="3082" t="s">
        <v>1814</v>
      </c>
      <c r="E25" s="3086">
        <f>IFERROR(H25*1000/$C25,"NA")</f>
        <v>70.295113754640212</v>
      </c>
      <c r="F25" s="1913">
        <f t="shared" ref="F25:G30" si="13">IFERROR(I25*1000000/$C25,"NA")</f>
        <v>3.2768387876832961</v>
      </c>
      <c r="G25" s="1913">
        <f t="shared" si="13"/>
        <v>0.36430597401986492</v>
      </c>
      <c r="H25" s="3086">
        <f>IF(SUM(H33,H40,H47)=0,"NO",SUM(H33,H40,H47))</f>
        <v>1951.0042250622078</v>
      </c>
      <c r="I25" s="3086">
        <f>IF(SUM(I33,I40,I47)=0,"NO",SUM(I33,I40,I47))</f>
        <v>9.0946951760154451E-2</v>
      </c>
      <c r="J25" s="3086">
        <f>IF(SUM(J33,J40,J47)=0,"NO",SUM(J33,J40,J47))</f>
        <v>1.0111122332186874E-2</v>
      </c>
      <c r="K25" s="3069" t="str">
        <f>IF(SUM(K33,K40,K47)=0,"NO",SUM(K33,K40,K47))</f>
        <v>NO</v>
      </c>
      <c r="L25" s="19"/>
    </row>
    <row r="26" spans="2:12" ht="18" customHeight="1" x14ac:dyDescent="0.2">
      <c r="B26" s="160" t="s">
        <v>133</v>
      </c>
      <c r="C26" s="3086">
        <f t="shared" ref="C26:C30" si="14">IF(SUM(C34,C41,C48)=0,"NO",SUM(C34,C41,C48))</f>
        <v>1843468.1301705723</v>
      </c>
      <c r="D26" s="3082" t="s">
        <v>1814</v>
      </c>
      <c r="E26" s="3086">
        <f t="shared" ref="E26:E30" si="15">IFERROR(H26*1000/$C26,"NA")</f>
        <v>91.397094746180343</v>
      </c>
      <c r="F26" s="1913">
        <f t="shared" si="13"/>
        <v>0.66653119101550351</v>
      </c>
      <c r="G26" s="1913">
        <f t="shared" si="13"/>
        <v>1.099322190964831</v>
      </c>
      <c r="H26" s="3086">
        <f t="shared" ref="H26:K30" si="16">IF(SUM(H34,H41,H48)=0,"NO",SUM(H34,H41,H48))</f>
        <v>168487.63135476373</v>
      </c>
      <c r="I26" s="3086">
        <f t="shared" si="16"/>
        <v>1.2287290084017148</v>
      </c>
      <c r="J26" s="3086">
        <f t="shared" si="16"/>
        <v>2.0265654238329538</v>
      </c>
      <c r="K26" s="3069" t="str">
        <f t="shared" si="16"/>
        <v>NO</v>
      </c>
      <c r="L26" s="19"/>
    </row>
    <row r="27" spans="2:12" ht="18" customHeight="1" x14ac:dyDescent="0.2">
      <c r="B27" s="160" t="s">
        <v>134</v>
      </c>
      <c r="C27" s="3086">
        <f t="shared" si="14"/>
        <v>232191.24831460672</v>
      </c>
      <c r="D27" s="3082" t="s">
        <v>1814</v>
      </c>
      <c r="E27" s="3086">
        <f t="shared" si="15"/>
        <v>51.623929929810345</v>
      </c>
      <c r="F27" s="1913">
        <f t="shared" si="13"/>
        <v>11.106193763070751</v>
      </c>
      <c r="G27" s="1913">
        <f t="shared" si="13"/>
        <v>0.97969649874598097</v>
      </c>
      <c r="H27" s="3086">
        <f t="shared" si="16"/>
        <v>11986.624733308452</v>
      </c>
      <c r="I27" s="3086">
        <f t="shared" si="16"/>
        <v>2.5787609938712972</v>
      </c>
      <c r="J27" s="3086">
        <f t="shared" si="16"/>
        <v>0.22747695301327886</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24527.910717056606</v>
      </c>
      <c r="D30" s="3082" t="s">
        <v>1814</v>
      </c>
      <c r="E30" s="3086">
        <f t="shared" si="15"/>
        <v>77.184373343461075</v>
      </c>
      <c r="F30" s="1913">
        <f t="shared" si="13"/>
        <v>96.737371704472949</v>
      </c>
      <c r="G30" s="1913">
        <f t="shared" si="13"/>
        <v>4.1060281647319394</v>
      </c>
      <c r="H30" s="3086">
        <f t="shared" si="16"/>
        <v>1893.1714181203772</v>
      </c>
      <c r="I30" s="3086">
        <f t="shared" si="16"/>
        <v>2.3727656161700303</v>
      </c>
      <c r="J30" s="3086">
        <f t="shared" si="16"/>
        <v>0.10071229222626481</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2127941.7677264758</v>
      </c>
      <c r="D32" s="3077" t="s">
        <v>1814</v>
      </c>
      <c r="E32" s="1914"/>
      <c r="F32" s="1914"/>
      <c r="G32" s="1914"/>
      <c r="H32" s="3086">
        <f>IF(SUM(H33:H37)=0,"NO",SUM(H33:H37))</f>
        <v>182425.26031313438</v>
      </c>
      <c r="I32" s="3086">
        <f t="shared" ref="I32" si="17">IF(SUM(I33:I38)=0,"NO",SUM(I33:I38))</f>
        <v>6.2712025702031973</v>
      </c>
      <c r="J32" s="3086">
        <f t="shared" ref="J32" si="18">IF(SUM(J33:J38)=0,"NO",SUM(J33:J38))</f>
        <v>2.364865791404684</v>
      </c>
      <c r="K32" s="3069" t="str">
        <f t="shared" ref="K32" si="19">IF(SUM(K33:K38)=0,"NO",SUM(K33:K38))</f>
        <v>NO</v>
      </c>
      <c r="L32" s="19"/>
    </row>
    <row r="33" spans="2:12" ht="18" customHeight="1" x14ac:dyDescent="0.2">
      <c r="B33" s="160" t="s">
        <v>132</v>
      </c>
      <c r="C33" s="3033">
        <v>27754.478524240541</v>
      </c>
      <c r="D33" s="3077" t="s">
        <v>1814</v>
      </c>
      <c r="E33" s="1913">
        <f>IFERROR(H33*1000/$C33,"NA")</f>
        <v>70.295113754640212</v>
      </c>
      <c r="F33" s="1913">
        <f t="shared" ref="F33:G38" si="20">IFERROR(I33*1000000/$C33,"NA")</f>
        <v>3.2768387876832961</v>
      </c>
      <c r="G33" s="1913">
        <f t="shared" si="20"/>
        <v>0.36430597401986492</v>
      </c>
      <c r="H33" s="3033">
        <v>1951.0042250622078</v>
      </c>
      <c r="I33" s="3033">
        <v>9.0946951760154451E-2</v>
      </c>
      <c r="J33" s="3033">
        <v>1.0111122332186874E-2</v>
      </c>
      <c r="K33" s="3072" t="s">
        <v>2146</v>
      </c>
      <c r="L33" s="19"/>
    </row>
    <row r="34" spans="2:12" ht="18" customHeight="1" x14ac:dyDescent="0.2">
      <c r="B34" s="160" t="s">
        <v>133</v>
      </c>
      <c r="C34" s="3033">
        <v>1843468.1301705723</v>
      </c>
      <c r="D34" s="3077" t="s">
        <v>1814</v>
      </c>
      <c r="E34" s="1913">
        <f t="shared" ref="E34:E38" si="21">IFERROR(H34*1000/$C34,"NA")</f>
        <v>91.397094746180343</v>
      </c>
      <c r="F34" s="1913">
        <f t="shared" si="20"/>
        <v>0.66653119101550351</v>
      </c>
      <c r="G34" s="1913">
        <f t="shared" si="20"/>
        <v>1.099322190964831</v>
      </c>
      <c r="H34" s="3033">
        <v>168487.63135476373</v>
      </c>
      <c r="I34" s="3033">
        <v>1.2287290084017148</v>
      </c>
      <c r="J34" s="3033">
        <v>2.0265654238329538</v>
      </c>
      <c r="K34" s="3072" t="s">
        <v>2146</v>
      </c>
      <c r="L34" s="19"/>
    </row>
    <row r="35" spans="2:12" ht="18" customHeight="1" x14ac:dyDescent="0.2">
      <c r="B35" s="160" t="s">
        <v>134</v>
      </c>
      <c r="C35" s="3033">
        <v>232191.24831460672</v>
      </c>
      <c r="D35" s="3077" t="s">
        <v>1814</v>
      </c>
      <c r="E35" s="1913">
        <f t="shared" si="21"/>
        <v>51.623929929810345</v>
      </c>
      <c r="F35" s="1913">
        <f t="shared" si="20"/>
        <v>11.106193763070751</v>
      </c>
      <c r="G35" s="1913">
        <f t="shared" si="20"/>
        <v>0.97969649874598097</v>
      </c>
      <c r="H35" s="3033">
        <v>11986.624733308452</v>
      </c>
      <c r="I35" s="3033">
        <v>2.5787609938712972</v>
      </c>
      <c r="J35" s="3033">
        <v>0.22747695301327886</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24527.910717056606</v>
      </c>
      <c r="D38" s="3077" t="s">
        <v>1814</v>
      </c>
      <c r="E38" s="1913">
        <f t="shared" si="21"/>
        <v>77.184373343461075</v>
      </c>
      <c r="F38" s="1913">
        <f t="shared" si="20"/>
        <v>96.737371704472949</v>
      </c>
      <c r="G38" s="1913">
        <f t="shared" si="20"/>
        <v>4.1060281647319394</v>
      </c>
      <c r="H38" s="3033">
        <v>1893.1714181203772</v>
      </c>
      <c r="I38" s="3033">
        <v>2.3727656161700303</v>
      </c>
      <c r="J38" s="3033">
        <v>0.10071229222626481</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100550.89999999988</v>
      </c>
      <c r="D53" s="3077" t="s">
        <v>1814</v>
      </c>
      <c r="E53" s="628"/>
      <c r="F53" s="628"/>
      <c r="G53" s="628"/>
      <c r="H53" s="3086">
        <f>IF(SUM(H54:H58)=0,"NO",SUM(H54:H58))</f>
        <v>6264.2677302552938</v>
      </c>
      <c r="I53" s="3086">
        <f t="shared" ref="I53:K53" si="28">IF(SUM(I54:I59)=0,"NO",SUM(I54:I59))</f>
        <v>7.4514709125541034E-2</v>
      </c>
      <c r="J53" s="3086">
        <f t="shared" si="28"/>
        <v>5.1787741634631977E-2</v>
      </c>
      <c r="K53" s="3069" t="str">
        <f t="shared" si="28"/>
        <v>NO</v>
      </c>
      <c r="L53" s="19"/>
    </row>
    <row r="54" spans="2:12" ht="18" customHeight="1" x14ac:dyDescent="0.2">
      <c r="B54" s="160" t="s">
        <v>132</v>
      </c>
      <c r="C54" s="3033">
        <v>80550.899999999907</v>
      </c>
      <c r="D54" s="3077" t="s">
        <v>1814</v>
      </c>
      <c r="E54" s="1913">
        <f>IFERROR(H54*1000/$C54,"NA")</f>
        <v>65.0027419118843</v>
      </c>
      <c r="F54" s="1913">
        <f t="shared" ref="F54:G59" si="29">IFERROR(I54*1000000/$C54,"NA")</f>
        <v>0.66977616341846891</v>
      </c>
      <c r="G54" s="1913">
        <f t="shared" si="29"/>
        <v>0.5374864137074169</v>
      </c>
      <c r="H54" s="3033">
        <v>5236.0293634699947</v>
      </c>
      <c r="I54" s="3033">
        <v>5.3951072761904688E-2</v>
      </c>
      <c r="J54" s="3033">
        <v>4.3295014361904714E-2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19999.999999999978</v>
      </c>
      <c r="D56" s="3077" t="s">
        <v>1814</v>
      </c>
      <c r="E56" s="1913">
        <f t="shared" si="30"/>
        <v>51.411918339265</v>
      </c>
      <c r="F56" s="1913">
        <f t="shared" si="29"/>
        <v>1.0281818181818183</v>
      </c>
      <c r="G56" s="1913">
        <f t="shared" si="29"/>
        <v>0.4246363636363637</v>
      </c>
      <c r="H56" s="3033">
        <v>1028.2383667852989</v>
      </c>
      <c r="I56" s="3033">
        <v>2.0563636363636343E-2</v>
      </c>
      <c r="J56" s="3033">
        <v>8.4927272727272646E-3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187592.63075037196</v>
      </c>
      <c r="D60" s="3077" t="s">
        <v>1814</v>
      </c>
      <c r="E60" s="628"/>
      <c r="F60" s="628"/>
      <c r="G60" s="628"/>
      <c r="H60" s="3086">
        <f>IF(SUM(H61:H65)=0,"NO",SUM(H61:H65))</f>
        <v>10334.63669825446</v>
      </c>
      <c r="I60" s="3086">
        <f t="shared" ref="I60:K60" si="31">IF(SUM(I61:I66)=0,"NO",SUM(I61:I66))</f>
        <v>5.5527855586283748</v>
      </c>
      <c r="J60" s="3086">
        <f t="shared" si="31"/>
        <v>0.22342807212516613</v>
      </c>
      <c r="K60" s="3069" t="str">
        <f t="shared" si="31"/>
        <v>NO</v>
      </c>
      <c r="L60" s="19"/>
    </row>
    <row r="61" spans="2:12" ht="18" customHeight="1" x14ac:dyDescent="0.2">
      <c r="B61" s="160" t="s">
        <v>132</v>
      </c>
      <c r="C61" s="3074">
        <f>IF(SUM(C69,C76,C83)=0,"NO",SUM(C69,C76,C83))</f>
        <v>23787.5</v>
      </c>
      <c r="D61" s="3077" t="s">
        <v>1814</v>
      </c>
      <c r="E61" s="1913">
        <f>IFERROR(H61*1000/$C61,"NA")</f>
        <v>69.970906568575941</v>
      </c>
      <c r="F61" s="1913">
        <f t="shared" ref="F61:G66" si="32">IFERROR(I61*1000000/$C61,"NA")</f>
        <v>3.4537379564148152</v>
      </c>
      <c r="G61" s="1913">
        <f t="shared" si="32"/>
        <v>3.3545928784925905</v>
      </c>
      <c r="H61" s="3074">
        <f>IF(SUM(H69,H76,H83)=0,"NO",SUM(H69,H76,H83))</f>
        <v>1664.4329400000001</v>
      </c>
      <c r="I61" s="3074">
        <f>IF(SUM(I69,I76,I83)=0,"NO",SUM(I69,I76,I83))</f>
        <v>8.2155791638217415E-2</v>
      </c>
      <c r="J61" s="3074">
        <f>IF(SUM(J69,J76,J83)=0,"NO",SUM(J69,J76,J83))</f>
        <v>7.9797378097142505E-2</v>
      </c>
      <c r="K61" s="3088" t="str">
        <f>IF(SUM(K69,K76,K83)=0,"NO",SUM(K69,K76,K83))</f>
        <v>NO</v>
      </c>
    </row>
    <row r="62" spans="2:12" ht="18" customHeight="1" x14ac:dyDescent="0.2">
      <c r="B62" s="160" t="s">
        <v>133</v>
      </c>
      <c r="C62" s="3074">
        <f t="shared" ref="C62:C66" si="33">IF(SUM(C70,C77,C84)=0,"NO",SUM(C70,C77,C84))</f>
        <v>10381.999999999989</v>
      </c>
      <c r="D62" s="3077" t="s">
        <v>1814</v>
      </c>
      <c r="E62" s="1913">
        <f t="shared" ref="E62:E66" si="34">IFERROR(H62*1000/$C62,"NA")</f>
        <v>75.36373422866096</v>
      </c>
      <c r="F62" s="1913">
        <f t="shared" si="32"/>
        <v>0.95913587035837078</v>
      </c>
      <c r="G62" s="1913">
        <f t="shared" si="32"/>
        <v>0.7352192151584368</v>
      </c>
      <c r="H62" s="3074">
        <f t="shared" ref="H62:K66" si="35">IF(SUM(H70,H77,H84)=0,"NO",SUM(H70,H77,H84))</f>
        <v>782.42628876195715</v>
      </c>
      <c r="I62" s="3074">
        <f t="shared" si="35"/>
        <v>9.9577486060605947E-3</v>
      </c>
      <c r="J62" s="3074">
        <f t="shared" si="35"/>
        <v>7.6330458917748829E-3</v>
      </c>
      <c r="K62" s="3088" t="str">
        <f t="shared" si="35"/>
        <v>NO</v>
      </c>
    </row>
    <row r="63" spans="2:12" ht="18" customHeight="1" x14ac:dyDescent="0.2">
      <c r="B63" s="160" t="s">
        <v>134</v>
      </c>
      <c r="C63" s="3074">
        <f t="shared" si="33"/>
        <v>153423.13075037199</v>
      </c>
      <c r="D63" s="3077" t="s">
        <v>1814</v>
      </c>
      <c r="E63" s="1913">
        <f t="shared" si="34"/>
        <v>51.411918339265014</v>
      </c>
      <c r="F63" s="1913">
        <f t="shared" si="32"/>
        <v>35.592234310932653</v>
      </c>
      <c r="G63" s="1913">
        <f t="shared" si="32"/>
        <v>0.88642206342096186</v>
      </c>
      <c r="H63" s="3074">
        <f t="shared" si="35"/>
        <v>7887.7774694925038</v>
      </c>
      <c r="I63" s="3074">
        <f t="shared" si="35"/>
        <v>5.4606720183840967</v>
      </c>
      <c r="J63" s="3074">
        <f t="shared" si="35"/>
        <v>0.13599764813624876</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11444.799999999988</v>
      </c>
      <c r="D68" s="3077" t="s">
        <v>1814</v>
      </c>
      <c r="E68" s="628"/>
      <c r="F68" s="628"/>
      <c r="G68" s="628"/>
      <c r="H68" s="3086">
        <f>IF(SUM(H69:H73)=0,"NO",SUM(H69:H73))</f>
        <v>860.64836876195716</v>
      </c>
      <c r="I68" s="3086">
        <f t="shared" ref="I68:K68" si="36">IF(SUM(I69:I74)=0,"NO",SUM(I69:I74))</f>
        <v>1.2103592415584404E-2</v>
      </c>
      <c r="J68" s="3086">
        <f t="shared" si="36"/>
        <v>8.1816531298701204E-3</v>
      </c>
      <c r="K68" s="3069" t="str">
        <f t="shared" si="36"/>
        <v>NO</v>
      </c>
    </row>
    <row r="69" spans="2:11" ht="18" customHeight="1" x14ac:dyDescent="0.2">
      <c r="B69" s="282" t="s">
        <v>132</v>
      </c>
      <c r="C69" s="3033">
        <v>1062.7999999999997</v>
      </c>
      <c r="D69" s="3076" t="s">
        <v>1814</v>
      </c>
      <c r="E69" s="1913">
        <f>IFERROR(H69*1000/$C69,"NA")</f>
        <v>73.599999999999994</v>
      </c>
      <c r="F69" s="1913">
        <f t="shared" ref="F69:G74" si="37">IFERROR(I69*1000000/$C69,"NA")</f>
        <v>2.019047619047619</v>
      </c>
      <c r="G69" s="1913">
        <f t="shared" si="37"/>
        <v>0.5161904761904762</v>
      </c>
      <c r="H69" s="3033">
        <v>78.222079999999977</v>
      </c>
      <c r="I69" s="3033">
        <v>2.1458438095238088E-3</v>
      </c>
      <c r="J69" s="3033">
        <v>5.4860723809523797E-4</v>
      </c>
      <c r="K69" s="3072" t="s">
        <v>2146</v>
      </c>
    </row>
    <row r="70" spans="2:11" ht="18" customHeight="1" x14ac:dyDescent="0.2">
      <c r="B70" s="282" t="s">
        <v>133</v>
      </c>
      <c r="C70" s="3033">
        <v>10381.999999999989</v>
      </c>
      <c r="D70" s="3076" t="s">
        <v>1814</v>
      </c>
      <c r="E70" s="1913">
        <f t="shared" ref="E70:E74" si="38">IFERROR(H70*1000/$C70,"NA")</f>
        <v>75.36373422866096</v>
      </c>
      <c r="F70" s="1913">
        <f t="shared" si="37"/>
        <v>0.95913587035837078</v>
      </c>
      <c r="G70" s="1913">
        <f t="shared" si="37"/>
        <v>0.7352192151584368</v>
      </c>
      <c r="H70" s="3033">
        <v>782.42628876195715</v>
      </c>
      <c r="I70" s="3033">
        <v>9.9577486060605947E-3</v>
      </c>
      <c r="J70" s="3033">
        <v>7.6330458917748829E-3</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144340.31088008897</v>
      </c>
      <c r="D75" s="3077" t="s">
        <v>1814</v>
      </c>
      <c r="E75" s="628"/>
      <c r="F75" s="628"/>
      <c r="G75" s="628"/>
      <c r="H75" s="3086">
        <f>IF(SUM(H76:H80)=0,"NO",SUM(H76:H80))</f>
        <v>7438.0323021833356</v>
      </c>
      <c r="I75" s="3086">
        <f t="shared" ref="I75:K75" si="39">IF(SUM(I76:I81)=0,"NO",SUM(I76:I81))</f>
        <v>5.4282440531978633</v>
      </c>
      <c r="J75" s="3086">
        <f t="shared" si="39"/>
        <v>0.1284845840679299</v>
      </c>
      <c r="K75" s="3069" t="str">
        <f t="shared" si="39"/>
        <v>NO</v>
      </c>
    </row>
    <row r="76" spans="2:11" ht="18" customHeight="1" x14ac:dyDescent="0.2">
      <c r="B76" s="282" t="s">
        <v>132</v>
      </c>
      <c r="C76" s="3033">
        <v>1055.0000000000002</v>
      </c>
      <c r="D76" s="3076" t="s">
        <v>1814</v>
      </c>
      <c r="E76" s="1913">
        <f>IFERROR(H76*1000/$C76,"NA")</f>
        <v>67.734218009478653</v>
      </c>
      <c r="F76" s="1913">
        <f t="shared" ref="F76:G81" si="40">IFERROR(I76*1000000/$C76,"NA")</f>
        <v>2.1089539055643312</v>
      </c>
      <c r="G76" s="1913">
        <f t="shared" si="40"/>
        <v>1.6143467428972638</v>
      </c>
      <c r="H76" s="3033">
        <v>71.459599999999995</v>
      </c>
      <c r="I76" s="3033">
        <v>2.22494637037037E-3</v>
      </c>
      <c r="J76" s="3033">
        <v>1.7031358137566137E-3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143285.31088008897</v>
      </c>
      <c r="D78" s="3076" t="s">
        <v>1814</v>
      </c>
      <c r="E78" s="1913">
        <f t="shared" si="41"/>
        <v>51.411918339265014</v>
      </c>
      <c r="F78" s="1913">
        <f t="shared" si="40"/>
        <v>37.868634778399297</v>
      </c>
      <c r="G78" s="1913">
        <f t="shared" si="40"/>
        <v>0.88481818181818195</v>
      </c>
      <c r="H78" s="3033">
        <v>7366.5727021833354</v>
      </c>
      <c r="I78" s="3033">
        <v>5.4260191068274928</v>
      </c>
      <c r="J78" s="3033">
        <v>0.12678144825417328</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31807.51987028302</v>
      </c>
      <c r="D82" s="3077" t="s">
        <v>1814</v>
      </c>
      <c r="E82" s="628"/>
      <c r="F82" s="628"/>
      <c r="G82" s="628"/>
      <c r="H82" s="3086">
        <f>IF(SUM(H83:H87)=0,"NO",SUM(H83:H87))</f>
        <v>2035.9560273091688</v>
      </c>
      <c r="I82" s="3086">
        <f t="shared" ref="I82:K82" si="42">IF(SUM(I83:I88)=0,"NO",SUM(I83:I88))</f>
        <v>0.112437913014927</v>
      </c>
      <c r="J82" s="3086">
        <f t="shared" si="42"/>
        <v>8.6761834927366124E-2</v>
      </c>
      <c r="K82" s="3069" t="str">
        <f t="shared" si="42"/>
        <v>NO</v>
      </c>
    </row>
    <row r="83" spans="2:11" ht="18" customHeight="1" x14ac:dyDescent="0.2">
      <c r="B83" s="282" t="s">
        <v>132</v>
      </c>
      <c r="C83" s="3033">
        <v>21669.7</v>
      </c>
      <c r="D83" s="3076" t="s">
        <v>1814</v>
      </c>
      <c r="E83" s="1913">
        <f>IFERROR(H83*1000/$C83,"NA")</f>
        <v>69.901810361933954</v>
      </c>
      <c r="F83" s="1913">
        <f t="shared" ref="F83:G88" si="43">IFERROR(I83*1000000/$C83,"NA")</f>
        <v>3.5895744499611544</v>
      </c>
      <c r="G83" s="1913">
        <f t="shared" si="43"/>
        <v>3.5785283158184304</v>
      </c>
      <c r="H83" s="3033">
        <v>1514.7512600000002</v>
      </c>
      <c r="I83" s="3033">
        <v>7.7785001458323233E-2</v>
      </c>
      <c r="J83" s="3033">
        <v>7.7545635045290648E-2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10137.81987028302</v>
      </c>
      <c r="D85" s="3076" t="s">
        <v>1814</v>
      </c>
      <c r="E85" s="1913">
        <f t="shared" si="44"/>
        <v>51.411918339265</v>
      </c>
      <c r="F85" s="1913">
        <f t="shared" si="43"/>
        <v>3.4181818181818184</v>
      </c>
      <c r="G85" s="1913">
        <f t="shared" si="43"/>
        <v>0.90909090909090906</v>
      </c>
      <c r="H85" s="3033">
        <v>521.20476730916869</v>
      </c>
      <c r="I85" s="3033">
        <v>3.4652911556603778E-2</v>
      </c>
      <c r="J85" s="3033">
        <v>9.216199882075473E-3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74638539.753040045</v>
      </c>
      <c r="G10" s="3657" t="s">
        <v>2147</v>
      </c>
      <c r="H10" s="3658">
        <f t="shared" ref="H10:H13" si="0">IF(SUM($F10)=0,"NA",K10*1000/$F10)</f>
        <v>8.3018274303248984E-3</v>
      </c>
      <c r="I10" s="3659">
        <f t="shared" ref="I10:I13" si="1">IF(SUM($F10)=0,"NA",L10*1000/$F10)</f>
        <v>1.9877032959238E-4</v>
      </c>
      <c r="J10" s="3499" t="str">
        <f>IF(SUM(J11,J25,J36,J48,J59,J70,J76)=0,"IE",SUM(J11,J25,J36,J48,J59,J70,J76))</f>
        <v>IE</v>
      </c>
      <c r="K10" s="3500">
        <f>IF(SUM(K11,K25,K36,K48,K59,K70,K76)=0,"NO",SUM(K11,K25,K36,K48,K59,K70,K76))</f>
        <v>619.63627668118329</v>
      </c>
      <c r="L10" s="3501">
        <f>IF(SUM(L11,L25,L36,L48,L59,L70,L76)=0,"NO",SUM(L11,L25,L36,L48,L59,L70,L76))</f>
        <v>14.835927147005727</v>
      </c>
    </row>
    <row r="11" spans="2:13" ht="18" customHeight="1" x14ac:dyDescent="0.2">
      <c r="B11" s="933" t="s">
        <v>1985</v>
      </c>
      <c r="C11" s="934"/>
      <c r="D11" s="2850"/>
      <c r="E11" s="2854" t="s">
        <v>2250</v>
      </c>
      <c r="F11" s="3679">
        <f>IF(SUM(F12,F19)=0,"NO",SUM(F12,F19))</f>
        <v>6315296.656865905</v>
      </c>
      <c r="G11" s="3660" t="s">
        <v>2147</v>
      </c>
      <c r="H11" s="3661">
        <f t="shared" si="0"/>
        <v>3.5460268015236059E-2</v>
      </c>
      <c r="I11" s="3662">
        <f t="shared" si="1"/>
        <v>6.033877968006342E-4</v>
      </c>
      <c r="J11" s="3502" t="str">
        <f>IF(SUM(J12,J19)=0,"IE",SUM(J12,J19))</f>
        <v>IE</v>
      </c>
      <c r="K11" s="3503">
        <f>IF(SUM(K12,K19)=0,"NO",SUM(K12,K19))</f>
        <v>223.94211204818924</v>
      </c>
      <c r="L11" s="3504">
        <f>IF(SUM(L12,L19)=0,"NO",SUM(L12,L19))</f>
        <v>3.8105729359287288</v>
      </c>
      <c r="M11" s="482"/>
    </row>
    <row r="12" spans="2:13" ht="18" customHeight="1" x14ac:dyDescent="0.2">
      <c r="B12" s="903" t="s">
        <v>1912</v>
      </c>
      <c r="C12" s="476"/>
      <c r="D12" s="298"/>
      <c r="E12" s="2852" t="s">
        <v>2250</v>
      </c>
      <c r="F12" s="3680">
        <f>IF(SUM(F13,F17)=0,"NO",SUM(F13,F17))</f>
        <v>6303737.1009058598</v>
      </c>
      <c r="G12" s="3663" t="str">
        <f>IFERROR(IF(SUM($F12)=0,"NA",J12*1000/$F12),"NA")</f>
        <v>NA</v>
      </c>
      <c r="H12" s="3664">
        <f t="shared" si="0"/>
        <v>3.5215919743818123E-2</v>
      </c>
      <c r="I12" s="3665">
        <f t="shared" si="1"/>
        <v>5.999615184835394E-4</v>
      </c>
      <c r="J12" s="3505" t="str">
        <f>IF(SUM(J13,J17)=0,"IE",SUM(J13,J17))</f>
        <v>IE</v>
      </c>
      <c r="K12" s="3506">
        <f>IF(SUM(K13,K17)=0,"NO",SUM(K13,K17))</f>
        <v>221.99189983162947</v>
      </c>
      <c r="L12" s="3507">
        <f>IF(SUM(L13,L17)=0,"NO",SUM(L13,L17))</f>
        <v>3.7819996831805041</v>
      </c>
    </row>
    <row r="13" spans="2:13" ht="18" customHeight="1" x14ac:dyDescent="0.2">
      <c r="B13" s="923" t="s">
        <v>1270</v>
      </c>
      <c r="C13" s="476"/>
      <c r="D13" s="298"/>
      <c r="E13" s="2852" t="s">
        <v>2250</v>
      </c>
      <c r="F13" s="3681">
        <f>IF(SUM(F14:F16)=0,"NO",SUM(F14:F16))</f>
        <v>5810055.6049371799</v>
      </c>
      <c r="G13" s="3666" t="str">
        <f t="shared" ref="G13:G76" si="2">IFERROR(IF(SUM($F13)=0,"NA",J13*1000/$F13),"NA")</f>
        <v>NA</v>
      </c>
      <c r="H13" s="3667">
        <f t="shared" si="0"/>
        <v>2.8749897163517685E-2</v>
      </c>
      <c r="I13" s="3668">
        <f t="shared" si="1"/>
        <v>5.6063472511517067E-4</v>
      </c>
      <c r="J13" s="3505" t="str">
        <f>IF(SUM(J14:J16)=0,"IE",SUM(J14:J16))</f>
        <v>IE</v>
      </c>
      <c r="K13" s="3505">
        <f>IF(SUM(K14:K16)=0,"NO",SUM(K14:K16))</f>
        <v>167.03850115626346</v>
      </c>
      <c r="L13" s="3508">
        <f>IF(SUM(L14:L16)=0,"NO",SUM(L14:L16))</f>
        <v>3.2573189269778124</v>
      </c>
      <c r="M13" s="482"/>
    </row>
    <row r="14" spans="2:13" ht="24" x14ac:dyDescent="0.2">
      <c r="B14" s="923"/>
      <c r="C14" s="4367" t="s">
        <v>2247</v>
      </c>
      <c r="D14" s="542" t="s">
        <v>940</v>
      </c>
      <c r="E14" s="2851" t="s">
        <v>2250</v>
      </c>
      <c r="F14" s="3654">
        <v>188344.87894060786</v>
      </c>
      <c r="G14" s="3666" t="str">
        <f t="shared" si="2"/>
        <v>NA</v>
      </c>
      <c r="H14" s="3667">
        <f>IF(SUM($F14)=0,"NA",K14*1000/$F14)</f>
        <v>0.11644736525037146</v>
      </c>
      <c r="I14" s="3668">
        <f>IF(SUM($F14)=0,"NA",L14*1000/$F14)</f>
        <v>1.2910188618279769E-3</v>
      </c>
      <c r="J14" s="3509" t="s">
        <v>2153</v>
      </c>
      <c r="K14" s="3510">
        <v>21.932264911033958</v>
      </c>
      <c r="L14" s="3511">
        <v>0.24315679124103168</v>
      </c>
      <c r="M14" s="482"/>
    </row>
    <row r="15" spans="2:13" ht="18" customHeight="1" x14ac:dyDescent="0.2">
      <c r="B15" s="923"/>
      <c r="C15" s="4367" t="s">
        <v>2248</v>
      </c>
      <c r="D15" s="542" t="s">
        <v>940</v>
      </c>
      <c r="E15" s="543" t="s">
        <v>2250</v>
      </c>
      <c r="F15" s="3655">
        <v>84489.534804319439</v>
      </c>
      <c r="G15" s="3666" t="str">
        <f t="shared" si="2"/>
        <v>NA</v>
      </c>
      <c r="H15" s="3667">
        <f t="shared" ref="H15:H77" si="3">IF(SUM($F15)=0,"NA",K15*1000/$F15)</f>
        <v>0.22891695786471369</v>
      </c>
      <c r="I15" s="3668">
        <f t="shared" ref="I15:I77" si="4">IF(SUM($F15)=0,"NA",L15*1000/$F15)</f>
        <v>4.2317843183046367E-3</v>
      </c>
      <c r="J15" s="3509" t="s">
        <v>2153</v>
      </c>
      <c r="K15" s="3510">
        <v>19.341087278809653</v>
      </c>
      <c r="L15" s="3512">
        <v>0.35754148844577283</v>
      </c>
      <c r="M15" s="482"/>
    </row>
    <row r="16" spans="2:13" ht="18" customHeight="1" x14ac:dyDescent="0.2">
      <c r="B16" s="923"/>
      <c r="C16" s="4367" t="s">
        <v>2263</v>
      </c>
      <c r="D16" s="542" t="s">
        <v>940</v>
      </c>
      <c r="E16" s="543" t="s">
        <v>2250</v>
      </c>
      <c r="F16" s="3655">
        <v>5537221.1911922526</v>
      </c>
      <c r="G16" s="3666" t="str">
        <f t="shared" si="2"/>
        <v>NA</v>
      </c>
      <c r="H16" s="3667">
        <f t="shared" si="3"/>
        <v>2.2712682882610406E-2</v>
      </c>
      <c r="I16" s="3668">
        <f t="shared" si="4"/>
        <v>4.797750632603851E-4</v>
      </c>
      <c r="J16" s="3509" t="s">
        <v>2153</v>
      </c>
      <c r="K16" s="3510">
        <v>125.76514896641987</v>
      </c>
      <c r="L16" s="3512">
        <v>2.6566206472910081</v>
      </c>
      <c r="M16" s="482"/>
    </row>
    <row r="17" spans="2:13" ht="18" customHeight="1" x14ac:dyDescent="0.2">
      <c r="B17" s="923" t="s">
        <v>1271</v>
      </c>
      <c r="C17" s="4368"/>
      <c r="D17" s="298"/>
      <c r="E17" s="5" t="s">
        <v>2250</v>
      </c>
      <c r="F17" s="3681">
        <f>F18</f>
        <v>493681.49596868001</v>
      </c>
      <c r="G17" s="3666" t="str">
        <f t="shared" si="2"/>
        <v>NA</v>
      </c>
      <c r="H17" s="3667">
        <f t="shared" si="3"/>
        <v>0.11131346652468488</v>
      </c>
      <c r="I17" s="3668">
        <f t="shared" si="4"/>
        <v>1.0627920237787851E-3</v>
      </c>
      <c r="J17" s="3505" t="str">
        <f>J18</f>
        <v>IE</v>
      </c>
      <c r="K17" s="3505">
        <f>K18</f>
        <v>54.95339867536601</v>
      </c>
      <c r="L17" s="3508">
        <f>L18</f>
        <v>0.52468075620269161</v>
      </c>
      <c r="M17" s="482"/>
    </row>
    <row r="18" spans="2:13" ht="18" customHeight="1" x14ac:dyDescent="0.2">
      <c r="B18" s="923"/>
      <c r="C18" s="4367" t="s">
        <v>2249</v>
      </c>
      <c r="D18" s="542" t="s">
        <v>940</v>
      </c>
      <c r="E18" s="543" t="s">
        <v>2250</v>
      </c>
      <c r="F18" s="3654">
        <v>493681.49596868001</v>
      </c>
      <c r="G18" s="3666" t="str">
        <f t="shared" si="2"/>
        <v>NA</v>
      </c>
      <c r="H18" s="3667">
        <f t="shared" si="3"/>
        <v>0.11131346652468488</v>
      </c>
      <c r="I18" s="3668">
        <f t="shared" si="4"/>
        <v>1.0627920237787851E-3</v>
      </c>
      <c r="J18" s="3509" t="s">
        <v>2153</v>
      </c>
      <c r="K18" s="3510">
        <v>54.95339867536601</v>
      </c>
      <c r="L18" s="3511">
        <v>0.52468075620269161</v>
      </c>
      <c r="M18" s="482"/>
    </row>
    <row r="19" spans="2:13" ht="18" customHeight="1" x14ac:dyDescent="0.2">
      <c r="B19" s="903" t="s">
        <v>1272</v>
      </c>
      <c r="C19" s="4368"/>
      <c r="D19" s="298"/>
      <c r="E19" s="5" t="s">
        <v>2250</v>
      </c>
      <c r="F19" s="3682">
        <f>IF(SUM(F20,F23)=0,"NO",SUM(F20,F23))</f>
        <v>11559.555960045229</v>
      </c>
      <c r="G19" s="3663" t="s">
        <v>2147</v>
      </c>
      <c r="H19" s="3664">
        <f t="shared" si="3"/>
        <v>0.16870995938776087</v>
      </c>
      <c r="I19" s="3665">
        <f t="shared" si="4"/>
        <v>2.4718296141292974E-3</v>
      </c>
      <c r="J19" s="3505" t="str">
        <f>IF(SUM(J20,J23)=0,"IE",SUM(J20,J23))</f>
        <v>IE</v>
      </c>
      <c r="K19" s="3506">
        <f>IF(SUM(K20,K23)=0,"NO",SUM(K20,K23))</f>
        <v>1.9502122165597795</v>
      </c>
      <c r="L19" s="3507">
        <f>IF(SUM(L20,L23)=0,"NO",SUM(L20,L23))</f>
        <v>2.8573252748224618E-2</v>
      </c>
    </row>
    <row r="20" spans="2:13" ht="18" customHeight="1" x14ac:dyDescent="0.2">
      <c r="B20" s="923" t="s">
        <v>1273</v>
      </c>
      <c r="C20" s="4368"/>
      <c r="D20" s="298"/>
      <c r="E20" s="5" t="s">
        <v>2250</v>
      </c>
      <c r="F20" s="3681">
        <f>IF(SUM(F21:F22)=0,"NO",SUM(F21:F22))</f>
        <v>9408.2531731161689</v>
      </c>
      <c r="G20" s="3666" t="str">
        <f t="shared" si="2"/>
        <v>NA</v>
      </c>
      <c r="H20" s="3667">
        <f t="shared" si="3"/>
        <v>0.11653942797135405</v>
      </c>
      <c r="I20" s="3668">
        <f t="shared" si="4"/>
        <v>2.1688163105663479E-3</v>
      </c>
      <c r="J20" s="3505" t="str">
        <f>IF(SUM(J21:J22)=0,"IE",SUM(J21:J22))</f>
        <v>IE</v>
      </c>
      <c r="K20" s="3505">
        <f>IF(SUM(K21:K22)=0,"NO",SUM(K21:K22))</f>
        <v>1.0964324430046348</v>
      </c>
      <c r="L20" s="3508">
        <f>IF(SUM(L21:L22)=0,"NO",SUM(L21:L22))</f>
        <v>2.0404772935791946E-2</v>
      </c>
      <c r="M20" s="482"/>
    </row>
    <row r="21" spans="2:13" ht="18" customHeight="1" x14ac:dyDescent="0.2">
      <c r="B21" s="923"/>
      <c r="C21" s="4367" t="s">
        <v>2248</v>
      </c>
      <c r="D21" s="542" t="s">
        <v>940</v>
      </c>
      <c r="E21" s="543" t="s">
        <v>2250</v>
      </c>
      <c r="F21" s="3654">
        <v>4395.960147014117</v>
      </c>
      <c r="G21" s="3666" t="str">
        <f t="shared" si="2"/>
        <v>NA</v>
      </c>
      <c r="H21" s="3667">
        <f t="shared" si="3"/>
        <v>0.22256579884549871</v>
      </c>
      <c r="I21" s="3668">
        <f t="shared" si="4"/>
        <v>4.1143760869910935E-3</v>
      </c>
      <c r="J21" s="3509" t="s">
        <v>2153</v>
      </c>
      <c r="K21" s="3510">
        <v>0.97839038181317284</v>
      </c>
      <c r="L21" s="3511">
        <v>1.8086633308240736E-2</v>
      </c>
      <c r="M21" s="482"/>
    </row>
    <row r="22" spans="2:13" ht="18" customHeight="1" x14ac:dyDescent="0.2">
      <c r="B22" s="923"/>
      <c r="C22" s="4367" t="s">
        <v>2263</v>
      </c>
      <c r="D22" s="542" t="s">
        <v>940</v>
      </c>
      <c r="E22" s="543" t="s">
        <v>2250</v>
      </c>
      <c r="F22" s="3655">
        <v>5012.293026102051</v>
      </c>
      <c r="G22" s="3666" t="str">
        <f t="shared" si="2"/>
        <v>NA</v>
      </c>
      <c r="H22" s="3667">
        <f t="shared" si="3"/>
        <v>2.355051082942386E-2</v>
      </c>
      <c r="I22" s="3668">
        <f t="shared" si="4"/>
        <v>4.624908431089825E-4</v>
      </c>
      <c r="J22" s="3509" t="s">
        <v>2153</v>
      </c>
      <c r="K22" s="3510">
        <v>0.11804206119146204</v>
      </c>
      <c r="L22" s="3512">
        <v>2.318139627551211E-3</v>
      </c>
      <c r="M22" s="482"/>
    </row>
    <row r="23" spans="2:13" ht="18" customHeight="1" x14ac:dyDescent="0.2">
      <c r="B23" s="923" t="s">
        <v>1274</v>
      </c>
      <c r="C23" s="4368"/>
      <c r="D23" s="298"/>
      <c r="E23" s="5" t="s">
        <v>2250</v>
      </c>
      <c r="F23" s="3681">
        <f>F24</f>
        <v>2151.3027869290599</v>
      </c>
      <c r="G23" s="3666" t="str">
        <f t="shared" si="2"/>
        <v>NA</v>
      </c>
      <c r="H23" s="3667">
        <f t="shared" si="3"/>
        <v>0.39686639125954815</v>
      </c>
      <c r="I23" s="3668">
        <f t="shared" si="4"/>
        <v>3.7969921584552991E-3</v>
      </c>
      <c r="J23" s="3505" t="str">
        <f>J24</f>
        <v>IE</v>
      </c>
      <c r="K23" s="3505">
        <f>K24</f>
        <v>0.85377977355514467</v>
      </c>
      <c r="L23" s="3508">
        <f>L24</f>
        <v>8.1684798124326725E-3</v>
      </c>
      <c r="M23" s="482"/>
    </row>
    <row r="24" spans="2:13" ht="18" customHeight="1" thickBot="1" x14ac:dyDescent="0.25">
      <c r="B24" s="938"/>
      <c r="C24" s="4369" t="s">
        <v>2251</v>
      </c>
      <c r="D24" s="939" t="s">
        <v>940</v>
      </c>
      <c r="E24" s="940" t="s">
        <v>2250</v>
      </c>
      <c r="F24" s="3656">
        <v>2151.3027869290599</v>
      </c>
      <c r="G24" s="3669" t="str">
        <f t="shared" si="2"/>
        <v>NA</v>
      </c>
      <c r="H24" s="3670">
        <f t="shared" si="3"/>
        <v>0.39686639125954815</v>
      </c>
      <c r="I24" s="3671">
        <f t="shared" si="4"/>
        <v>3.7969921584552991E-3</v>
      </c>
      <c r="J24" s="3513" t="s">
        <v>2153</v>
      </c>
      <c r="K24" s="3514">
        <v>0.85377977355514467</v>
      </c>
      <c r="L24" s="3515">
        <v>8.1684798124326725E-3</v>
      </c>
      <c r="M24" s="482"/>
    </row>
    <row r="25" spans="2:13" ht="18" customHeight="1" x14ac:dyDescent="0.2">
      <c r="B25" s="933" t="s">
        <v>1986</v>
      </c>
      <c r="C25" s="4370"/>
      <c r="D25" s="2850"/>
      <c r="E25" s="935" t="s">
        <v>2250</v>
      </c>
      <c r="F25" s="3683">
        <f>IF(SUM(F26,F31)=0,"IE",SUM(F26,F31))</f>
        <v>28780</v>
      </c>
      <c r="G25" s="3660" t="str">
        <f t="shared" si="2"/>
        <v>NA</v>
      </c>
      <c r="H25" s="3661">
        <f t="shared" si="3"/>
        <v>0.1553623905489924</v>
      </c>
      <c r="I25" s="3662">
        <f t="shared" si="4"/>
        <v>2.8720464141765113E-3</v>
      </c>
      <c r="J25" s="3502" t="str">
        <f>IF(SUM(J26,J31)=0,"IE",SUM(J26,J31))</f>
        <v>IE</v>
      </c>
      <c r="K25" s="3503">
        <f>IF(SUM(K26,K31)=0,"IE",SUM(K26,K31))</f>
        <v>4.4713296000000007</v>
      </c>
      <c r="L25" s="3504">
        <f>IF(SUM(L26,L31)=0,"IE",SUM(L26,L31))</f>
        <v>8.2657495799999994E-2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28780</v>
      </c>
      <c r="G31" s="3663" t="str">
        <f t="shared" si="2"/>
        <v>NA</v>
      </c>
      <c r="H31" s="3664">
        <f t="shared" si="3"/>
        <v>0.1553623905489924</v>
      </c>
      <c r="I31" s="3665">
        <f t="shared" si="4"/>
        <v>2.8720464141765113E-3</v>
      </c>
      <c r="J31" s="3505" t="str">
        <f>IF(SUM(J32,J34)=0,"IE",SUM(J32,J34))</f>
        <v>IE</v>
      </c>
      <c r="K31" s="3505">
        <f t="shared" ref="K31:L31" si="6">IF(SUM(K32,K34)=0,"IE",SUM(K32,K34))</f>
        <v>4.4713296000000007</v>
      </c>
      <c r="L31" s="3508">
        <f t="shared" si="6"/>
        <v>8.2657495799999994E-2</v>
      </c>
    </row>
    <row r="32" spans="2:13" ht="18" customHeight="1" x14ac:dyDescent="0.2">
      <c r="B32" s="923" t="s">
        <v>1278</v>
      </c>
      <c r="C32" s="4368"/>
      <c r="D32" s="298"/>
      <c r="E32" s="5" t="s">
        <v>2250</v>
      </c>
      <c r="F32" s="3681">
        <f>F33</f>
        <v>28780</v>
      </c>
      <c r="G32" s="3663" t="str">
        <f t="shared" si="2"/>
        <v>NA</v>
      </c>
      <c r="H32" s="3664">
        <f t="shared" si="3"/>
        <v>0.1553623905489924</v>
      </c>
      <c r="I32" s="3665">
        <f t="shared" si="4"/>
        <v>2.8720464141765113E-3</v>
      </c>
      <c r="J32" s="3505" t="str">
        <f>J33</f>
        <v>IE</v>
      </c>
      <c r="K32" s="3505">
        <f>K33</f>
        <v>4.4713296000000007</v>
      </c>
      <c r="L32" s="3508">
        <f>L33</f>
        <v>8.2657495799999994E-2</v>
      </c>
      <c r="M32" s="482"/>
    </row>
    <row r="33" spans="2:13" ht="18" customHeight="1" x14ac:dyDescent="0.2">
      <c r="B33" s="923"/>
      <c r="C33" s="4367" t="s">
        <v>2252</v>
      </c>
      <c r="D33" s="542" t="s">
        <v>940</v>
      </c>
      <c r="E33" s="543" t="s">
        <v>2250</v>
      </c>
      <c r="F33" s="3654">
        <v>28780</v>
      </c>
      <c r="G33" s="3666" t="str">
        <f t="shared" si="2"/>
        <v>NA</v>
      </c>
      <c r="H33" s="3667">
        <f t="shared" si="3"/>
        <v>0.1553623905489924</v>
      </c>
      <c r="I33" s="3668">
        <f t="shared" si="4"/>
        <v>2.8720464141765113E-3</v>
      </c>
      <c r="J33" s="3509" t="s">
        <v>2153</v>
      </c>
      <c r="K33" s="3510">
        <v>4.4713296000000007</v>
      </c>
      <c r="L33" s="3511">
        <v>8.2657495799999994E-2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67533072.95451197</v>
      </c>
      <c r="G36" s="3660" t="str">
        <f t="shared" si="2"/>
        <v>NA</v>
      </c>
      <c r="H36" s="3661">
        <f t="shared" ref="H36" si="7">IF(SUM($F36)=0,"NA",K36*1000/$F36)</f>
        <v>5.5278156611771011E-3</v>
      </c>
      <c r="I36" s="3662">
        <f t="shared" ref="I36" si="8">IF(SUM($F36)=0,"NA",L36*1000/$F36)</f>
        <v>1.5633934325375858E-4</v>
      </c>
      <c r="J36" s="3502" t="str">
        <f>IF(SUM(J37,J42)=0,"IE",SUM(J37,J42))</f>
        <v>IE</v>
      </c>
      <c r="K36" s="3503">
        <f>IF(SUM(K37,K42)=0,"NO",SUM(K37,K42))</f>
        <v>373.31037832536703</v>
      </c>
      <c r="L36" s="3504">
        <f>IF(SUM(L37,L42)=0,"NO",SUM(L37,L42))</f>
        <v>10.558076273616567</v>
      </c>
      <c r="M36" s="482"/>
    </row>
    <row r="37" spans="2:13" ht="18" customHeight="1" x14ac:dyDescent="0.2">
      <c r="B37" s="903" t="s">
        <v>1876</v>
      </c>
      <c r="C37" s="4368"/>
      <c r="D37" s="298"/>
      <c r="E37" s="5" t="s">
        <v>2250</v>
      </c>
      <c r="F37" s="3680">
        <f>IF(SUM(F38,F40)=0,"NO",SUM(F38,F40))</f>
        <v>66795623.083713099</v>
      </c>
      <c r="G37" s="3666" t="str">
        <f t="shared" si="2"/>
        <v>NA</v>
      </c>
      <c r="H37" s="3664">
        <f t="shared" si="3"/>
        <v>4.0672365788441229E-3</v>
      </c>
      <c r="I37" s="3665">
        <f t="shared" si="4"/>
        <v>1.2985928687898846E-4</v>
      </c>
      <c r="J37" s="3505" t="str">
        <f>IF(SUM(J38,J40)=0,"IE",SUM(J38,J40))</f>
        <v>IE</v>
      </c>
      <c r="K37" s="3506">
        <f>IF(SUM(K38,K40)=0,"NO",SUM(K38,K40))</f>
        <v>271.67360151276279</v>
      </c>
      <c r="L37" s="3507">
        <f>IF(SUM(L38,L40)=0,"NO",SUM(L38,L40))</f>
        <v>8.6740319802886834</v>
      </c>
    </row>
    <row r="38" spans="2:13" ht="18" customHeight="1" x14ac:dyDescent="0.2">
      <c r="B38" s="923" t="s">
        <v>1280</v>
      </c>
      <c r="C38" s="4368"/>
      <c r="D38" s="298"/>
      <c r="E38" s="5" t="s">
        <v>2250</v>
      </c>
      <c r="F38" s="3681">
        <f>F39</f>
        <v>66795623.083713099</v>
      </c>
      <c r="G38" s="3666" t="str">
        <f t="shared" si="2"/>
        <v>NA</v>
      </c>
      <c r="H38" s="3667">
        <f t="shared" si="3"/>
        <v>4.0672365788441229E-3</v>
      </c>
      <c r="I38" s="3668">
        <f t="shared" si="4"/>
        <v>1.2985928687898846E-4</v>
      </c>
      <c r="J38" s="3505" t="str">
        <f>J39</f>
        <v>IE</v>
      </c>
      <c r="K38" s="3505">
        <f>K39</f>
        <v>271.67360151276279</v>
      </c>
      <c r="L38" s="3508">
        <f>L39</f>
        <v>8.6740319802886834</v>
      </c>
      <c r="M38" s="482"/>
    </row>
    <row r="39" spans="2:13" ht="18" customHeight="1" x14ac:dyDescent="0.2">
      <c r="B39" s="923"/>
      <c r="C39" s="4367" t="s">
        <v>2263</v>
      </c>
      <c r="D39" s="542" t="s">
        <v>940</v>
      </c>
      <c r="E39" s="543" t="s">
        <v>2250</v>
      </c>
      <c r="F39" s="3655">
        <v>66795623.083713099</v>
      </c>
      <c r="G39" s="3666" t="str">
        <f t="shared" si="2"/>
        <v>NA</v>
      </c>
      <c r="H39" s="3667">
        <f t="shared" ref="H39:H40" si="9">IF(SUM($F39)=0,"NA",K39*1000/$F39)</f>
        <v>4.0672365788441229E-3</v>
      </c>
      <c r="I39" s="3668">
        <f t="shared" ref="I39:I40" si="10">IF(SUM($F39)=0,"NA",L39*1000/$F39)</f>
        <v>1.2985928687898846E-4</v>
      </c>
      <c r="J39" s="3509" t="s">
        <v>2153</v>
      </c>
      <c r="K39" s="3510">
        <v>271.67360151276279</v>
      </c>
      <c r="L39" s="3512">
        <v>8.6740319802886834</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737449.87079886755</v>
      </c>
      <c r="G42" s="3663" t="str">
        <f t="shared" si="2"/>
        <v>NA</v>
      </c>
      <c r="H42" s="3664">
        <f t="shared" si="11"/>
        <v>0.13782194673449841</v>
      </c>
      <c r="I42" s="3665">
        <f t="shared" si="12"/>
        <v>2.5548099849647121E-3</v>
      </c>
      <c r="J42" s="3505" t="str">
        <f>IF(SUM(J43,J46)=0,"IE",SUM(J43,J46))</f>
        <v>IE</v>
      </c>
      <c r="K42" s="3506">
        <f>IF(SUM(K43,K46)=0,"NO",SUM(K43,K46))</f>
        <v>101.63677681260425</v>
      </c>
      <c r="L42" s="3507">
        <f>IF(SUM(L43,L46)=0,"NO",SUM(L43,L46))</f>
        <v>1.8840442933278836</v>
      </c>
    </row>
    <row r="43" spans="2:13" ht="18" customHeight="1" x14ac:dyDescent="0.2">
      <c r="B43" s="923" t="s">
        <v>1283</v>
      </c>
      <c r="C43" s="4368"/>
      <c r="D43" s="298"/>
      <c r="E43" s="5" t="s">
        <v>2250</v>
      </c>
      <c r="F43" s="3681">
        <f>IF(SUM(F44:F45)=0,"NO",SUM(F44:F45))</f>
        <v>737449.87079886755</v>
      </c>
      <c r="G43" s="3666" t="str">
        <f t="shared" si="2"/>
        <v>NA</v>
      </c>
      <c r="H43" s="3667">
        <f t="shared" ref="H43" si="13">IF(SUM($F43)=0,"NA",K43*1000/$F43)</f>
        <v>0.13782194673449841</v>
      </c>
      <c r="I43" s="3668">
        <f t="shared" ref="I43" si="14">IF(SUM($F43)=0,"NA",L43*1000/$F43)</f>
        <v>2.5548099849647121E-3</v>
      </c>
      <c r="J43" s="3505" t="str">
        <f>IF(SUM(J44:J45)=0,"IE",SUM(J44:J45))</f>
        <v>IE</v>
      </c>
      <c r="K43" s="3505">
        <f>IF(SUM(K44:K45)=0,"NO",SUM(K44:K45))</f>
        <v>101.63677681260425</v>
      </c>
      <c r="L43" s="3508">
        <f>IF(SUM(L44:L45)=0,"NO",SUM(L44:L45))</f>
        <v>1.8840442933278836</v>
      </c>
      <c r="M43" s="482"/>
    </row>
    <row r="44" spans="2:13" ht="18" customHeight="1" x14ac:dyDescent="0.2">
      <c r="B44" s="923"/>
      <c r="C44" s="4367" t="s">
        <v>2252</v>
      </c>
      <c r="D44" s="542" t="s">
        <v>940</v>
      </c>
      <c r="E44" s="543" t="s">
        <v>2250</v>
      </c>
      <c r="F44" s="3655">
        <v>670349.20026969176</v>
      </c>
      <c r="G44" s="3666" t="str">
        <f t="shared" si="2"/>
        <v>NA</v>
      </c>
      <c r="H44" s="3667">
        <f t="shared" ref="H44:H46" si="15">IF(SUM($F44)=0,"NA",K44*1000/$F44)</f>
        <v>0.15023578684074734</v>
      </c>
      <c r="I44" s="3668">
        <f t="shared" ref="I44:I46" si="16">IF(SUM($F44)=0,"NA",L44*1000/$F44)</f>
        <v>2.7772754484032586E-3</v>
      </c>
      <c r="J44" s="3509" t="s">
        <v>2153</v>
      </c>
      <c r="K44" s="3510">
        <v>100.71043956058286</v>
      </c>
      <c r="L44" s="3512">
        <v>1.8617443757657741</v>
      </c>
      <c r="M44" s="482"/>
    </row>
    <row r="45" spans="2:13" ht="18" customHeight="1" x14ac:dyDescent="0.2">
      <c r="B45" s="923"/>
      <c r="C45" s="4367" t="s">
        <v>2263</v>
      </c>
      <c r="D45" s="542" t="s">
        <v>940</v>
      </c>
      <c r="E45" s="543" t="s">
        <v>2250</v>
      </c>
      <c r="F45" s="3655">
        <v>67100.670529175826</v>
      </c>
      <c r="G45" s="3666" t="str">
        <f t="shared" si="2"/>
        <v>NA</v>
      </c>
      <c r="H45" s="3667">
        <f t="shared" si="15"/>
        <v>1.3805186218200706E-2</v>
      </c>
      <c r="I45" s="3668">
        <f t="shared" si="16"/>
        <v>3.3233524175311043E-4</v>
      </c>
      <c r="J45" s="3509" t="s">
        <v>2153</v>
      </c>
      <c r="K45" s="3510">
        <v>0.92633725202140438</v>
      </c>
      <c r="L45" s="3512">
        <v>2.2299917562109459E-2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746177.14166216936</v>
      </c>
      <c r="G48" s="3660" t="str">
        <f t="shared" si="2"/>
        <v>NA</v>
      </c>
      <c r="H48" s="3661">
        <f t="shared" si="17"/>
        <v>2.0124724638677947E-2</v>
      </c>
      <c r="I48" s="3662">
        <f t="shared" si="18"/>
        <v>4.4371164710688816E-4</v>
      </c>
      <c r="J48" s="3502" t="str">
        <f>IF(SUM(J49,J54)=0,"IE",SUM(J49,J54))</f>
        <v>IE</v>
      </c>
      <c r="K48" s="3503">
        <f>IF(SUM(K49,K54)=0,"NO",SUM(K49,K54))</f>
        <v>15.016609507626946</v>
      </c>
      <c r="L48" s="3504">
        <f>IF(SUM(L49,L54)=0,"NO",SUM(L49,L54))</f>
        <v>0.33108748856043096</v>
      </c>
      <c r="M48" s="482"/>
    </row>
    <row r="49" spans="2:13" ht="18" customHeight="1" x14ac:dyDescent="0.2">
      <c r="B49" s="903" t="s">
        <v>1285</v>
      </c>
      <c r="C49" s="4368"/>
      <c r="D49" s="298"/>
      <c r="E49" s="5" t="s">
        <v>2250</v>
      </c>
      <c r="F49" s="3680">
        <f>IF(SUM(F50,F52)=0,"NO",SUM(F50,F52))</f>
        <v>746177.14166216936</v>
      </c>
      <c r="G49" s="3663" t="str">
        <f t="shared" si="2"/>
        <v>NA</v>
      </c>
      <c r="H49" s="3664">
        <f t="shared" si="17"/>
        <v>2.0124724638677947E-2</v>
      </c>
      <c r="I49" s="3665">
        <f t="shared" si="18"/>
        <v>4.4371164710688816E-4</v>
      </c>
      <c r="J49" s="3505" t="str">
        <f>IF(SUM(J50,J52)=0,"IE",SUM(J50,J52))</f>
        <v>IE</v>
      </c>
      <c r="K49" s="3506">
        <f>IF(SUM(K50,K52)=0,"NO",SUM(K50,K52))</f>
        <v>15.016609507626946</v>
      </c>
      <c r="L49" s="3507">
        <f>IF(SUM(L50,L52)=0,"NO",SUM(L50,L52))</f>
        <v>0.33108748856043096</v>
      </c>
    </row>
    <row r="50" spans="2:13" ht="18" customHeight="1" x14ac:dyDescent="0.2">
      <c r="B50" s="923" t="s">
        <v>1286</v>
      </c>
      <c r="C50" s="4368"/>
      <c r="D50" s="298"/>
      <c r="E50" s="5" t="s">
        <v>2250</v>
      </c>
      <c r="F50" s="3681">
        <f>F51</f>
        <v>746177.14166216936</v>
      </c>
      <c r="G50" s="3666" t="str">
        <f t="shared" si="2"/>
        <v>NA</v>
      </c>
      <c r="H50" s="3667">
        <f t="shared" si="17"/>
        <v>2.0124724638677947E-2</v>
      </c>
      <c r="I50" s="3668">
        <f t="shared" si="18"/>
        <v>4.4371164710688816E-4</v>
      </c>
      <c r="J50" s="3505" t="str">
        <f>J51</f>
        <v>IE</v>
      </c>
      <c r="K50" s="3505">
        <f>K51</f>
        <v>15.016609507626946</v>
      </c>
      <c r="L50" s="3508">
        <f>L51</f>
        <v>0.33108748856043096</v>
      </c>
      <c r="M50" s="482"/>
    </row>
    <row r="51" spans="2:13" ht="18" customHeight="1" x14ac:dyDescent="0.2">
      <c r="B51" s="923"/>
      <c r="C51" s="4367" t="s">
        <v>2263</v>
      </c>
      <c r="D51" s="542" t="s">
        <v>940</v>
      </c>
      <c r="E51" s="543" t="s">
        <v>2250</v>
      </c>
      <c r="F51" s="3655">
        <v>746177.14166216936</v>
      </c>
      <c r="G51" s="3666" t="str">
        <f t="shared" si="2"/>
        <v>NA</v>
      </c>
      <c r="H51" s="3667">
        <f t="shared" si="17"/>
        <v>2.0124724638677947E-2</v>
      </c>
      <c r="I51" s="3668">
        <f t="shared" si="18"/>
        <v>4.4371164710688816E-4</v>
      </c>
      <c r="J51" s="3509" t="s">
        <v>2153</v>
      </c>
      <c r="K51" s="3510">
        <v>15.016609507626946</v>
      </c>
      <c r="L51" s="3512">
        <v>0.33108748856043096</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15213</v>
      </c>
      <c r="G59" s="3660" t="str">
        <f t="shared" si="2"/>
        <v>NA</v>
      </c>
      <c r="H59" s="3661">
        <f t="shared" si="3"/>
        <v>0.19035346085584701</v>
      </c>
      <c r="I59" s="3662">
        <f t="shared" si="4"/>
        <v>3.5188952277657266E-3</v>
      </c>
      <c r="J59" s="3502" t="str">
        <f>IF(SUM(J60,J65)=0,"IE",SUM(J60,J65))</f>
        <v>IE</v>
      </c>
      <c r="K59" s="3503">
        <f>IF(SUM(K60,K65)=0,"NO",SUM(K60,K65))</f>
        <v>2.8958472000000004</v>
      </c>
      <c r="L59" s="3504">
        <f>IF(SUM(L60,L65)=0,"NO",SUM(L60,L65))</f>
        <v>5.3532953100000003E-2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15213</v>
      </c>
      <c r="G65" s="3663" t="str">
        <f t="shared" si="2"/>
        <v>NA</v>
      </c>
      <c r="H65" s="3664">
        <f t="shared" si="3"/>
        <v>0.19035346085584701</v>
      </c>
      <c r="I65" s="3665">
        <f t="shared" si="4"/>
        <v>3.5188952277657266E-3</v>
      </c>
      <c r="J65" s="3505" t="str">
        <f>IF(SUM(J66,J68)=0,"IE",SUM(J66,J68))</f>
        <v>IE</v>
      </c>
      <c r="K65" s="3506">
        <f>IF(SUM(K66,K68)=0,"NO",SUM(K66,K68))</f>
        <v>2.8958472000000004</v>
      </c>
      <c r="L65" s="3507">
        <f>IF(SUM(L66,L68)=0,"NO",SUM(L66,L68))</f>
        <v>5.3532953100000003E-2</v>
      </c>
    </row>
    <row r="66" spans="2:13" ht="18" customHeight="1" x14ac:dyDescent="0.2">
      <c r="B66" s="923" t="s">
        <v>1294</v>
      </c>
      <c r="C66" s="4368"/>
      <c r="D66" s="298"/>
      <c r="E66" s="5" t="s">
        <v>2250</v>
      </c>
      <c r="F66" s="3681">
        <f>F67</f>
        <v>15213</v>
      </c>
      <c r="G66" s="3666" t="str">
        <f t="shared" si="2"/>
        <v>NA</v>
      </c>
      <c r="H66" s="3667">
        <f t="shared" si="3"/>
        <v>0.19035346085584701</v>
      </c>
      <c r="I66" s="3668">
        <f t="shared" si="4"/>
        <v>3.5188952277657266E-3</v>
      </c>
      <c r="J66" s="3505" t="str">
        <f>J67</f>
        <v>IE</v>
      </c>
      <c r="K66" s="3505">
        <f>K67</f>
        <v>2.8958472000000004</v>
      </c>
      <c r="L66" s="3508">
        <f>L67</f>
        <v>5.3532953100000003E-2</v>
      </c>
      <c r="M66" s="482"/>
    </row>
    <row r="67" spans="2:13" ht="18" customHeight="1" x14ac:dyDescent="0.2">
      <c r="B67" s="923"/>
      <c r="C67" s="4367" t="s">
        <v>2252</v>
      </c>
      <c r="D67" s="542" t="s">
        <v>940</v>
      </c>
      <c r="E67" s="543" t="s">
        <v>2250</v>
      </c>
      <c r="F67" s="3655">
        <v>15213</v>
      </c>
      <c r="G67" s="3666" t="str">
        <f t="shared" si="2"/>
        <v>NA</v>
      </c>
      <c r="H67" s="3667">
        <f t="shared" ref="H67:H68" si="23">IF(SUM($F67)=0,"NA",K67*1000/$F67)</f>
        <v>0.19035346085584701</v>
      </c>
      <c r="I67" s="3668">
        <f t="shared" ref="I67:I68" si="24">IF(SUM($F67)=0,"NA",L67*1000/$F67)</f>
        <v>3.5188952277657266E-3</v>
      </c>
      <c r="J67" s="3509" t="s">
        <v>2153</v>
      </c>
      <c r="K67" s="3510">
        <v>2.8958472000000004</v>
      </c>
      <c r="L67" s="3512">
        <v>5.3532953100000003E-2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4756.4125868500469</v>
      </c>
      <c r="D10" s="3521">
        <f>IF(SUM(D11,D16:D17)=0,"NO",SUM(D11,D16:D17))</f>
        <v>-2977.3388418024738</v>
      </c>
      <c r="E10" s="3522"/>
      <c r="F10" s="3523">
        <f>IF(SUM(F11,F16:F17)=0,"NO",SUM(F11,F16:F17))</f>
        <v>1779.0737450475726</v>
      </c>
      <c r="G10" s="3524">
        <f>IF(SUM(G11,G16:G17)=0,"NO",SUM(G11,G16:G17))</f>
        <v>-6523.270398507766</v>
      </c>
      <c r="H10" s="226"/>
      <c r="I10" s="2"/>
      <c r="J10" s="2"/>
    </row>
    <row r="11" spans="1:10" ht="18" customHeight="1" x14ac:dyDescent="0.2">
      <c r="B11" s="606" t="s">
        <v>1314</v>
      </c>
      <c r="C11" s="3525">
        <f>IF(SUM(C13:C15)=0,"NO",SUM(C13:C15))</f>
        <v>1628.5311332149918</v>
      </c>
      <c r="D11" s="3526">
        <f>IF(SUM(D13:D15)=0,"NO",SUM(D13:D15))</f>
        <v>-632.44087193512075</v>
      </c>
      <c r="E11" s="3527"/>
      <c r="F11" s="3528">
        <f>IF(SUM(F13:F15)=0,"NO",SUM(F13:F15))</f>
        <v>996.0902612798709</v>
      </c>
      <c r="G11" s="3529">
        <f>IF(SUM(G13:G15)=0,"NO",SUM(G13:G15))</f>
        <v>-3652.330958026193</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1169.4957691052268</v>
      </c>
      <c r="D13" s="3534">
        <f>F13-C13</f>
        <v>-393.51052213447929</v>
      </c>
      <c r="E13" s="3535" t="s">
        <v>2147</v>
      </c>
      <c r="F13" s="3536">
        <f>G13/(-44/12)</f>
        <v>775.98524697074754</v>
      </c>
      <c r="G13" s="3537">
        <v>-2845.279238892741</v>
      </c>
      <c r="H13" s="226"/>
      <c r="I13" s="2"/>
      <c r="J13" s="2"/>
    </row>
    <row r="14" spans="1:10" ht="18" customHeight="1" x14ac:dyDescent="0.2">
      <c r="B14" s="1193" t="s">
        <v>1316</v>
      </c>
      <c r="C14" s="3538">
        <v>459.03536410976483</v>
      </c>
      <c r="D14" s="3539">
        <f>F14-C14</f>
        <v>-238.93034980064147</v>
      </c>
      <c r="E14" s="3235" t="s">
        <v>2147</v>
      </c>
      <c r="F14" s="3540">
        <f>G14/(-44/12)</f>
        <v>220.10501430912336</v>
      </c>
      <c r="G14" s="3537">
        <v>-807.05171913345225</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1790.2008680000004</v>
      </c>
      <c r="D16" s="3539">
        <f>F16-C16</f>
        <v>-1820.414145776592</v>
      </c>
      <c r="E16" s="3235" t="s">
        <v>2147</v>
      </c>
      <c r="F16" s="3540">
        <f>G16/(-44/12)</f>
        <v>-30.213277776591667</v>
      </c>
      <c r="G16" s="3537">
        <v>110.78201851416944</v>
      </c>
      <c r="H16" s="226"/>
      <c r="I16" s="2"/>
      <c r="J16" s="2"/>
    </row>
    <row r="17" spans="2:10" ht="18" customHeight="1" x14ac:dyDescent="0.2">
      <c r="B17" s="1197" t="s">
        <v>1320</v>
      </c>
      <c r="C17" s="3542">
        <f>C18</f>
        <v>1337.6805856350543</v>
      </c>
      <c r="D17" s="3543">
        <f t="shared" ref="D17:F17" si="0">D18</f>
        <v>-524.483824090761</v>
      </c>
      <c r="E17" s="3544"/>
      <c r="F17" s="3226">
        <f t="shared" si="0"/>
        <v>813.19676154429328</v>
      </c>
      <c r="G17" s="3537">
        <f>-F17*44/12</f>
        <v>-2981.7214589957421</v>
      </c>
      <c r="H17" s="226"/>
      <c r="I17" s="2"/>
      <c r="J17" s="2"/>
    </row>
    <row r="18" spans="2:10" ht="18" customHeight="1" thickBot="1" x14ac:dyDescent="0.25">
      <c r="B18" s="561" t="s">
        <v>2254</v>
      </c>
      <c r="C18" s="3545">
        <v>1337.6805856350543</v>
      </c>
      <c r="D18" s="3546">
        <f>F18-C18</f>
        <v>-524.483824090761</v>
      </c>
      <c r="E18" s="3238" t="s">
        <v>2147</v>
      </c>
      <c r="F18" s="3547">
        <f>G18/(-44/12)</f>
        <v>813.19676154429328</v>
      </c>
      <c r="G18" s="3548">
        <v>-2981.7214589957421</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28.362785964459299</v>
      </c>
      <c r="D10" s="4371">
        <f t="shared" ref="D10:I10" si="0">IF(SUM(D11,D15,D18,D21)=0,"NO",SUM(D11,D15,D18,D21))</f>
        <v>665.95738025463345</v>
      </c>
      <c r="E10" s="4371">
        <f t="shared" si="0"/>
        <v>0.81989781190778277</v>
      </c>
      <c r="F10" s="4371" t="str">
        <f t="shared" si="0"/>
        <v>NO</v>
      </c>
      <c r="G10" s="4371" t="str">
        <f t="shared" si="0"/>
        <v>NO</v>
      </c>
      <c r="H10" s="4371">
        <f t="shared" si="0"/>
        <v>402.66647723248758</v>
      </c>
      <c r="I10" s="4372" t="str">
        <f t="shared" si="0"/>
        <v>NO</v>
      </c>
      <c r="J10" s="4373">
        <f>IF(SUM(C10:E10)=0,"NO",SUM(C10,IFERROR(28*D10,0),IFERROR(265*E10,0)))</f>
        <v>18892.442353249757</v>
      </c>
    </row>
    <row r="11" spans="1:10" ht="18" customHeight="1" x14ac:dyDescent="0.2">
      <c r="B11" s="1504" t="s">
        <v>1371</v>
      </c>
      <c r="C11" s="4374"/>
      <c r="D11" s="2883">
        <f>IF(SUM(D12:D14)=0,"NO",SUM(D12:D14))</f>
        <v>492.86919520000004</v>
      </c>
      <c r="E11" s="4374"/>
      <c r="F11" s="2883" t="str">
        <f>IF(SUM(F12:F14)=0,"NO",SUM(F12:F14))</f>
        <v>NO</v>
      </c>
      <c r="G11" s="2883" t="str">
        <f t="shared" ref="G11:H11" si="1">IF(SUM(G12:G14)=0,"NO",SUM(G12:G14))</f>
        <v>NO</v>
      </c>
      <c r="H11" s="2883">
        <f t="shared" si="1"/>
        <v>2.7715643093637943</v>
      </c>
      <c r="I11" s="2153"/>
      <c r="J11" s="2872">
        <f t="shared" ref="J11:J18" si="2">IF(SUM(C11:E11)=0,"NO",SUM(C11,IFERROR(28*D11,0),IFERROR(265*E11,0)))</f>
        <v>13800.337465600001</v>
      </c>
    </row>
    <row r="12" spans="1:10" ht="18" customHeight="1" x14ac:dyDescent="0.2">
      <c r="B12" s="1270" t="s">
        <v>1372</v>
      </c>
      <c r="C12" s="4375"/>
      <c r="D12" s="4376">
        <f>IF(SUM(Table5.A!F10:H10)=0,"NO",SUM(Table5.A!F10))</f>
        <v>492.86919520000004</v>
      </c>
      <c r="E12" s="4375"/>
      <c r="F12" s="4377" t="s">
        <v>2147</v>
      </c>
      <c r="G12" s="4377" t="s">
        <v>2147</v>
      </c>
      <c r="H12" s="4377">
        <v>2.7715643093637943</v>
      </c>
      <c r="I12" s="4378"/>
      <c r="J12" s="4379">
        <f t="shared" si="2"/>
        <v>13800.337465600001</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1.8114456534639976</v>
      </c>
      <c r="E15" s="2881">
        <f t="shared" ref="E15" si="3">IF(SUM(E16:E17)=0,"NO",SUM(E16:E17))</f>
        <v>0.23186504364339167</v>
      </c>
      <c r="F15" s="2881" t="s">
        <v>2256</v>
      </c>
      <c r="G15" s="2881" t="s">
        <v>2256</v>
      </c>
      <c r="H15" s="2881" t="s">
        <v>2256</v>
      </c>
      <c r="I15" s="4386"/>
      <c r="J15" s="2873">
        <f t="shared" si="2"/>
        <v>112.16471486249071</v>
      </c>
    </row>
    <row r="16" spans="1:10" ht="18" customHeight="1" x14ac:dyDescent="0.2">
      <c r="B16" s="1883" t="s">
        <v>1376</v>
      </c>
      <c r="C16" s="4387"/>
      <c r="D16" s="4376">
        <f>Table5.B!F10</f>
        <v>1.8114456534639976</v>
      </c>
      <c r="E16" s="4376">
        <f>Table5.B!G10</f>
        <v>0.23186504364339167</v>
      </c>
      <c r="F16" s="4388" t="s">
        <v>2147</v>
      </c>
      <c r="G16" s="4388" t="s">
        <v>2147</v>
      </c>
      <c r="H16" s="4388" t="s">
        <v>2147</v>
      </c>
      <c r="I16" s="4378"/>
      <c r="J16" s="4379">
        <f t="shared" si="2"/>
        <v>112.16471486249071</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28.362785964459299</v>
      </c>
      <c r="D18" s="2871" t="str">
        <f>IF(SUM(D19:D20)=0,"NO,NE",SUM(D19:D20))</f>
        <v>NO,NE</v>
      </c>
      <c r="E18" s="2871" t="str">
        <f>IF(SUM(E19:E20)=0,"NO,NE",SUM(E19:E20))</f>
        <v>NO,NE</v>
      </c>
      <c r="F18" s="2871" t="s">
        <v>2147</v>
      </c>
      <c r="G18" s="2871" t="s">
        <v>2147</v>
      </c>
      <c r="H18" s="2871" t="s">
        <v>2147</v>
      </c>
      <c r="I18" s="2871" t="s">
        <v>2147</v>
      </c>
      <c r="J18" s="2874">
        <f t="shared" si="2"/>
        <v>28.362785964459299</v>
      </c>
    </row>
    <row r="19" spans="2:12" ht="18" customHeight="1" x14ac:dyDescent="0.2">
      <c r="B19" s="1270" t="s">
        <v>1379</v>
      </c>
      <c r="C19" s="4376">
        <f>Table5.C!G10</f>
        <v>28.362785964459299</v>
      </c>
      <c r="D19" s="4376" t="str">
        <f>Table5.C!H10</f>
        <v>NO,NE</v>
      </c>
      <c r="E19" s="4376" t="str">
        <f>Table5.C!I10</f>
        <v>NO,NE</v>
      </c>
      <c r="F19" s="4391" t="s">
        <v>2147</v>
      </c>
      <c r="G19" s="4391" t="s">
        <v>2147</v>
      </c>
      <c r="H19" s="4391" t="s">
        <v>2147</v>
      </c>
      <c r="I19" s="4391" t="s">
        <v>2147</v>
      </c>
      <c r="J19" s="4379">
        <f>IF(SUM(C19:E19)=0,"NO",SUM(C19,IFERROR(28*D19,0),IFERROR(265*E19,0)))</f>
        <v>28.362785964459299</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171.27673940116944</v>
      </c>
      <c r="E21" s="2871">
        <f t="shared" ref="E21:H21" si="5">IF(SUM(E22:E24)=0,"NO",SUM(E22:E24))</f>
        <v>0.5880327682643911</v>
      </c>
      <c r="F21" s="2871" t="str">
        <f t="shared" si="5"/>
        <v>NO</v>
      </c>
      <c r="G21" s="2871" t="str">
        <f t="shared" si="5"/>
        <v>NO</v>
      </c>
      <c r="H21" s="2871">
        <f t="shared" si="5"/>
        <v>399.8949129231238</v>
      </c>
      <c r="I21" s="4393"/>
      <c r="J21" s="2874">
        <f t="shared" si="4"/>
        <v>4951.577386822808</v>
      </c>
    </row>
    <row r="22" spans="2:12" ht="18" customHeight="1" x14ac:dyDescent="0.2">
      <c r="B22" s="1270" t="s">
        <v>1382</v>
      </c>
      <c r="C22" s="4394"/>
      <c r="D22" s="4376">
        <f>IF(SUM(Table5.D!H10)=0,"NO",SUM(Table5.D!H10))</f>
        <v>55.794647751428499</v>
      </c>
      <c r="E22" s="4376">
        <f>IF(SUM(Table5.D!I10:J10)=0,"NO",SUM(Table5.D!I10:J10))</f>
        <v>0.5880327682643911</v>
      </c>
      <c r="F22" s="4377" t="s">
        <v>2147</v>
      </c>
      <c r="G22" s="4377" t="s">
        <v>2147</v>
      </c>
      <c r="H22" s="4377">
        <v>6.3629869103342456</v>
      </c>
      <c r="I22" s="4378"/>
      <c r="J22" s="4379">
        <f t="shared" si="4"/>
        <v>1718.0788206300617</v>
      </c>
    </row>
    <row r="23" spans="2:12" ht="18" customHeight="1" x14ac:dyDescent="0.2">
      <c r="B23" s="1270" t="s">
        <v>1383</v>
      </c>
      <c r="C23" s="4394"/>
      <c r="D23" s="4376">
        <f>IF(SUM(Table5.D!H11)=0,"NO",SUM(Table5.D!H11))</f>
        <v>115.48209164974095</v>
      </c>
      <c r="E23" s="4376" t="str">
        <f>IF(SUM(Table5.D!I11:J11)=0,"IE",SUM(Table5.D!I11:J11))</f>
        <v>IE</v>
      </c>
      <c r="F23" s="4377" t="s">
        <v>2147</v>
      </c>
      <c r="G23" s="4377" t="s">
        <v>2147</v>
      </c>
      <c r="H23" s="4377">
        <v>393.53192601278954</v>
      </c>
      <c r="I23" s="4378"/>
      <c r="J23" s="4379">
        <f t="shared" si="4"/>
        <v>3233.4985661927467</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-234968.98821381226</v>
      </c>
      <c r="D28" s="4404"/>
      <c r="E28" s="4404"/>
      <c r="F28" s="4404"/>
      <c r="G28" s="4404"/>
      <c r="H28" s="4404"/>
      <c r="I28" s="4405"/>
      <c r="J28" s="4406"/>
      <c r="K28"/>
      <c r="L28"/>
    </row>
    <row r="29" spans="2:12" ht="18" customHeight="1" x14ac:dyDescent="0.2">
      <c r="B29" s="2487" t="s">
        <v>2081</v>
      </c>
      <c r="C29" s="4407">
        <v>-5258.5292987197727</v>
      </c>
      <c r="D29" s="4408"/>
      <c r="E29" s="4408"/>
      <c r="F29" s="4408"/>
      <c r="G29" s="4408"/>
      <c r="H29" s="4408"/>
      <c r="I29" s="4406"/>
      <c r="J29" s="4406"/>
      <c r="K29"/>
      <c r="L29"/>
    </row>
    <row r="30" spans="2:12" ht="29.25" customHeight="1" thickBot="1" x14ac:dyDescent="0.25">
      <c r="B30" s="2488" t="s">
        <v>2082</v>
      </c>
      <c r="C30" s="4409">
        <v>-2981.7214589957421</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19173.291297733878</v>
      </c>
      <c r="D10" s="3752"/>
      <c r="E10" s="3751">
        <f>IF(SUM(C10)=0,"NA",(F10-SUM(G10:H10))/C10)</f>
        <v>3.2524368691655162E-2</v>
      </c>
      <c r="F10" s="3753">
        <f>F11</f>
        <v>492.86919520000004</v>
      </c>
      <c r="G10" s="3753" t="str">
        <f>G11</f>
        <v>IE</v>
      </c>
      <c r="H10" s="3754">
        <f>H11</f>
        <v>-130.72999999999999</v>
      </c>
      <c r="I10" s="44"/>
    </row>
    <row r="11" spans="1:13" ht="18" customHeight="1" x14ac:dyDescent="0.2">
      <c r="B11" s="1750" t="s">
        <v>1395</v>
      </c>
      <c r="C11" s="3755">
        <f>IF(SUM(C13:C16)=0,"NO",SUM(C13:C16))</f>
        <v>19173.291297733878</v>
      </c>
      <c r="D11" s="3755">
        <v>1</v>
      </c>
      <c r="E11" s="3755">
        <f>IF(SUM(C11)=0,"NA",(F11-SUM(G11:H11))/C11)</f>
        <v>3.2524368691655162E-2</v>
      </c>
      <c r="F11" s="3755">
        <f>IF(SUM(F13:F16)=0,"NO",SUM(F13:F16))</f>
        <v>492.86919520000004</v>
      </c>
      <c r="G11" s="3756" t="s">
        <v>2153</v>
      </c>
      <c r="H11" s="3757">
        <v>-130.72999999999999</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10981.883460738376</v>
      </c>
      <c r="D13" s="3762">
        <v>1</v>
      </c>
      <c r="E13" s="3755" t="s">
        <v>2153</v>
      </c>
      <c r="F13" s="3762">
        <v>17.928679899999999</v>
      </c>
      <c r="G13" s="3763"/>
      <c r="H13" s="3764"/>
      <c r="I13" s="44"/>
    </row>
    <row r="14" spans="1:13" ht="18" customHeight="1" x14ac:dyDescent="0.2">
      <c r="B14" s="1751" t="s">
        <v>1398</v>
      </c>
      <c r="C14" s="3762">
        <v>3059.2418683349806</v>
      </c>
      <c r="D14" s="3762">
        <v>1</v>
      </c>
      <c r="E14" s="3755" t="s">
        <v>2153</v>
      </c>
      <c r="F14" s="3762">
        <v>210.15647039999999</v>
      </c>
      <c r="G14" s="3763"/>
      <c r="H14" s="3764"/>
      <c r="I14" s="44"/>
    </row>
    <row r="15" spans="1:13" ht="18" customHeight="1" x14ac:dyDescent="0.2">
      <c r="B15" s="1751" t="s">
        <v>1399</v>
      </c>
      <c r="C15" s="3762">
        <v>5132.1659686605217</v>
      </c>
      <c r="D15" s="3762">
        <v>1</v>
      </c>
      <c r="E15" s="3755" t="s">
        <v>2153</v>
      </c>
      <c r="F15" s="3762">
        <v>264.78404490000003</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2415.2608712853298</v>
      </c>
      <c r="D10" s="1913">
        <f>IF(SUM($C10)=0,"NA",F10*1000/$C10)</f>
        <v>0.75000000000000011</v>
      </c>
      <c r="E10" s="1913">
        <f>IF(SUM($C10)=0,"NA",G10*1000/$C10)</f>
        <v>9.6000000000000002E-2</v>
      </c>
      <c r="F10" s="1909">
        <f>IF(SUM(F11:F12)=0,"NO",SUM(F11:F12))</f>
        <v>1.8114456534639976</v>
      </c>
      <c r="G10" s="1909">
        <f>IF(SUM(G11:G12)=0,"NO",SUM(G11:G12))</f>
        <v>0.23186504364339167</v>
      </c>
      <c r="H10" s="1910"/>
      <c r="I10" s="1911"/>
    </row>
    <row r="11" spans="1:9" ht="18" customHeight="1" x14ac:dyDescent="0.2">
      <c r="B11" s="1526" t="s">
        <v>1411</v>
      </c>
      <c r="C11" s="1912">
        <v>2415.2608712853298</v>
      </c>
      <c r="D11" s="1913">
        <f>IF(SUM($C11)=0,"NA",F11*1000/$C11)</f>
        <v>0.75000000000000011</v>
      </c>
      <c r="E11" s="1913">
        <f>IF(SUM($C11)=0,"NA",G11*1000/$C11)</f>
        <v>9.6000000000000002E-2</v>
      </c>
      <c r="F11" s="1912">
        <v>1.8114456534639976</v>
      </c>
      <c r="G11" s="1912">
        <v>0.23186504364339167</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12.66453135431659</v>
      </c>
      <c r="D10" s="2887">
        <f>IF(SUM(G10)=0,"NA",G10*1000/$C10)</f>
        <v>2239.5448493869535</v>
      </c>
      <c r="E10" s="2887" t="str">
        <f t="shared" ref="E10:E20" si="0">IF(SUM(H10)=0,"NA",H10*1000/$C10)</f>
        <v>NA</v>
      </c>
      <c r="F10" s="2887" t="str">
        <f t="shared" ref="F10:F20" si="1">IF(SUM(I10)=0,"NA",I10*1000/$C10)</f>
        <v>NA</v>
      </c>
      <c r="G10" s="2887">
        <f>IF(SUM(G11,G21)=0,"NO",SUM(G11,G21))</f>
        <v>28.362785964459299</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12.66453135431659</v>
      </c>
      <c r="D21" s="116">
        <f>IF(SUM(G21)=0,"NA",G21*1000/$C21)</f>
        <v>2239.5448493869535</v>
      </c>
      <c r="E21" s="116" t="str">
        <f t="shared" ref="E21:F21" si="3">IF(SUM(H21)=0,"NA",H21*1000/$C21)</f>
        <v>NA</v>
      </c>
      <c r="F21" s="116" t="str">
        <f t="shared" si="3"/>
        <v>NA</v>
      </c>
      <c r="G21" s="2889">
        <f>IF(SUM(G22:G23)=0,"NO",SUM(G22:G23))</f>
        <v>28.362785964459299</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12.66453135431659</v>
      </c>
      <c r="D23" s="116">
        <f t="shared" si="4"/>
        <v>2239.5448493869535</v>
      </c>
      <c r="E23" s="151" t="str">
        <f t="shared" si="5"/>
        <v>NA</v>
      </c>
      <c r="F23" s="151" t="str">
        <f t="shared" si="6"/>
        <v>NA</v>
      </c>
      <c r="G23" s="151">
        <f>IF(SUM(G25:G30)=0,"NO",SUM(G25:G30))</f>
        <v>28.362785964459299</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12.66453135431659</v>
      </c>
      <c r="D27" s="116">
        <f t="shared" si="4"/>
        <v>880.00000000000023</v>
      </c>
      <c r="E27" s="116" t="str">
        <f t="shared" si="5"/>
        <v>NA</v>
      </c>
      <c r="F27" s="116" t="str">
        <f t="shared" si="6"/>
        <v>NA</v>
      </c>
      <c r="G27" s="2897">
        <v>11.144787591798602</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19278.46</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36.328472012738153</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2214.3895399100602</v>
      </c>
      <c r="D10" s="3435">
        <v>1697.13844572934</v>
      </c>
      <c r="E10" s="3435">
        <v>112.057119129391</v>
      </c>
      <c r="F10" s="3436">
        <f>(SUM(H10)-SUM(K10:L10))/C10</f>
        <v>4.6332580239625019E-2</v>
      </c>
      <c r="G10" s="3437">
        <f>SUM(I10:J10)/E10/(44/28)</f>
        <v>3.3393922101603926E-3</v>
      </c>
      <c r="H10" s="3434">
        <v>55.794647751428499</v>
      </c>
      <c r="I10" s="3223">
        <v>0.5880327682643911</v>
      </c>
      <c r="J10" s="3223" t="s">
        <v>2153</v>
      </c>
      <c r="K10" s="3438">
        <v>-14.409162644041769</v>
      </c>
      <c r="L10" s="2911">
        <v>-32.394570644198922</v>
      </c>
      <c r="M10"/>
      <c r="N10" s="1770" t="s">
        <v>1468</v>
      </c>
      <c r="O10" s="3440">
        <v>1</v>
      </c>
    </row>
    <row r="11" spans="1:15" ht="18" customHeight="1" x14ac:dyDescent="0.2">
      <c r="A11"/>
      <c r="B11" s="1749" t="s">
        <v>1383</v>
      </c>
      <c r="C11" s="3435">
        <v>1311.7730867093001</v>
      </c>
      <c r="D11" s="3435">
        <v>194.82857941398399</v>
      </c>
      <c r="E11" s="691" t="s">
        <v>2153</v>
      </c>
      <c r="F11" s="3162">
        <f>(SUM(H11)-SUM(K11:L11))/C11</f>
        <v>8.9769231545151346E-2</v>
      </c>
      <c r="G11" s="3162" t="s">
        <v>2147</v>
      </c>
      <c r="H11" s="691">
        <v>115.48209164974095</v>
      </c>
      <c r="I11" s="691" t="s">
        <v>2153</v>
      </c>
      <c r="J11" s="691" t="s">
        <v>2153</v>
      </c>
      <c r="K11" s="3147" t="s">
        <v>2153</v>
      </c>
      <c r="L11" s="2911">
        <v>-2.2747703057640996</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410933.30140591215</v>
      </c>
      <c r="D10" s="4213">
        <f t="shared" si="0"/>
        <v>5385.4708724227157</v>
      </c>
      <c r="E10" s="4213">
        <f t="shared" si="0"/>
        <v>81.19256843070967</v>
      </c>
      <c r="F10" s="4213">
        <f t="shared" si="0"/>
        <v>1547.7184967079174</v>
      </c>
      <c r="G10" s="4213">
        <f t="shared" si="0"/>
        <v>1620.6064364210433</v>
      </c>
      <c r="H10" s="4213" t="str">
        <f>IF(SUM(H11,H22,H31,H42,H51)=0,"NO",SUM(H11,H22,H31,H42,H51))</f>
        <v>NO</v>
      </c>
      <c r="I10" s="4213">
        <f t="shared" ref="I10:N10" si="1">IF(SUM(I11,I22,I31,I42,I51)=0,"NO",SUM(I11,I22,I31,I42,I51))</f>
        <v>9.5963033265742681E-3</v>
      </c>
      <c r="J10" s="3834" t="str">
        <f t="shared" si="1"/>
        <v>NO</v>
      </c>
      <c r="K10" s="4213">
        <f t="shared" si="1"/>
        <v>2952.2349202162582</v>
      </c>
      <c r="L10" s="4213">
        <f t="shared" si="1"/>
        <v>31207.862720191733</v>
      </c>
      <c r="M10" s="4213">
        <f t="shared" si="1"/>
        <v>2187.7318222069484</v>
      </c>
      <c r="N10" s="4214">
        <f t="shared" si="1"/>
        <v>2585.6313893639126</v>
      </c>
      <c r="O10" s="3818">
        <f>IF(SUM(C10:J10)=0,"NO",SUM(C10,F10:H10)+28*SUM(D10)+265*SUM(E10)+23500*SUM(I10)+16100*SUM(J10))</f>
        <v>586636.35452918964</v>
      </c>
    </row>
    <row r="11" spans="1:15" ht="18" customHeight="1" x14ac:dyDescent="0.25">
      <c r="B11" s="1120" t="s">
        <v>1476</v>
      </c>
      <c r="C11" s="2552">
        <f>Table1!C10</f>
        <v>334694.8599594477</v>
      </c>
      <c r="D11" s="3810">
        <f>Table1!D10</f>
        <v>1386.4653338912947</v>
      </c>
      <c r="E11" s="3810">
        <f>Table1!E10</f>
        <v>10.63643815539614</v>
      </c>
      <c r="F11" s="4215"/>
      <c r="G11" s="4215"/>
      <c r="H11" s="4216"/>
      <c r="I11" s="4215"/>
      <c r="J11" s="98"/>
      <c r="K11" s="3810">
        <f>Table1!F10</f>
        <v>1891.6995006192515</v>
      </c>
      <c r="L11" s="3810">
        <f>Table1!G10</f>
        <v>4575.863289507789</v>
      </c>
      <c r="M11" s="3810">
        <f>Table1!H10</f>
        <v>754.09913885283117</v>
      </c>
      <c r="N11" s="4217">
        <f>Table1!I10</f>
        <v>700.5242816099983</v>
      </c>
      <c r="O11" s="3781">
        <f t="shared" ref="O11:O58" si="2">IF(SUM(C11:J11)=0,"NO",SUM(C11,F11:H11)+28*SUM(D11)+265*SUM(E11)+23500*SUM(I11)+16100*SUM(J11))</f>
        <v>376334.54541958391</v>
      </c>
    </row>
    <row r="12" spans="1:15" ht="18" customHeight="1" x14ac:dyDescent="0.25">
      <c r="B12" s="1370" t="s">
        <v>1477</v>
      </c>
      <c r="C12" s="4218">
        <f>Table1!C11</f>
        <v>326522.57605830528</v>
      </c>
      <c r="D12" s="4219">
        <f>Table1!D11</f>
        <v>107.76108400182407</v>
      </c>
      <c r="E12" s="4219">
        <f>Table1!E11</f>
        <v>10.527557806485788</v>
      </c>
      <c r="F12" s="69"/>
      <c r="G12" s="69"/>
      <c r="H12" s="69"/>
      <c r="I12" s="69"/>
      <c r="J12" s="69"/>
      <c r="K12" s="4219">
        <f>Table1!F11</f>
        <v>1888.321701320752</v>
      </c>
      <c r="L12" s="4219">
        <f>Table1!G11</f>
        <v>4556.2709535764925</v>
      </c>
      <c r="M12" s="4219">
        <f>Table1!H11</f>
        <v>546.39029927368392</v>
      </c>
      <c r="N12" s="4220">
        <f>Table1!I11</f>
        <v>700.5242816099983</v>
      </c>
      <c r="O12" s="3782">
        <f t="shared" si="2"/>
        <v>332329.68922907504</v>
      </c>
    </row>
    <row r="13" spans="1:15" ht="18" customHeight="1" x14ac:dyDescent="0.25">
      <c r="B13" s="1371" t="s">
        <v>1478</v>
      </c>
      <c r="C13" s="4218">
        <f>Table1!C12</f>
        <v>199024.16474164414</v>
      </c>
      <c r="D13" s="4219">
        <f>Table1!D12</f>
        <v>11.898502837957114</v>
      </c>
      <c r="E13" s="4219">
        <f>Table1!E12</f>
        <v>2.640081605164482</v>
      </c>
      <c r="F13" s="69"/>
      <c r="G13" s="69"/>
      <c r="H13" s="69"/>
      <c r="I13" s="69"/>
      <c r="J13" s="69"/>
      <c r="K13" s="4219">
        <f>Table1!F12</f>
        <v>689.49907007512206</v>
      </c>
      <c r="L13" s="4219">
        <f>Table1!G12</f>
        <v>103.11325633345302</v>
      </c>
      <c r="M13" s="4219">
        <f>Table1!H12</f>
        <v>17.498189833221375</v>
      </c>
      <c r="N13" s="4220">
        <f>Table1!I12</f>
        <v>573.34251767656974</v>
      </c>
      <c r="O13" s="3783">
        <f t="shared" si="2"/>
        <v>200056.94444647554</v>
      </c>
    </row>
    <row r="14" spans="1:15" ht="18" customHeight="1" x14ac:dyDescent="0.25">
      <c r="B14" s="1371" t="s">
        <v>1479</v>
      </c>
      <c r="C14" s="4218">
        <f>Table1!C16</f>
        <v>38027.956942513301</v>
      </c>
      <c r="D14" s="4221">
        <f>Table1!D16</f>
        <v>2.0965495511887662</v>
      </c>
      <c r="E14" s="4221">
        <f>Table1!E16</f>
        <v>1.2429528375383514</v>
      </c>
      <c r="F14" s="3784"/>
      <c r="G14" s="3784"/>
      <c r="H14" s="3784"/>
      <c r="I14" s="3784"/>
      <c r="J14" s="69"/>
      <c r="K14" s="4221">
        <f>Table1!F16</f>
        <v>523.69557863580417</v>
      </c>
      <c r="L14" s="4221">
        <f>Table1!G16</f>
        <v>158.80458053825876</v>
      </c>
      <c r="M14" s="4221">
        <f>Table1!H16</f>
        <v>60.274707119729086</v>
      </c>
      <c r="N14" s="4222">
        <f>Table1!I16</f>
        <v>94.061604126927918</v>
      </c>
      <c r="O14" s="3785">
        <f t="shared" si="2"/>
        <v>38416.04283189425</v>
      </c>
    </row>
    <row r="15" spans="1:15" ht="18" customHeight="1" x14ac:dyDescent="0.25">
      <c r="B15" s="1371" t="s">
        <v>1480</v>
      </c>
      <c r="C15" s="4218">
        <f>Table1!C24</f>
        <v>71661.082472194263</v>
      </c>
      <c r="D15" s="4219">
        <f>Table1!D24</f>
        <v>26.005576130187176</v>
      </c>
      <c r="E15" s="4219">
        <f>Table1!E24</f>
        <v>5.9826816597628714</v>
      </c>
      <c r="F15" s="69"/>
      <c r="G15" s="69"/>
      <c r="H15" s="69"/>
      <c r="I15" s="69"/>
      <c r="J15" s="69"/>
      <c r="K15" s="4219">
        <f>Table1!F24</f>
        <v>358.32887131689472</v>
      </c>
      <c r="L15" s="4219">
        <f>Table1!G24</f>
        <v>3336.848618470051</v>
      </c>
      <c r="M15" s="4219">
        <f>Table1!H24</f>
        <v>325.47542255035569</v>
      </c>
      <c r="N15" s="4220">
        <f>Table1!I24</f>
        <v>25.595206157147416</v>
      </c>
      <c r="O15" s="3783">
        <f t="shared" si="2"/>
        <v>73974.649243676671</v>
      </c>
    </row>
    <row r="16" spans="1:15" ht="18" customHeight="1" x14ac:dyDescent="0.25">
      <c r="B16" s="1371" t="s">
        <v>1481</v>
      </c>
      <c r="C16" s="4218">
        <f>Table1!C30</f>
        <v>17176.218506658799</v>
      </c>
      <c r="D16" s="4219">
        <f>Table1!D30</f>
        <v>67.737047234830726</v>
      </c>
      <c r="E16" s="4219">
        <f>Table1!E30</f>
        <v>0.64445846970012677</v>
      </c>
      <c r="F16" s="69"/>
      <c r="G16" s="69"/>
      <c r="H16" s="69"/>
      <c r="I16" s="69"/>
      <c r="J16" s="69"/>
      <c r="K16" s="4219">
        <f>Table1!F30</f>
        <v>312.3918725088572</v>
      </c>
      <c r="L16" s="4219">
        <f>Table1!G30</f>
        <v>952.40439778509153</v>
      </c>
      <c r="M16" s="4219">
        <f>Table1!H30</f>
        <v>142.63328434495503</v>
      </c>
      <c r="N16" s="4220">
        <f>Table1!I30</f>
        <v>7.3452102359324343</v>
      </c>
      <c r="O16" s="3783">
        <f t="shared" si="2"/>
        <v>19243.637323704595</v>
      </c>
    </row>
    <row r="17" spans="2:15" ht="18" customHeight="1" x14ac:dyDescent="0.25">
      <c r="B17" s="1371" t="s">
        <v>1482</v>
      </c>
      <c r="C17" s="4218">
        <f>Table1!C34</f>
        <v>633.15339529481685</v>
      </c>
      <c r="D17" s="4219">
        <f>Table1!D34</f>
        <v>2.3408247660300877E-2</v>
      </c>
      <c r="E17" s="4219">
        <f>Table1!E34</f>
        <v>1.7383234319957891E-2</v>
      </c>
      <c r="F17" s="69"/>
      <c r="G17" s="69"/>
      <c r="H17" s="69"/>
      <c r="I17" s="69"/>
      <c r="J17" s="69"/>
      <c r="K17" s="4219">
        <f>Table1!F34</f>
        <v>4.4063087840739472</v>
      </c>
      <c r="L17" s="4219">
        <f>Table1!G34</f>
        <v>5.1001004496388198</v>
      </c>
      <c r="M17" s="4219">
        <f>Table1!H34</f>
        <v>0.50869542542277357</v>
      </c>
      <c r="N17" s="4220">
        <f>Table1!I34</f>
        <v>0.17974341342070463</v>
      </c>
      <c r="O17" s="3783">
        <f t="shared" si="2"/>
        <v>638.41538332409414</v>
      </c>
    </row>
    <row r="18" spans="2:15" ht="18" customHeight="1" x14ac:dyDescent="0.25">
      <c r="B18" s="1370" t="s">
        <v>99</v>
      </c>
      <c r="C18" s="4223">
        <f>Table1!C37</f>
        <v>8172.2839011424339</v>
      </c>
      <c r="D18" s="4224">
        <f>Table1!D37</f>
        <v>1278.7042498894707</v>
      </c>
      <c r="E18" s="4224">
        <f>Table1!E37</f>
        <v>0.10888034891035292</v>
      </c>
      <c r="F18" s="69"/>
      <c r="G18" s="69"/>
      <c r="H18" s="69"/>
      <c r="I18" s="69"/>
      <c r="J18" s="69"/>
      <c r="K18" s="4224">
        <f>Table1!F37</f>
        <v>3.3777992984993714</v>
      </c>
      <c r="L18" s="4219">
        <f>Table1!G37</f>
        <v>19.592335931296354</v>
      </c>
      <c r="M18" s="4219">
        <f>Table1!H37</f>
        <v>207.70883957914728</v>
      </c>
      <c r="N18" s="4220" t="str">
        <f>Table1!I37</f>
        <v>NO</v>
      </c>
      <c r="O18" s="3783">
        <f t="shared" si="2"/>
        <v>44004.856190508865</v>
      </c>
    </row>
    <row r="19" spans="2:15" ht="18" customHeight="1" x14ac:dyDescent="0.25">
      <c r="B19" s="1371" t="s">
        <v>1483</v>
      </c>
      <c r="C19" s="4225">
        <f>Table1!C38</f>
        <v>1218.1287625307975</v>
      </c>
      <c r="D19" s="4226">
        <f>Table1!D38</f>
        <v>1006.6319903444866</v>
      </c>
      <c r="E19" s="4224">
        <f>Table1!E38</f>
        <v>1.6997205392465636E-5</v>
      </c>
      <c r="F19" s="69"/>
      <c r="G19" s="69"/>
      <c r="H19" s="69"/>
      <c r="I19" s="69"/>
      <c r="J19" s="69"/>
      <c r="K19" s="4224" t="str">
        <f>Table1!F38</f>
        <v>NO</v>
      </c>
      <c r="L19" s="4219" t="str">
        <f>Table1!G38</f>
        <v>NO</v>
      </c>
      <c r="M19" s="4219" t="str">
        <f>Table1!H38</f>
        <v>NO</v>
      </c>
      <c r="N19" s="4220" t="str">
        <f>Table1!I38</f>
        <v>NO</v>
      </c>
      <c r="O19" s="3783">
        <f t="shared" si="2"/>
        <v>29403.828996435848</v>
      </c>
    </row>
    <row r="20" spans="2:15" ht="18" customHeight="1" x14ac:dyDescent="0.25">
      <c r="B20" s="1372" t="s">
        <v>1484</v>
      </c>
      <c r="C20" s="4225">
        <f>Table1!C42</f>
        <v>6954.1551386116362</v>
      </c>
      <c r="D20" s="4227">
        <f>Table1!D42</f>
        <v>272.07225954498426</v>
      </c>
      <c r="E20" s="4224">
        <f>Table1!E42</f>
        <v>0.10886335170496045</v>
      </c>
      <c r="F20" s="3784"/>
      <c r="G20" s="3784"/>
      <c r="H20" s="3784"/>
      <c r="I20" s="3784"/>
      <c r="J20" s="69"/>
      <c r="K20" s="4224">
        <f>Table1!F42</f>
        <v>3.3777992984993714</v>
      </c>
      <c r="L20" s="4221">
        <f>Table1!G42</f>
        <v>19.592335931296354</v>
      </c>
      <c r="M20" s="4221">
        <f>Table1!H42</f>
        <v>207.70883957914728</v>
      </c>
      <c r="N20" s="4222" t="str">
        <f>Table1!I42</f>
        <v>NO</v>
      </c>
      <c r="O20" s="3785">
        <f t="shared" si="2"/>
        <v>14601.027194073011</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21241.524367521084</v>
      </c>
      <c r="D22" s="4230">
        <f>'Table2(I)'!D10</f>
        <v>3.2395559717251121</v>
      </c>
      <c r="E22" s="4231">
        <f>'Table2(I)'!E10</f>
        <v>7.0675909159558241</v>
      </c>
      <c r="F22" s="3810">
        <f>'Table2(I)'!F10</f>
        <v>1547.7184967079174</v>
      </c>
      <c r="G22" s="3810">
        <f>'Table2(I)'!G10</f>
        <v>1620.6064364210433</v>
      </c>
      <c r="H22" s="3810" t="str">
        <f>'Table2(I)'!H10</f>
        <v>NO</v>
      </c>
      <c r="I22" s="3810">
        <f>'Table2(I)'!I10</f>
        <v>9.5963033265742681E-3</v>
      </c>
      <c r="J22" s="3810" t="str">
        <f>'Table2(I)'!J10</f>
        <v>NO</v>
      </c>
      <c r="K22" s="3810">
        <f>'Table2(I)'!K10</f>
        <v>44.982792531642843</v>
      </c>
      <c r="L22" s="3810">
        <f>'Table2(I)'!L10</f>
        <v>10.631644366936392</v>
      </c>
      <c r="M22" s="3810">
        <f>'Table2(I)'!M10</f>
        <v>217.47547625731926</v>
      </c>
      <c r="N22" s="4217">
        <f>'Table2(I)'!N10</f>
        <v>1885.1071077539145</v>
      </c>
      <c r="O22" s="3781">
        <f t="shared" si="2"/>
        <v>26598.98158876114</v>
      </c>
    </row>
    <row r="23" spans="2:15" ht="18" customHeight="1" x14ac:dyDescent="0.25">
      <c r="B23" s="1133" t="s">
        <v>1487</v>
      </c>
      <c r="C23" s="4232">
        <f>'Table2(I)'!C11</f>
        <v>6238.6898869835768</v>
      </c>
      <c r="D23" s="3789"/>
      <c r="E23" s="98"/>
      <c r="F23" s="98"/>
      <c r="G23" s="98"/>
      <c r="H23" s="98"/>
      <c r="I23" s="98"/>
      <c r="J23" s="69"/>
      <c r="K23" s="4233" t="str">
        <f>'Table2(I)'!K11</f>
        <v>NO</v>
      </c>
      <c r="L23" s="4233" t="str">
        <f>'Table2(I)'!L11</f>
        <v>NO</v>
      </c>
      <c r="M23" s="4233" t="str">
        <f>'Table2(I)'!M11</f>
        <v>NO</v>
      </c>
      <c r="N23" s="4234" t="str">
        <f>'Table2(I)'!N11</f>
        <v>NO</v>
      </c>
      <c r="O23" s="3782">
        <f t="shared" si="2"/>
        <v>6238.6898869835768</v>
      </c>
    </row>
    <row r="24" spans="2:15" ht="18" customHeight="1" x14ac:dyDescent="0.25">
      <c r="B24" s="1133" t="s">
        <v>621</v>
      </c>
      <c r="C24" s="4232">
        <f>'Table2(I)'!C16</f>
        <v>2004.6535722962215</v>
      </c>
      <c r="D24" s="4235">
        <f>'Table2(I)'!D16</f>
        <v>0.48708379999999996</v>
      </c>
      <c r="E24" s="4236">
        <f>'Table2(I)'!E16</f>
        <v>6.9890831464516125</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5.1280822910000001</v>
      </c>
      <c r="N24" s="4220" t="str">
        <f>'Table2(I)'!N16</f>
        <v>NO</v>
      </c>
      <c r="O24" s="3783">
        <f t="shared" si="2"/>
        <v>3870.3989525058987</v>
      </c>
    </row>
    <row r="25" spans="2:15" ht="18" customHeight="1" x14ac:dyDescent="0.25">
      <c r="B25" s="1133" t="s">
        <v>459</v>
      </c>
      <c r="C25" s="4232">
        <f>'Table2(I)'!C27</f>
        <v>12559.720129267935</v>
      </c>
      <c r="D25" s="4235">
        <f>'Table2(I)'!D27</f>
        <v>2.7524721717251124</v>
      </c>
      <c r="E25" s="4236">
        <f>'Table2(I)'!E27</f>
        <v>7.8507769504211899E-2</v>
      </c>
      <c r="F25" s="4219" t="str">
        <f>'Table2(I)'!F27</f>
        <v>NO</v>
      </c>
      <c r="G25" s="4219">
        <f>'Table2(I)'!G27</f>
        <v>1620.6064364210433</v>
      </c>
      <c r="H25" s="4219" t="str">
        <f>'Table2(I)'!H27</f>
        <v>NO</v>
      </c>
      <c r="I25" s="4219" t="str">
        <f>'Table2(I)'!I27</f>
        <v>NO</v>
      </c>
      <c r="J25" s="4219" t="str">
        <f>'Table2(I)'!J27</f>
        <v>NO</v>
      </c>
      <c r="K25" s="4219">
        <f>'Table2(I)'!K27</f>
        <v>44.982792531642843</v>
      </c>
      <c r="L25" s="4219">
        <f>'Table2(I)'!L27</f>
        <v>10.631644366936392</v>
      </c>
      <c r="M25" s="4219">
        <f>'Table2(I)'!M27</f>
        <v>0.11506119740335179</v>
      </c>
      <c r="N25" s="4220">
        <f>'Table2(I)'!N27</f>
        <v>1885.1071077539145</v>
      </c>
      <c r="O25" s="3783">
        <f t="shared" si="2"/>
        <v>14278.200345415898</v>
      </c>
    </row>
    <row r="26" spans="2:15" ht="18" customHeight="1" x14ac:dyDescent="0.25">
      <c r="B26" s="1133" t="s">
        <v>1488</v>
      </c>
      <c r="C26" s="4232">
        <f>'Table2(I)'!C35</f>
        <v>291.00466500000005</v>
      </c>
      <c r="D26" s="3790" t="str">
        <f>'Table2(I)'!D35</f>
        <v>NO</v>
      </c>
      <c r="E26" s="616" t="str">
        <f>'Table2(I)'!E35</f>
        <v>NO</v>
      </c>
      <c r="F26" s="69"/>
      <c r="G26" s="69"/>
      <c r="H26" s="69"/>
      <c r="I26" s="69"/>
      <c r="J26" s="69"/>
      <c r="K26" s="616" t="str">
        <f>'Table2(I)'!K35</f>
        <v>NO</v>
      </c>
      <c r="L26" s="4236" t="str">
        <f>'Table2(I)'!L35</f>
        <v>NO</v>
      </c>
      <c r="M26" s="4236">
        <f>'Table2(I)'!M35</f>
        <v>166.7236927689159</v>
      </c>
      <c r="N26" s="4237" t="str">
        <f>'Table2(I)'!N35</f>
        <v>NO</v>
      </c>
      <c r="O26" s="3783">
        <f t="shared" si="2"/>
        <v>291.00466500000005</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1547.7184967079174</v>
      </c>
      <c r="G28" s="4221" t="str">
        <f>'Table2(I)'!G45</f>
        <v>NO</v>
      </c>
      <c r="H28" s="4221" t="str">
        <f>'Table2(I)'!H45</f>
        <v>NO</v>
      </c>
      <c r="I28" s="4221" t="str">
        <f>'Table2(I)'!I45</f>
        <v>NO</v>
      </c>
      <c r="J28" s="4221" t="str">
        <f>'Table2(I)'!J45</f>
        <v>NO</v>
      </c>
      <c r="K28" s="3784"/>
      <c r="L28" s="3784"/>
      <c r="M28" s="3784"/>
      <c r="N28" s="3793"/>
      <c r="O28" s="3785">
        <f t="shared" si="2"/>
        <v>1547.7184967079174</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9.5963033265742681E-3</v>
      </c>
      <c r="J29" s="616" t="str">
        <f>'Table2(I)'!J52</f>
        <v>NO</v>
      </c>
      <c r="K29" s="3796" t="str">
        <f>'Table2(I)'!K52</f>
        <v>NO</v>
      </c>
      <c r="L29" s="3796" t="str">
        <f>'Table2(I)'!L52</f>
        <v>NO</v>
      </c>
      <c r="M29" s="3796" t="str">
        <f>'Table2(I)'!M52</f>
        <v>NO</v>
      </c>
      <c r="N29" s="3797" t="str">
        <f>'Table2(I)'!N52</f>
        <v>NO</v>
      </c>
      <c r="O29" s="3785">
        <f t="shared" si="2"/>
        <v>225.51312817449531</v>
      </c>
    </row>
    <row r="30" spans="2:15" ht="18" customHeight="1" thickBot="1" x14ac:dyDescent="0.3">
      <c r="B30" s="1375" t="s">
        <v>2040</v>
      </c>
      <c r="C30" s="4239">
        <f>'Table2(I)'!C57</f>
        <v>147.45611397335256</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45.50864</v>
      </c>
      <c r="N30" s="4242" t="str">
        <f>'Table2(I)'!N57</f>
        <v>NA</v>
      </c>
      <c r="O30" s="3798">
        <f t="shared" si="2"/>
        <v>147.45611397335256</v>
      </c>
    </row>
    <row r="31" spans="2:15" ht="18" customHeight="1" x14ac:dyDescent="0.25">
      <c r="B31" s="1134" t="s">
        <v>1491</v>
      </c>
      <c r="C31" s="3817">
        <f>Table3!C10</f>
        <v>1818.6433506091305</v>
      </c>
      <c r="D31" s="3799">
        <f>Table3!D10</f>
        <v>2628.7134960567046</v>
      </c>
      <c r="E31" s="3800">
        <f>Table3!E10</f>
        <v>46.06599907335255</v>
      </c>
      <c r="F31" s="3801"/>
      <c r="G31" s="3801"/>
      <c r="H31" s="3801"/>
      <c r="I31" s="3801"/>
      <c r="J31" s="3801"/>
      <c r="K31" s="4243">
        <f>Table3!F10</f>
        <v>33.068196709742452</v>
      </c>
      <c r="L31" s="4243">
        <f>Table3!G10</f>
        <v>538.3111031159217</v>
      </c>
      <c r="M31" s="4243">
        <f>Table3!H10</f>
        <v>31.401481015095435</v>
      </c>
      <c r="N31" s="4244" t="str">
        <f>Table3!I10</f>
        <v>NO</v>
      </c>
      <c r="O31" s="3782">
        <f t="shared" si="2"/>
        <v>87630.110994635281</v>
      </c>
    </row>
    <row r="32" spans="2:15" ht="18" customHeight="1" x14ac:dyDescent="0.25">
      <c r="B32" s="4245" t="s">
        <v>1492</v>
      </c>
      <c r="C32" s="3791"/>
      <c r="D32" s="4246">
        <f>Table3!D11</f>
        <v>2341.2671635402303</v>
      </c>
      <c r="E32" s="98"/>
      <c r="F32" s="3802"/>
      <c r="G32" s="3802"/>
      <c r="H32" s="3789"/>
      <c r="I32" s="3802"/>
      <c r="J32" s="3789"/>
      <c r="K32" s="98"/>
      <c r="L32" s="98"/>
      <c r="M32" s="98"/>
      <c r="N32" s="3803"/>
      <c r="O32" s="3782">
        <f t="shared" si="2"/>
        <v>65555.480579126452</v>
      </c>
    </row>
    <row r="33" spans="2:15" ht="18" customHeight="1" x14ac:dyDescent="0.25">
      <c r="B33" s="4245" t="s">
        <v>1493</v>
      </c>
      <c r="C33" s="3791"/>
      <c r="D33" s="4226">
        <f>Table3!D20</f>
        <v>245.54282751963066</v>
      </c>
      <c r="E33" s="4226">
        <f>Table3!E20</f>
        <v>1.4544423673366769</v>
      </c>
      <c r="F33" s="3802"/>
      <c r="G33" s="3802"/>
      <c r="H33" s="3802"/>
      <c r="I33" s="3802"/>
      <c r="J33" s="3802"/>
      <c r="K33" s="69"/>
      <c r="L33" s="69"/>
      <c r="M33" s="4247" t="str">
        <f>Table3!H20</f>
        <v>NE</v>
      </c>
      <c r="N33" s="3804"/>
      <c r="O33" s="3783">
        <f t="shared" si="2"/>
        <v>7260.6263978938778</v>
      </c>
    </row>
    <row r="34" spans="2:15" ht="18" customHeight="1" x14ac:dyDescent="0.25">
      <c r="B34" s="4245" t="s">
        <v>1494</v>
      </c>
      <c r="C34" s="3791"/>
      <c r="D34" s="4226">
        <f>Table3!D31</f>
        <v>28.100656199000003</v>
      </c>
      <c r="E34" s="69"/>
      <c r="F34" s="3802"/>
      <c r="G34" s="3802"/>
      <c r="H34" s="3802"/>
      <c r="I34" s="3802"/>
      <c r="J34" s="3802"/>
      <c r="K34" s="69"/>
      <c r="L34" s="69"/>
      <c r="M34" s="4247" t="str">
        <f>Table3!H31</f>
        <v>NE</v>
      </c>
      <c r="N34" s="3804"/>
      <c r="O34" s="3783">
        <f t="shared" si="2"/>
        <v>786.81837357200004</v>
      </c>
    </row>
    <row r="35" spans="2:15" ht="18" customHeight="1" x14ac:dyDescent="0.25">
      <c r="B35" s="4245" t="s">
        <v>1495</v>
      </c>
      <c r="C35" s="4248"/>
      <c r="D35" s="4226" t="str">
        <f>Table3!D32</f>
        <v>NE</v>
      </c>
      <c r="E35" s="4226">
        <f>Table3!E32</f>
        <v>44.039196199818264</v>
      </c>
      <c r="F35" s="3802"/>
      <c r="G35" s="3802"/>
      <c r="H35" s="3802"/>
      <c r="I35" s="3802"/>
      <c r="J35" s="3802"/>
      <c r="K35" s="4247" t="str">
        <f>Table3!F32</f>
        <v>NO</v>
      </c>
      <c r="L35" s="4247" t="str">
        <f>Table3!G32</f>
        <v>NO</v>
      </c>
      <c r="M35" s="4247" t="str">
        <f>Table3!H32</f>
        <v>NO</v>
      </c>
      <c r="N35" s="3804"/>
      <c r="O35" s="3783">
        <f t="shared" si="2"/>
        <v>11670.386992951841</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13.802848797844145</v>
      </c>
      <c r="E37" s="4226">
        <f>Table3!E43</f>
        <v>0.5723605061976127</v>
      </c>
      <c r="F37" s="3802"/>
      <c r="G37" s="3802"/>
      <c r="H37" s="3802"/>
      <c r="I37" s="3802"/>
      <c r="J37" s="3802"/>
      <c r="K37" s="4247">
        <f>Table3!F43</f>
        <v>33.068196709742452</v>
      </c>
      <c r="L37" s="4247">
        <f>Table3!G43</f>
        <v>538.3111031159217</v>
      </c>
      <c r="M37" s="4247">
        <f>Table3!H43</f>
        <v>31.401481015095435</v>
      </c>
      <c r="N37" s="4247" t="str">
        <f>Table3!I43</f>
        <v>NO</v>
      </c>
      <c r="O37" s="3783">
        <f t="shared" si="2"/>
        <v>538.15530048200344</v>
      </c>
    </row>
    <row r="38" spans="2:15" ht="18" customHeight="1" x14ac:dyDescent="0.25">
      <c r="B38" s="4249" t="s">
        <v>721</v>
      </c>
      <c r="C38" s="3794">
        <f>Table3!C44</f>
        <v>761.68682887</v>
      </c>
      <c r="D38" s="4250"/>
      <c r="E38" s="4250"/>
      <c r="F38" s="3792"/>
      <c r="G38" s="3792"/>
      <c r="H38" s="3792"/>
      <c r="I38" s="3792"/>
      <c r="J38" s="3792"/>
      <c r="K38" s="3805"/>
      <c r="L38" s="3805"/>
      <c r="M38" s="3805"/>
      <c r="N38" s="3793"/>
      <c r="O38" s="3785">
        <f t="shared" si="2"/>
        <v>761.68682887</v>
      </c>
    </row>
    <row r="39" spans="2:15" ht="18" customHeight="1" x14ac:dyDescent="0.25">
      <c r="B39" s="4249" t="s">
        <v>722</v>
      </c>
      <c r="C39" s="3806">
        <f>Table3!C45</f>
        <v>1056.9565217391305</v>
      </c>
      <c r="D39" s="4250"/>
      <c r="E39" s="4250"/>
      <c r="F39" s="3792"/>
      <c r="G39" s="3792"/>
      <c r="H39" s="3792"/>
      <c r="I39" s="3792"/>
      <c r="J39" s="3792"/>
      <c r="K39" s="3805"/>
      <c r="L39" s="3805"/>
      <c r="M39" s="3805"/>
      <c r="N39" s="3793"/>
      <c r="O39" s="3785">
        <f t="shared" si="2"/>
        <v>1056.9565217391305</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53149.910942369774</v>
      </c>
      <c r="D42" s="3809">
        <f>Table4!D10</f>
        <v>701.09510624835707</v>
      </c>
      <c r="E42" s="3810">
        <f>Table4!E10</f>
        <v>16.602642474097376</v>
      </c>
      <c r="F42" s="3801"/>
      <c r="G42" s="3801"/>
      <c r="H42" s="3801"/>
      <c r="I42" s="3801"/>
      <c r="J42" s="3801"/>
      <c r="K42" s="4253">
        <f>Table4!F10</f>
        <v>982.48443035562116</v>
      </c>
      <c r="L42" s="4253">
        <f>Table4!G10</f>
        <v>26083.056683201088</v>
      </c>
      <c r="M42" s="4253">
        <f>Table4!H10</f>
        <v>782.08924884921498</v>
      </c>
      <c r="N42" s="4254" t="str">
        <f>N50</f>
        <v>NO</v>
      </c>
      <c r="O42" s="3781">
        <f t="shared" si="2"/>
        <v>77180.274172959573</v>
      </c>
    </row>
    <row r="43" spans="2:15" ht="18" customHeight="1" x14ac:dyDescent="0.25">
      <c r="B43" s="4245" t="s">
        <v>2042</v>
      </c>
      <c r="C43" s="4255">
        <f>Table4!C11</f>
        <v>-27133.555216804682</v>
      </c>
      <c r="D43" s="4256">
        <f>Table4!D11</f>
        <v>223.94211204818924</v>
      </c>
      <c r="E43" s="4257">
        <f>Table4!E11</f>
        <v>4.5479830526331328</v>
      </c>
      <c r="F43" s="3792"/>
      <c r="G43" s="3792"/>
      <c r="H43" s="3792"/>
      <c r="I43" s="3792"/>
      <c r="J43" s="3792"/>
      <c r="K43" s="4247">
        <f>Table4!F11</f>
        <v>243.05679585389652</v>
      </c>
      <c r="L43" s="4247">
        <f>Table4!G11</f>
        <v>6535.4014552084836</v>
      </c>
      <c r="M43" s="4247">
        <f>Table4!H11</f>
        <v>223.47465727592163</v>
      </c>
      <c r="N43" s="3811"/>
      <c r="O43" s="3812">
        <f t="shared" si="2"/>
        <v>-19657.960570507603</v>
      </c>
    </row>
    <row r="44" spans="2:15" ht="18" customHeight="1" x14ac:dyDescent="0.25">
      <c r="B44" s="4245" t="s">
        <v>2043</v>
      </c>
      <c r="C44" s="4255">
        <f>Table4!C14</f>
        <v>6129.4941960607175</v>
      </c>
      <c r="D44" s="4258">
        <f>Table4!D14</f>
        <v>4.4713296000000007</v>
      </c>
      <c r="E44" s="4258">
        <f>Table4!E14</f>
        <v>0.18710331874141864</v>
      </c>
      <c r="F44" s="3802"/>
      <c r="G44" s="3802"/>
      <c r="H44" s="3802"/>
      <c r="I44" s="3802"/>
      <c r="J44" s="3802"/>
      <c r="K44" s="4247">
        <f>Table4!F14</f>
        <v>3.3668047285714287</v>
      </c>
      <c r="L44" s="4247">
        <f>Table4!G14</f>
        <v>131.86282200000002</v>
      </c>
      <c r="M44" s="4247">
        <f>Table4!H14</f>
        <v>15.939462000000001</v>
      </c>
      <c r="N44" s="4259"/>
      <c r="O44" s="3783">
        <f t="shared" si="2"/>
        <v>6304.2738043271929</v>
      </c>
    </row>
    <row r="45" spans="2:15" ht="18" customHeight="1" x14ac:dyDescent="0.25">
      <c r="B45" s="4245" t="s">
        <v>2044</v>
      </c>
      <c r="C45" s="4255">
        <f>Table4!C17</f>
        <v>75427.288369374437</v>
      </c>
      <c r="D45" s="4258">
        <f>Table4!D17</f>
        <v>373.31037832536703</v>
      </c>
      <c r="E45" s="4258">
        <f>Table4!E17</f>
        <v>11.377073870658496</v>
      </c>
      <c r="F45" s="3802"/>
      <c r="G45" s="3802"/>
      <c r="H45" s="3802"/>
      <c r="I45" s="3802"/>
      <c r="J45" s="3802"/>
      <c r="K45" s="4247">
        <f>Table4!F17</f>
        <v>709.8174243526563</v>
      </c>
      <c r="L45" s="4247">
        <f>Table4!G17</f>
        <v>18753.389347568303</v>
      </c>
      <c r="M45" s="4247">
        <f>Table4!H17</f>
        <v>531.98172737982941</v>
      </c>
      <c r="N45" s="4259"/>
      <c r="O45" s="3783">
        <f t="shared" si="2"/>
        <v>88894.903538209226</v>
      </c>
    </row>
    <row r="46" spans="2:15" ht="18" customHeight="1" x14ac:dyDescent="0.25">
      <c r="B46" s="4245" t="s">
        <v>2045</v>
      </c>
      <c r="C46" s="4255">
        <f>Table4!C20</f>
        <v>387.88955243601038</v>
      </c>
      <c r="D46" s="4258">
        <f>Table4!D20</f>
        <v>96.475439074800789</v>
      </c>
      <c r="E46" s="4258">
        <f>Table4!E20</f>
        <v>0.33108748856043096</v>
      </c>
      <c r="F46" s="3802"/>
      <c r="G46" s="3802"/>
      <c r="H46" s="3802"/>
      <c r="I46" s="3802"/>
      <c r="J46" s="3802"/>
      <c r="K46" s="4247">
        <f>Table4!F20</f>
        <v>24.062901427639865</v>
      </c>
      <c r="L46" s="4247">
        <f>Table4!G20</f>
        <v>577.00237942430249</v>
      </c>
      <c r="M46" s="4247">
        <f>Table4!H20</f>
        <v>0.37024319346392742</v>
      </c>
      <c r="N46" s="4259"/>
      <c r="O46" s="3783">
        <f t="shared" si="2"/>
        <v>3176.9400309989469</v>
      </c>
    </row>
    <row r="47" spans="2:15" ht="18" customHeight="1" x14ac:dyDescent="0.25">
      <c r="B47" s="4245" t="s">
        <v>2046</v>
      </c>
      <c r="C47" s="4255">
        <f>Table4!C23</f>
        <v>4860.0469660885983</v>
      </c>
      <c r="D47" s="4258">
        <f>Table4!D23</f>
        <v>2.8958472000000004</v>
      </c>
      <c r="E47" s="4260">
        <f>Table4!E23</f>
        <v>8.6515803492469304E-2</v>
      </c>
      <c r="F47" s="3802"/>
      <c r="G47" s="3802"/>
      <c r="H47" s="3802"/>
      <c r="I47" s="3802"/>
      <c r="J47" s="3802"/>
      <c r="K47" s="4247">
        <f>Table4!F23</f>
        <v>2.180503992857143</v>
      </c>
      <c r="L47" s="4247">
        <f>Table4!G23</f>
        <v>85.400678999999997</v>
      </c>
      <c r="M47" s="4247">
        <f>Table4!H23</f>
        <v>10.323159</v>
      </c>
      <c r="N47" s="1838"/>
      <c r="O47" s="3783">
        <f t="shared" si="2"/>
        <v>4964.057375614103</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-6523.270398507766</v>
      </c>
      <c r="D49" s="3792"/>
      <c r="E49" s="3792"/>
      <c r="F49" s="3792"/>
      <c r="G49" s="3792"/>
      <c r="H49" s="3792"/>
      <c r="I49" s="3792"/>
      <c r="J49" s="3792"/>
      <c r="K49" s="3792"/>
      <c r="L49" s="3792"/>
      <c r="M49" s="3792"/>
      <c r="N49" s="3814"/>
      <c r="O49" s="3785">
        <f t="shared" si="2"/>
        <v>-6523.270398507766</v>
      </c>
    </row>
    <row r="50" spans="2:15" ht="18" customHeight="1" thickBot="1" x14ac:dyDescent="0.3">
      <c r="B50" s="4251" t="s">
        <v>2049</v>
      </c>
      <c r="C50" s="4264">
        <f>Table4!C30</f>
        <v>2.0174737224522223</v>
      </c>
      <c r="D50" s="4265" t="str">
        <f>Table4!D30</f>
        <v>NO</v>
      </c>
      <c r="E50" s="4265">
        <f>Table4!E30</f>
        <v>7.287894001142857E-2</v>
      </c>
      <c r="F50" s="3807"/>
      <c r="G50" s="3807"/>
      <c r="H50" s="3807"/>
      <c r="I50" s="3807"/>
      <c r="J50" s="3807"/>
      <c r="K50" s="4266" t="str">
        <f>Table4!F30</f>
        <v>NO</v>
      </c>
      <c r="L50" s="4266" t="str">
        <f>Table4!G30</f>
        <v>NO</v>
      </c>
      <c r="M50" s="4266" t="str">
        <f>Table4!H30</f>
        <v>NO</v>
      </c>
      <c r="N50" s="4266" t="s">
        <v>2146</v>
      </c>
      <c r="O50" s="3798">
        <f t="shared" si="2"/>
        <v>21.330392825480793</v>
      </c>
    </row>
    <row r="51" spans="2:15" ht="18" customHeight="1" x14ac:dyDescent="0.25">
      <c r="B51" s="1377" t="s">
        <v>1500</v>
      </c>
      <c r="C51" s="3815">
        <f>Table5!C10</f>
        <v>28.362785964459299</v>
      </c>
      <c r="D51" s="3799">
        <f>Table5!D10</f>
        <v>665.95738025463345</v>
      </c>
      <c r="E51" s="3800">
        <f>Table5!E10</f>
        <v>0.81989781190778277</v>
      </c>
      <c r="F51" s="3801"/>
      <c r="G51" s="3801"/>
      <c r="H51" s="3801"/>
      <c r="I51" s="3801"/>
      <c r="J51" s="3801"/>
      <c r="K51" s="4243" t="str">
        <f>Table5!F10</f>
        <v>NO</v>
      </c>
      <c r="L51" s="4243" t="str">
        <f>Table5!G10</f>
        <v>NO</v>
      </c>
      <c r="M51" s="4243">
        <f>Table5!H10</f>
        <v>402.66647723248758</v>
      </c>
      <c r="N51" s="4244" t="str">
        <f>Table5!I10</f>
        <v>NO</v>
      </c>
      <c r="O51" s="4267">
        <f t="shared" si="2"/>
        <v>18892.442353249757</v>
      </c>
    </row>
    <row r="52" spans="2:15" ht="18" customHeight="1" x14ac:dyDescent="0.25">
      <c r="B52" s="4245" t="s">
        <v>2050</v>
      </c>
      <c r="C52" s="4248"/>
      <c r="D52" s="4246">
        <f>Table5!D11</f>
        <v>492.86919520000004</v>
      </c>
      <c r="E52" s="3816"/>
      <c r="F52" s="3801"/>
      <c r="G52" s="3801"/>
      <c r="H52" s="3801"/>
      <c r="I52" s="3801"/>
      <c r="J52" s="3801"/>
      <c r="K52" s="4247" t="str">
        <f>Table5!F11</f>
        <v>NO</v>
      </c>
      <c r="L52" s="4247" t="str">
        <f>Table5!G11</f>
        <v>NO</v>
      </c>
      <c r="M52" s="4247">
        <f>Table5!H11</f>
        <v>2.7715643093637943</v>
      </c>
      <c r="N52" s="3803"/>
      <c r="O52" s="4267">
        <f t="shared" si="2"/>
        <v>13800.337465600001</v>
      </c>
    </row>
    <row r="53" spans="2:15" ht="18" customHeight="1" x14ac:dyDescent="0.25">
      <c r="B53" s="4245" t="s">
        <v>1501</v>
      </c>
      <c r="C53" s="4248"/>
      <c r="D53" s="4246">
        <f>Table5!D15</f>
        <v>1.8114456534639976</v>
      </c>
      <c r="E53" s="4246">
        <f>Table5!E15</f>
        <v>0.23186504364339167</v>
      </c>
      <c r="F53" s="3802"/>
      <c r="G53" s="3802"/>
      <c r="H53" s="3802"/>
      <c r="I53" s="3802"/>
      <c r="J53" s="3802"/>
      <c r="K53" s="4247" t="str">
        <f>Table5!F15</f>
        <v>NA,NE</v>
      </c>
      <c r="L53" s="4247" t="str">
        <f>Table5!G15</f>
        <v>NA,NE</v>
      </c>
      <c r="M53" s="4247" t="str">
        <f>Table5!H15</f>
        <v>NA,NE</v>
      </c>
      <c r="N53" s="3803"/>
      <c r="O53" s="3782">
        <f t="shared" si="2"/>
        <v>112.16471486249071</v>
      </c>
    </row>
    <row r="54" spans="2:15" ht="18" customHeight="1" x14ac:dyDescent="0.25">
      <c r="B54" s="4245" t="s">
        <v>2051</v>
      </c>
      <c r="C54" s="4268">
        <f>Table5!C18</f>
        <v>28.362785964459299</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28.362785964459299</v>
      </c>
    </row>
    <row r="55" spans="2:15" ht="18" customHeight="1" x14ac:dyDescent="0.25">
      <c r="B55" s="4245" t="s">
        <v>1502</v>
      </c>
      <c r="C55" s="3791"/>
      <c r="D55" s="4226">
        <f>Table5!D21</f>
        <v>171.27673940116944</v>
      </c>
      <c r="E55" s="4226">
        <f>Table5!E21</f>
        <v>0.5880327682643911</v>
      </c>
      <c r="F55" s="3802"/>
      <c r="G55" s="3802"/>
      <c r="H55" s="3802"/>
      <c r="I55" s="3802"/>
      <c r="J55" s="3802"/>
      <c r="K55" s="4247" t="str">
        <f>Table5!F21</f>
        <v>NO</v>
      </c>
      <c r="L55" s="4247" t="str">
        <f>Table5!G21</f>
        <v>NO</v>
      </c>
      <c r="M55" s="4247">
        <f>Table5!H21</f>
        <v>399.8949129231238</v>
      </c>
      <c r="N55" s="3803"/>
      <c r="O55" s="4270">
        <f t="shared" si="2"/>
        <v>4951.577386822808</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10489.664999999999</v>
      </c>
      <c r="D61" s="3820">
        <f>Table1!D52</f>
        <v>0.2645435266666667</v>
      </c>
      <c r="E61" s="3820">
        <f>Table1!E52</f>
        <v>0.11170550690175438</v>
      </c>
      <c r="F61" s="628"/>
      <c r="G61" s="628"/>
      <c r="H61" s="628"/>
      <c r="I61" s="628"/>
      <c r="J61" s="628"/>
      <c r="K61" s="3820">
        <f>Table1!F52</f>
        <v>109.80528159964911</v>
      </c>
      <c r="L61" s="3820">
        <f>Table1!G52</f>
        <v>14.534289104210526</v>
      </c>
      <c r="M61" s="3820">
        <f>Table1!H52</f>
        <v>8.2217792101403511</v>
      </c>
      <c r="N61" s="3821">
        <f>Table1!I52</f>
        <v>41.197023333333341</v>
      </c>
      <c r="O61" s="4267">
        <f t="shared" ref="O61:O67" si="4">IF(SUM(C61:J61)=0,"NO",SUM(C61,F61:H61)+28*SUM(D61)+265*SUM(E61)+23500*SUM(I61)+16100*SUM(J61))</f>
        <v>10526.674178075631</v>
      </c>
    </row>
    <row r="62" spans="2:15" ht="18" customHeight="1" x14ac:dyDescent="0.25">
      <c r="B62" s="1371" t="s">
        <v>111</v>
      </c>
      <c r="C62" s="4279">
        <f>Table1!C53</f>
        <v>7861.3199999999988</v>
      </c>
      <c r="D62" s="4233">
        <f>Table1!D53</f>
        <v>1.2893526666666669E-2</v>
      </c>
      <c r="E62" s="4233">
        <f>Table1!E53</f>
        <v>3.9805506901754384E-2</v>
      </c>
      <c r="F62" s="628"/>
      <c r="G62" s="628"/>
      <c r="H62" s="628"/>
      <c r="I62" s="628"/>
      <c r="J62" s="2135"/>
      <c r="K62" s="4233">
        <f>Table1!F53</f>
        <v>39.900281599649126</v>
      </c>
      <c r="L62" s="4233">
        <f>Table1!G53</f>
        <v>12.387239104210526</v>
      </c>
      <c r="M62" s="4233">
        <f>Table1!H53</f>
        <v>6.037679210140352</v>
      </c>
      <c r="N62" s="4234">
        <f>Table1!I53</f>
        <v>0.92619000000000007</v>
      </c>
      <c r="O62" s="3782">
        <f t="shared" si="4"/>
        <v>7872.2294780756301</v>
      </c>
    </row>
    <row r="63" spans="2:15" ht="18" customHeight="1" x14ac:dyDescent="0.25">
      <c r="B63" s="1380" t="s">
        <v>1503</v>
      </c>
      <c r="C63" s="4279">
        <f>Table1!C54</f>
        <v>2628.3449999999998</v>
      </c>
      <c r="D63" s="4219">
        <f>Table1!D54</f>
        <v>0.25165000000000004</v>
      </c>
      <c r="E63" s="4219">
        <f>Table1!E54</f>
        <v>7.1899999999999992E-2</v>
      </c>
      <c r="F63" s="628"/>
      <c r="G63" s="628"/>
      <c r="H63" s="628"/>
      <c r="I63" s="628"/>
      <c r="J63" s="628"/>
      <c r="K63" s="4219">
        <f>Table1!F54</f>
        <v>69.904999999999987</v>
      </c>
      <c r="L63" s="4219">
        <f>Table1!G54</f>
        <v>2.1470500000000001</v>
      </c>
      <c r="M63" s="4219">
        <f>Table1!H54</f>
        <v>2.1840999999999999</v>
      </c>
      <c r="N63" s="4220">
        <f>Table1!I54</f>
        <v>40.270833333333343</v>
      </c>
      <c r="O63" s="3783">
        <f t="shared" si="4"/>
        <v>2654.4447</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18429.667800000003</v>
      </c>
      <c r="D65" s="3823"/>
      <c r="E65" s="3823"/>
      <c r="F65" s="3824"/>
      <c r="G65" s="3824"/>
      <c r="H65" s="3824"/>
      <c r="I65" s="3824"/>
      <c r="J65" s="3823"/>
      <c r="K65" s="3823"/>
      <c r="L65" s="3823"/>
      <c r="M65" s="3823"/>
      <c r="N65" s="3825"/>
      <c r="O65" s="3812">
        <f t="shared" si="4"/>
        <v>18429.667800000003</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-234968.98821381226</v>
      </c>
      <c r="D67" s="3824"/>
      <c r="E67" s="3824"/>
      <c r="F67" s="3828"/>
      <c r="G67" s="3824"/>
      <c r="H67" s="3824"/>
      <c r="I67" s="3824"/>
      <c r="J67" s="3824"/>
      <c r="K67" s="3824"/>
      <c r="L67" s="3824"/>
      <c r="M67" s="3824"/>
      <c r="N67" s="3829"/>
      <c r="O67" s="3785">
        <f t="shared" si="4"/>
        <v>-234968.98821381226</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410933.30140591215</v>
      </c>
      <c r="D10" s="4213">
        <f>IFERROR(Summary1!D10*28,Summary1!D10)</f>
        <v>150793.18442783604</v>
      </c>
      <c r="E10" s="4213">
        <f>IFERROR(Summary1!E10*265,Summary1!E10)</f>
        <v>21516.030634138064</v>
      </c>
      <c r="F10" s="4213">
        <f>Summary1!F10</f>
        <v>1547.7184967079174</v>
      </c>
      <c r="G10" s="4213">
        <f>Summary1!G10</f>
        <v>1620.6064364210433</v>
      </c>
      <c r="H10" s="4213" t="str">
        <f>Summary1!H10</f>
        <v>NO</v>
      </c>
      <c r="I10" s="4288">
        <f>IFERROR(Summary1!I10*23500,Summary1!I10)</f>
        <v>225.51312817449531</v>
      </c>
      <c r="J10" s="4289" t="str">
        <f>IFERROR(Summary1!J10*16100,Summary1!J10)</f>
        <v>NO</v>
      </c>
      <c r="K10" s="4214">
        <f>IF(SUM(C10:J10)=0,"NO",SUM(C10:J10))</f>
        <v>586636.35452918976</v>
      </c>
    </row>
    <row r="11" spans="2:12" ht="18" customHeight="1" x14ac:dyDescent="0.2">
      <c r="B11" s="1550" t="s">
        <v>1476</v>
      </c>
      <c r="C11" s="4253">
        <f>Summary1!C11</f>
        <v>334694.8599594477</v>
      </c>
      <c r="D11" s="4253">
        <f>IFERROR(Summary1!D11*28,Summary1!D11)</f>
        <v>38821.029348956254</v>
      </c>
      <c r="E11" s="4253">
        <f>IFERROR(Summary1!E11*265,Summary1!E11)</f>
        <v>2818.6561111799774</v>
      </c>
      <c r="F11" s="1929"/>
      <c r="G11" s="1929"/>
      <c r="H11" s="1930"/>
      <c r="I11" s="1930"/>
      <c r="J11" s="627"/>
      <c r="K11" s="4290">
        <f t="shared" ref="K11:K55" si="0">IF(SUM(C11:J11)=0,"NO",SUM(C11:J11))</f>
        <v>376334.54541958391</v>
      </c>
      <c r="L11" s="19"/>
    </row>
    <row r="12" spans="2:12" ht="18" customHeight="1" x14ac:dyDescent="0.2">
      <c r="B12" s="620" t="s">
        <v>131</v>
      </c>
      <c r="C12" s="4247">
        <f>Summary1!C12</f>
        <v>326522.57605830528</v>
      </c>
      <c r="D12" s="4247">
        <f>IFERROR(Summary1!D12*28,Summary1!D12)</f>
        <v>3017.310352051074</v>
      </c>
      <c r="E12" s="4247">
        <f>IFERROR(Summary1!E12*265,Summary1!E12)</f>
        <v>2789.8028187187338</v>
      </c>
      <c r="F12" s="628"/>
      <c r="G12" s="628"/>
      <c r="H12" s="628"/>
      <c r="I12" s="69"/>
      <c r="J12" s="69"/>
      <c r="K12" s="4291">
        <f t="shared" si="0"/>
        <v>332329.68922907504</v>
      </c>
      <c r="L12" s="19"/>
    </row>
    <row r="13" spans="2:12" ht="18" customHeight="1" x14ac:dyDescent="0.2">
      <c r="B13" s="1392" t="s">
        <v>1478</v>
      </c>
      <c r="C13" s="4247">
        <f>Summary1!C13</f>
        <v>199024.16474164414</v>
      </c>
      <c r="D13" s="4247">
        <f>IFERROR(Summary1!D13*28,Summary1!D13)</f>
        <v>333.15807946279921</v>
      </c>
      <c r="E13" s="4247">
        <f>IFERROR(Summary1!E13*265,Summary1!E13)</f>
        <v>699.62162536858773</v>
      </c>
      <c r="F13" s="628"/>
      <c r="G13" s="628"/>
      <c r="H13" s="628"/>
      <c r="I13" s="69"/>
      <c r="J13" s="69"/>
      <c r="K13" s="4291">
        <f t="shared" si="0"/>
        <v>200056.94444647554</v>
      </c>
      <c r="L13" s="19"/>
    </row>
    <row r="14" spans="2:12" ht="18" customHeight="1" x14ac:dyDescent="0.2">
      <c r="B14" s="1392" t="s">
        <v>1517</v>
      </c>
      <c r="C14" s="4247">
        <f>Summary1!C14</f>
        <v>38027.956942513301</v>
      </c>
      <c r="D14" s="4247">
        <f>IFERROR(Summary1!D14*28,Summary1!D14)</f>
        <v>58.703387433285457</v>
      </c>
      <c r="E14" s="4247">
        <f>IFERROR(Summary1!E14*265,Summary1!E14)</f>
        <v>329.38250194766312</v>
      </c>
      <c r="F14" s="628"/>
      <c r="G14" s="628"/>
      <c r="H14" s="628"/>
      <c r="I14" s="69"/>
      <c r="J14" s="69"/>
      <c r="K14" s="4291">
        <f t="shared" si="0"/>
        <v>38416.04283189425</v>
      </c>
      <c r="L14" s="19"/>
    </row>
    <row r="15" spans="2:12" ht="18" customHeight="1" x14ac:dyDescent="0.2">
      <c r="B15" s="1392" t="s">
        <v>1480</v>
      </c>
      <c r="C15" s="4247">
        <f>Summary1!C15</f>
        <v>71661.082472194263</v>
      </c>
      <c r="D15" s="4247">
        <f>IFERROR(Summary1!D15*28,Summary1!D15)</f>
        <v>728.15613164524098</v>
      </c>
      <c r="E15" s="4247">
        <f>IFERROR(Summary1!E15*265,Summary1!E15)</f>
        <v>1585.4106398371609</v>
      </c>
      <c r="F15" s="628"/>
      <c r="G15" s="628"/>
      <c r="H15" s="628"/>
      <c r="I15" s="69"/>
      <c r="J15" s="69"/>
      <c r="K15" s="4291">
        <f t="shared" si="0"/>
        <v>73974.649243676671</v>
      </c>
      <c r="L15" s="19"/>
    </row>
    <row r="16" spans="2:12" ht="18" customHeight="1" x14ac:dyDescent="0.2">
      <c r="B16" s="1392" t="s">
        <v>1481</v>
      </c>
      <c r="C16" s="4247">
        <f>Summary1!C16</f>
        <v>17176.218506658799</v>
      </c>
      <c r="D16" s="4247">
        <f>IFERROR(Summary1!D16*28,Summary1!D16)</f>
        <v>1896.6373225752604</v>
      </c>
      <c r="E16" s="4247">
        <f>IFERROR(Summary1!E16*265,Summary1!E16)</f>
        <v>170.7814944705336</v>
      </c>
      <c r="F16" s="628"/>
      <c r="G16" s="628"/>
      <c r="H16" s="628"/>
      <c r="I16" s="69"/>
      <c r="J16" s="69"/>
      <c r="K16" s="4291">
        <f t="shared" si="0"/>
        <v>19243.637323704595</v>
      </c>
      <c r="L16" s="19"/>
    </row>
    <row r="17" spans="2:12" ht="18" customHeight="1" x14ac:dyDescent="0.2">
      <c r="B17" s="1392" t="s">
        <v>1482</v>
      </c>
      <c r="C17" s="4247">
        <f>Summary1!C17</f>
        <v>633.15339529481685</v>
      </c>
      <c r="D17" s="4247">
        <f>IFERROR(Summary1!D17*28,Summary1!D17)</f>
        <v>0.6554309344884246</v>
      </c>
      <c r="E17" s="4247">
        <f>IFERROR(Summary1!E17*265,Summary1!E17)</f>
        <v>4.6065570947888412</v>
      </c>
      <c r="F17" s="628"/>
      <c r="G17" s="628"/>
      <c r="H17" s="628"/>
      <c r="I17" s="69"/>
      <c r="J17" s="69"/>
      <c r="K17" s="4291">
        <f t="shared" si="0"/>
        <v>638.41538332409414</v>
      </c>
      <c r="L17" s="19"/>
    </row>
    <row r="18" spans="2:12" ht="18" customHeight="1" x14ac:dyDescent="0.2">
      <c r="B18" s="620" t="s">
        <v>99</v>
      </c>
      <c r="C18" s="4247">
        <f>Summary1!C18</f>
        <v>8172.2839011424339</v>
      </c>
      <c r="D18" s="4247">
        <f>IFERROR(Summary1!D18*28,Summary1!D18)</f>
        <v>35803.718996905183</v>
      </c>
      <c r="E18" s="4247">
        <f>IFERROR(Summary1!E18*265,Summary1!E18)</f>
        <v>28.853292461243523</v>
      </c>
      <c r="F18" s="628"/>
      <c r="G18" s="628"/>
      <c r="H18" s="628"/>
      <c r="I18" s="69"/>
      <c r="J18" s="69"/>
      <c r="K18" s="4291">
        <f t="shared" si="0"/>
        <v>44004.856190508865</v>
      </c>
      <c r="L18" s="19"/>
    </row>
    <row r="19" spans="2:12" ht="18" customHeight="1" x14ac:dyDescent="0.2">
      <c r="B19" s="1392" t="s">
        <v>1483</v>
      </c>
      <c r="C19" s="4247">
        <f>Summary1!C19</f>
        <v>1218.1287625307975</v>
      </c>
      <c r="D19" s="4247">
        <f>IFERROR(Summary1!D19*28,Summary1!D19)</f>
        <v>28185.695729645624</v>
      </c>
      <c r="E19" s="4247">
        <f>IFERROR(Summary1!E19*265,Summary1!E19)</f>
        <v>4.5042594290033936E-3</v>
      </c>
      <c r="F19" s="628"/>
      <c r="G19" s="628"/>
      <c r="H19" s="628"/>
      <c r="I19" s="69"/>
      <c r="J19" s="69"/>
      <c r="K19" s="4291">
        <f t="shared" si="0"/>
        <v>29403.828996435848</v>
      </c>
      <c r="L19" s="19"/>
    </row>
    <row r="20" spans="2:12" ht="18" customHeight="1" x14ac:dyDescent="0.2">
      <c r="B20" s="1393" t="s">
        <v>1484</v>
      </c>
      <c r="C20" s="4247">
        <f>Summary1!C20</f>
        <v>6954.1551386116362</v>
      </c>
      <c r="D20" s="4247">
        <f>IFERROR(Summary1!D20*28,Summary1!D20)</f>
        <v>7618.0232672595594</v>
      </c>
      <c r="E20" s="4247">
        <f>IFERROR(Summary1!E20*265,Summary1!E20)</f>
        <v>28.848788201814518</v>
      </c>
      <c r="F20" s="628"/>
      <c r="G20" s="628"/>
      <c r="H20" s="628"/>
      <c r="I20" s="69"/>
      <c r="J20" s="69"/>
      <c r="K20" s="4291">
        <f t="shared" si="0"/>
        <v>14601.027194073011</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21241.524367521084</v>
      </c>
      <c r="D22" s="4253">
        <f>IFERROR(Summary1!D22*28,Summary1!D22)</f>
        <v>90.707567208303146</v>
      </c>
      <c r="E22" s="4253">
        <f>IFERROR(Summary1!E22*265,Summary1!E22)</f>
        <v>1872.9115927282935</v>
      </c>
      <c r="F22" s="4253">
        <f>Summary1!F22</f>
        <v>1547.7184967079174</v>
      </c>
      <c r="G22" s="4253">
        <f>Summary1!G22</f>
        <v>1620.6064364210433</v>
      </c>
      <c r="H22" s="4253" t="str">
        <f>Summary1!H22</f>
        <v>NO</v>
      </c>
      <c r="I22" s="4253">
        <f>IFERROR(Summary1!I22*23500,Summary1!I22)</f>
        <v>225.51312817449531</v>
      </c>
      <c r="J22" s="4293" t="str">
        <f>IFERROR(Summary1!J22*16100,Summary1!J22)</f>
        <v>NO</v>
      </c>
      <c r="K22" s="4290">
        <f t="shared" si="0"/>
        <v>26598.98158876114</v>
      </c>
      <c r="L22" s="19"/>
    </row>
    <row r="23" spans="2:12" ht="18" customHeight="1" x14ac:dyDescent="0.2">
      <c r="B23" s="1394" t="s">
        <v>1487</v>
      </c>
      <c r="C23" s="4247">
        <f>Summary1!C23</f>
        <v>6238.6898869835768</v>
      </c>
      <c r="D23" s="628"/>
      <c r="E23" s="628"/>
      <c r="F23" s="628"/>
      <c r="G23" s="628"/>
      <c r="H23" s="628"/>
      <c r="I23" s="69"/>
      <c r="J23" s="69"/>
      <c r="K23" s="4291">
        <f t="shared" si="0"/>
        <v>6238.6898869835768</v>
      </c>
      <c r="L23" s="19"/>
    </row>
    <row r="24" spans="2:12" ht="18" customHeight="1" x14ac:dyDescent="0.2">
      <c r="B24" s="1394" t="s">
        <v>621</v>
      </c>
      <c r="C24" s="4247">
        <f>Summary1!C24</f>
        <v>2004.6535722962215</v>
      </c>
      <c r="D24" s="4247">
        <f>IFERROR(Summary1!D24*28,Summary1!D24)</f>
        <v>13.6383464</v>
      </c>
      <c r="E24" s="4247">
        <f>IFERROR(Summary1!E24*265,Summary1!E24)</f>
        <v>1852.1070338096774</v>
      </c>
      <c r="F24" s="1924" t="str">
        <f>Summary1!F24</f>
        <v>NO</v>
      </c>
      <c r="G24" s="1924" t="str">
        <f>Summary1!G24</f>
        <v>NO</v>
      </c>
      <c r="H24" s="1924" t="str">
        <f>Summary1!H24</f>
        <v>NO</v>
      </c>
      <c r="I24" s="616" t="str">
        <f>IFERROR(Summary1!I24*23500,Summary1!I24)</f>
        <v>NO</v>
      </c>
      <c r="J24" s="616" t="str">
        <f>IFERROR(Summary1!J24*16100,Summary1!J24)</f>
        <v>NO</v>
      </c>
      <c r="K24" s="4291">
        <f t="shared" si="0"/>
        <v>3870.3989525058987</v>
      </c>
      <c r="L24" s="19"/>
    </row>
    <row r="25" spans="2:12" ht="18" customHeight="1" x14ac:dyDescent="0.2">
      <c r="B25" s="1394" t="s">
        <v>459</v>
      </c>
      <c r="C25" s="4247">
        <f>Summary1!C25</f>
        <v>12559.720129267935</v>
      </c>
      <c r="D25" s="4247">
        <f>IFERROR(Summary1!D25*28,Summary1!D25)</f>
        <v>77.069220808303143</v>
      </c>
      <c r="E25" s="4247">
        <f>IFERROR(Summary1!E25*265,Summary1!E25)</f>
        <v>20.804558918616152</v>
      </c>
      <c r="F25" s="1924" t="str">
        <f>Summary1!F25</f>
        <v>NO</v>
      </c>
      <c r="G25" s="4247">
        <f>Summary1!G25</f>
        <v>1620.6064364210433</v>
      </c>
      <c r="H25" s="4247" t="str">
        <f>Summary1!H25</f>
        <v>NO</v>
      </c>
      <c r="I25" s="4247" t="str">
        <f>IFERROR(Summary1!I25*23500,Summary1!I25)</f>
        <v>NO</v>
      </c>
      <c r="J25" s="4247" t="str">
        <f>IFERROR(Summary1!J25*16100,Summary1!J25)</f>
        <v>NO</v>
      </c>
      <c r="K25" s="4291">
        <f t="shared" si="0"/>
        <v>14278.200345415898</v>
      </c>
      <c r="L25" s="19"/>
    </row>
    <row r="26" spans="2:12" ht="18" customHeight="1" x14ac:dyDescent="0.2">
      <c r="B26" s="1395" t="s">
        <v>1519</v>
      </c>
      <c r="C26" s="4247">
        <f>Summary1!C26</f>
        <v>291.00466500000005</v>
      </c>
      <c r="D26" s="4247" t="str">
        <f>IFERROR(Summary1!D26*28,Summary1!D26)</f>
        <v>NO</v>
      </c>
      <c r="E26" s="4247" t="str">
        <f>IFERROR(Summary1!E26*265,Summary1!E26)</f>
        <v>NO</v>
      </c>
      <c r="F26" s="628"/>
      <c r="G26" s="628"/>
      <c r="H26" s="628"/>
      <c r="I26" s="69"/>
      <c r="J26" s="69"/>
      <c r="K26" s="4291">
        <f t="shared" si="0"/>
        <v>291.00466500000005</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1547.7184967079174</v>
      </c>
      <c r="G28" s="4247" t="str">
        <f>Summary1!G28</f>
        <v>NO</v>
      </c>
      <c r="H28" s="4247" t="str">
        <f>Summary1!H28</f>
        <v>NO</v>
      </c>
      <c r="I28" s="4247" t="str">
        <f>IFERROR(Summary1!I28*23500,Summary1!I28)</f>
        <v>NO</v>
      </c>
      <c r="J28" s="4247" t="str">
        <f>IFERROR(Summary1!J28*16100,Summary1!J28)</f>
        <v>NO</v>
      </c>
      <c r="K28" s="4291">
        <f t="shared" si="0"/>
        <v>1547.7184967079174</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225.51312817449531</v>
      </c>
      <c r="J29" s="4247" t="str">
        <f>IFERROR(Summary1!J29*16100,Summary1!J29)</f>
        <v>NO</v>
      </c>
      <c r="K29" s="4291">
        <f t="shared" si="0"/>
        <v>225.51312817449531</v>
      </c>
      <c r="L29" s="19"/>
    </row>
    <row r="30" spans="2:12" ht="18" customHeight="1" thickBot="1" x14ac:dyDescent="0.25">
      <c r="B30" s="1407" t="s">
        <v>1523</v>
      </c>
      <c r="C30" s="4266">
        <f>Summary1!C30</f>
        <v>147.45611397335256</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147.45611397335256</v>
      </c>
      <c r="L30" s="19"/>
    </row>
    <row r="31" spans="2:12" ht="18" customHeight="1" x14ac:dyDescent="0.2">
      <c r="B31" s="772" t="s">
        <v>1491</v>
      </c>
      <c r="C31" s="4253">
        <f>Summary1!C31</f>
        <v>1818.6433506091305</v>
      </c>
      <c r="D31" s="4253">
        <f>IFERROR(Summary1!D31*28,Summary1!D31)</f>
        <v>73603.977889587724</v>
      </c>
      <c r="E31" s="4253">
        <f>IFERROR(Summary1!E31*265,Summary1!E31)</f>
        <v>12207.489754438426</v>
      </c>
      <c r="F31" s="1929"/>
      <c r="G31" s="1929"/>
      <c r="H31" s="1929"/>
      <c r="I31" s="4215"/>
      <c r="J31" s="627"/>
      <c r="K31" s="4290">
        <f t="shared" si="0"/>
        <v>87630.110994635281</v>
      </c>
      <c r="L31" s="19"/>
    </row>
    <row r="32" spans="2:12" ht="18" customHeight="1" x14ac:dyDescent="0.2">
      <c r="B32" s="620" t="s">
        <v>1492</v>
      </c>
      <c r="C32" s="628"/>
      <c r="D32" s="4247">
        <f>IFERROR(Summary1!D32*28,Summary1!D32)</f>
        <v>65555.480579126452</v>
      </c>
      <c r="E32" s="628"/>
      <c r="F32" s="628"/>
      <c r="G32" s="628"/>
      <c r="H32" s="628"/>
      <c r="I32" s="69"/>
      <c r="J32" s="69"/>
      <c r="K32" s="4291">
        <f t="shared" si="0"/>
        <v>65555.480579126452</v>
      </c>
      <c r="L32" s="19"/>
    </row>
    <row r="33" spans="2:12" ht="18" customHeight="1" x14ac:dyDescent="0.2">
      <c r="B33" s="620" t="s">
        <v>1493</v>
      </c>
      <c r="C33" s="628"/>
      <c r="D33" s="4247">
        <f>IFERROR(Summary1!D33*28,Summary1!D33)</f>
        <v>6875.1991705496584</v>
      </c>
      <c r="E33" s="4247">
        <f>IFERROR(Summary1!E33*265,Summary1!E33)</f>
        <v>385.42722734421938</v>
      </c>
      <c r="F33" s="628"/>
      <c r="G33" s="628"/>
      <c r="H33" s="628"/>
      <c r="I33" s="69"/>
      <c r="J33" s="69"/>
      <c r="K33" s="4291">
        <f t="shared" si="0"/>
        <v>7260.6263978938778</v>
      </c>
      <c r="L33" s="19"/>
    </row>
    <row r="34" spans="2:12" ht="18" customHeight="1" x14ac:dyDescent="0.2">
      <c r="B34" s="620" t="s">
        <v>1494</v>
      </c>
      <c r="C34" s="628"/>
      <c r="D34" s="4247">
        <f>IFERROR(Summary1!D34*28,Summary1!D34)</f>
        <v>786.81837357200004</v>
      </c>
      <c r="E34" s="628"/>
      <c r="F34" s="628"/>
      <c r="G34" s="628"/>
      <c r="H34" s="628"/>
      <c r="I34" s="69"/>
      <c r="J34" s="69"/>
      <c r="K34" s="4291">
        <f t="shared" si="0"/>
        <v>786.81837357200004</v>
      </c>
      <c r="L34" s="19"/>
    </row>
    <row r="35" spans="2:12" ht="18" customHeight="1" x14ac:dyDescent="0.2">
      <c r="B35" s="620" t="s">
        <v>1495</v>
      </c>
      <c r="C35" s="4294"/>
      <c r="D35" s="4247" t="str">
        <f>IFERROR(Summary1!D35*28,Summary1!D35)</f>
        <v>NE</v>
      </c>
      <c r="E35" s="4247">
        <f>IFERROR(Summary1!E35*265,Summary1!E35)</f>
        <v>11670.386992951841</v>
      </c>
      <c r="F35" s="628"/>
      <c r="G35" s="628"/>
      <c r="H35" s="628"/>
      <c r="I35" s="69"/>
      <c r="J35" s="69"/>
      <c r="K35" s="4291">
        <f t="shared" si="0"/>
        <v>11670.386992951841</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386.47976633963606</v>
      </c>
      <c r="E37" s="4247">
        <f>IFERROR(Summary1!E37*265,Summary1!E37)</f>
        <v>151.67553414236735</v>
      </c>
      <c r="F37" s="628"/>
      <c r="G37" s="628"/>
      <c r="H37" s="628"/>
      <c r="I37" s="69"/>
      <c r="J37" s="69"/>
      <c r="K37" s="4291">
        <f t="shared" si="0"/>
        <v>538.15530048200344</v>
      </c>
      <c r="L37" s="19"/>
    </row>
    <row r="38" spans="2:12" ht="18" customHeight="1" x14ac:dyDescent="0.2">
      <c r="B38" s="620" t="s">
        <v>721</v>
      </c>
      <c r="C38" s="1924">
        <f>Summary1!C38</f>
        <v>761.68682887</v>
      </c>
      <c r="D38" s="4295"/>
      <c r="E38" s="4295"/>
      <c r="F38" s="628"/>
      <c r="G38" s="628"/>
      <c r="H38" s="628"/>
      <c r="I38" s="69"/>
      <c r="J38" s="69"/>
      <c r="K38" s="4291">
        <f t="shared" si="0"/>
        <v>761.68682887</v>
      </c>
      <c r="L38" s="19"/>
    </row>
    <row r="39" spans="2:12" ht="18" customHeight="1" x14ac:dyDescent="0.2">
      <c r="B39" s="620" t="s">
        <v>722</v>
      </c>
      <c r="C39" s="1924">
        <f>Summary1!C39</f>
        <v>1056.9565217391305</v>
      </c>
      <c r="D39" s="4295"/>
      <c r="E39" s="4295"/>
      <c r="F39" s="628"/>
      <c r="G39" s="628"/>
      <c r="H39" s="628"/>
      <c r="I39" s="69"/>
      <c r="J39" s="69"/>
      <c r="K39" s="4291">
        <f t="shared" si="0"/>
        <v>1056.9565217391305</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53149.910942369774</v>
      </c>
      <c r="D42" s="1927">
        <f>IFERROR(Summary1!D42*28,Summary1!D42)</f>
        <v>19630.662974953997</v>
      </c>
      <c r="E42" s="1927">
        <f>IFERROR(Summary1!E42*265,Summary1!E42)</f>
        <v>4399.7002556358048</v>
      </c>
      <c r="F42" s="1929"/>
      <c r="G42" s="1929"/>
      <c r="H42" s="1929"/>
      <c r="I42" s="4215"/>
      <c r="J42" s="627"/>
      <c r="K42" s="4290">
        <f t="shared" si="0"/>
        <v>77180.274172959573</v>
      </c>
      <c r="L42" s="19"/>
    </row>
    <row r="43" spans="2:12" ht="18" customHeight="1" x14ac:dyDescent="0.2">
      <c r="B43" s="620" t="s">
        <v>981</v>
      </c>
      <c r="C43" s="1924">
        <f>Summary1!C43</f>
        <v>-27133.555216804682</v>
      </c>
      <c r="D43" s="1924">
        <f>IFERROR(Summary1!D43*28,Summary1!D43)</f>
        <v>6270.3791373492986</v>
      </c>
      <c r="E43" s="1924">
        <f>IFERROR(Summary1!E43*265,Summary1!E43)</f>
        <v>1205.2155089477801</v>
      </c>
      <c r="F43" s="1931"/>
      <c r="G43" s="1931"/>
      <c r="H43" s="1931"/>
      <c r="I43" s="3352"/>
      <c r="J43" s="69"/>
      <c r="K43" s="4291">
        <f t="shared" si="0"/>
        <v>-19657.960570507603</v>
      </c>
      <c r="L43" s="19"/>
    </row>
    <row r="44" spans="2:12" ht="18" customHeight="1" x14ac:dyDescent="0.2">
      <c r="B44" s="620" t="s">
        <v>984</v>
      </c>
      <c r="C44" s="1924">
        <f>Summary1!C44</f>
        <v>6129.4941960607175</v>
      </c>
      <c r="D44" s="1924">
        <f>IFERROR(Summary1!D44*28,Summary1!D44)</f>
        <v>125.19722880000002</v>
      </c>
      <c r="E44" s="1924">
        <f>IFERROR(Summary1!E44*265,Summary1!E44)</f>
        <v>49.582379466475942</v>
      </c>
      <c r="F44" s="1931"/>
      <c r="G44" s="1931"/>
      <c r="H44" s="1931"/>
      <c r="I44" s="3352"/>
      <c r="J44" s="69"/>
      <c r="K44" s="4291">
        <f t="shared" si="0"/>
        <v>6304.2738043271929</v>
      </c>
      <c r="L44" s="19"/>
    </row>
    <row r="45" spans="2:12" ht="18" customHeight="1" x14ac:dyDescent="0.2">
      <c r="B45" s="620" t="s">
        <v>987</v>
      </c>
      <c r="C45" s="1924">
        <f>Summary1!C45</f>
        <v>75427.288369374437</v>
      </c>
      <c r="D45" s="1924">
        <f>IFERROR(Summary1!D45*28,Summary1!D45)</f>
        <v>10452.690593110277</v>
      </c>
      <c r="E45" s="1924">
        <f>IFERROR(Summary1!E45*265,Summary1!E45)</f>
        <v>3014.9245757245012</v>
      </c>
      <c r="F45" s="1931"/>
      <c r="G45" s="1931"/>
      <c r="H45" s="1931"/>
      <c r="I45" s="3352"/>
      <c r="J45" s="69"/>
      <c r="K45" s="4291">
        <f t="shared" si="0"/>
        <v>88894.903538209226</v>
      </c>
      <c r="L45" s="19"/>
    </row>
    <row r="46" spans="2:12" ht="18" customHeight="1" x14ac:dyDescent="0.2">
      <c r="B46" s="620" t="s">
        <v>1525</v>
      </c>
      <c r="C46" s="1924">
        <f>Summary1!C46</f>
        <v>387.88955243601038</v>
      </c>
      <c r="D46" s="1924">
        <f>IFERROR(Summary1!D46*28,Summary1!D46)</f>
        <v>2701.3122940944222</v>
      </c>
      <c r="E46" s="1924">
        <f>IFERROR(Summary1!E46*265,Summary1!E46)</f>
        <v>87.738184468514206</v>
      </c>
      <c r="F46" s="1931"/>
      <c r="G46" s="1931"/>
      <c r="H46" s="1931"/>
      <c r="I46" s="3352"/>
      <c r="J46" s="69"/>
      <c r="K46" s="4291">
        <f t="shared" si="0"/>
        <v>3176.9400309989469</v>
      </c>
      <c r="L46" s="19"/>
    </row>
    <row r="47" spans="2:12" ht="18" customHeight="1" x14ac:dyDescent="0.2">
      <c r="B47" s="620" t="s">
        <v>1526</v>
      </c>
      <c r="C47" s="1924">
        <f>Summary1!C47</f>
        <v>4860.0469660885983</v>
      </c>
      <c r="D47" s="1924">
        <f>IFERROR(Summary1!D47*28,Summary1!D47)</f>
        <v>81.083721600000018</v>
      </c>
      <c r="E47" s="1924">
        <f>IFERROR(Summary1!E47*265,Summary1!E47)</f>
        <v>22.926687925504364</v>
      </c>
      <c r="F47" s="1931"/>
      <c r="G47" s="1931"/>
      <c r="H47" s="1931"/>
      <c r="I47" s="3352"/>
      <c r="J47" s="69"/>
      <c r="K47" s="4291">
        <f t="shared" si="0"/>
        <v>4964.057375614103</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-6523.270398507766</v>
      </c>
      <c r="D49" s="3835"/>
      <c r="E49" s="3835"/>
      <c r="F49" s="1931"/>
      <c r="G49" s="1931"/>
      <c r="H49" s="1931"/>
      <c r="I49" s="3352"/>
      <c r="J49" s="69"/>
      <c r="K49" s="4291">
        <f t="shared" si="0"/>
        <v>-6523.270398507766</v>
      </c>
      <c r="L49" s="19"/>
    </row>
    <row r="50" spans="2:12" ht="18" customHeight="1" thickBot="1" x14ac:dyDescent="0.25">
      <c r="B50" s="1552" t="s">
        <v>1529</v>
      </c>
      <c r="C50" s="1926">
        <f>Summary1!C50</f>
        <v>2.0174737224522223</v>
      </c>
      <c r="D50" s="1926" t="str">
        <f>IFERROR(Summary1!D50*28,Summary1!D50)</f>
        <v>NO</v>
      </c>
      <c r="E50" s="1926">
        <f>IFERROR(Summary1!E50*265,Summary1!E50)</f>
        <v>19.31291910302857</v>
      </c>
      <c r="F50" s="3024"/>
      <c r="G50" s="3024"/>
      <c r="H50" s="3024"/>
      <c r="I50" s="3828"/>
      <c r="J50" s="87"/>
      <c r="K50" s="4292">
        <f t="shared" si="0"/>
        <v>21.330392825480793</v>
      </c>
      <c r="L50" s="19"/>
    </row>
    <row r="51" spans="2:12" ht="18" customHeight="1" x14ac:dyDescent="0.2">
      <c r="B51" s="1550" t="s">
        <v>1500</v>
      </c>
      <c r="C51" s="1927">
        <f>Summary1!C51</f>
        <v>28.362785964459299</v>
      </c>
      <c r="D51" s="1927">
        <f>IFERROR(Summary1!D51*28,Summary1!D51)</f>
        <v>18646.806647129735</v>
      </c>
      <c r="E51" s="1927">
        <f>IFERROR(Summary1!E51*265,Summary1!E51)</f>
        <v>217.27292015556245</v>
      </c>
      <c r="F51" s="1929"/>
      <c r="G51" s="1929"/>
      <c r="H51" s="1929"/>
      <c r="I51" s="4215"/>
      <c r="J51" s="627"/>
      <c r="K51" s="4290">
        <f t="shared" si="0"/>
        <v>18892.442353249757</v>
      </c>
      <c r="L51" s="19"/>
    </row>
    <row r="52" spans="2:12" ht="18" customHeight="1" x14ac:dyDescent="0.2">
      <c r="B52" s="620" t="s">
        <v>1530</v>
      </c>
      <c r="C52" s="628"/>
      <c r="D52" s="1924">
        <f>IFERROR(Summary1!D52*28,Summary1!D52)</f>
        <v>13800.337465600001</v>
      </c>
      <c r="E52" s="1931"/>
      <c r="F52" s="628"/>
      <c r="G52" s="628"/>
      <c r="H52" s="628"/>
      <c r="I52" s="69"/>
      <c r="J52" s="69"/>
      <c r="K52" s="4291">
        <f t="shared" si="0"/>
        <v>13800.337465600001</v>
      </c>
      <c r="L52" s="19"/>
    </row>
    <row r="53" spans="2:12" ht="18" customHeight="1" x14ac:dyDescent="0.2">
      <c r="B53" s="1396" t="s">
        <v>1531</v>
      </c>
      <c r="C53" s="628"/>
      <c r="D53" s="1924">
        <f>IFERROR(Summary1!D53*28,Summary1!D53)</f>
        <v>50.720478296991928</v>
      </c>
      <c r="E53" s="1924">
        <f>IFERROR(Summary1!E53*265,Summary1!E53)</f>
        <v>61.444236565498791</v>
      </c>
      <c r="F53" s="628"/>
      <c r="G53" s="628"/>
      <c r="H53" s="628"/>
      <c r="I53" s="69"/>
      <c r="J53" s="69"/>
      <c r="K53" s="4291">
        <f t="shared" si="0"/>
        <v>112.16471486249071</v>
      </c>
      <c r="L53" s="19"/>
    </row>
    <row r="54" spans="2:12" ht="18" customHeight="1" x14ac:dyDescent="0.2">
      <c r="B54" s="1397" t="s">
        <v>1532</v>
      </c>
      <c r="C54" s="1924">
        <f>Summary1!C54</f>
        <v>28.362785964459299</v>
      </c>
      <c r="D54" s="1924" t="str">
        <f>IFERROR(Summary1!D54*28,Summary1!D54)</f>
        <v>NO,NE</v>
      </c>
      <c r="E54" s="1924" t="str">
        <f>IFERROR(Summary1!E54*265,Summary1!E54)</f>
        <v>NO,NE</v>
      </c>
      <c r="F54" s="628"/>
      <c r="G54" s="628"/>
      <c r="H54" s="628"/>
      <c r="I54" s="69"/>
      <c r="J54" s="69"/>
      <c r="K54" s="4291">
        <f t="shared" si="0"/>
        <v>28.362785964459299</v>
      </c>
      <c r="L54" s="19"/>
    </row>
    <row r="55" spans="2:12" ht="18" customHeight="1" x14ac:dyDescent="0.2">
      <c r="B55" s="620" t="s">
        <v>1533</v>
      </c>
      <c r="C55" s="628"/>
      <c r="D55" s="1924">
        <f>IFERROR(Summary1!D55*28,Summary1!D55)</f>
        <v>4795.7487032327444</v>
      </c>
      <c r="E55" s="1924">
        <f>IFERROR(Summary1!E55*265,Summary1!E55)</f>
        <v>155.82868359006363</v>
      </c>
      <c r="F55" s="628"/>
      <c r="G55" s="628"/>
      <c r="H55" s="628"/>
      <c r="I55" s="69"/>
      <c r="J55" s="69"/>
      <c r="K55" s="4291">
        <f t="shared" si="0"/>
        <v>4951.577386822808</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10489.664999999999</v>
      </c>
      <c r="D60" s="4219">
        <f>IFERROR(Summary1!D61*28,Summary1!D61)</f>
        <v>7.4072187466666675</v>
      </c>
      <c r="E60" s="4219">
        <f>IFERROR(Summary1!E61*265,Summary1!E61)</f>
        <v>29.601959328964909</v>
      </c>
      <c r="F60" s="1931"/>
      <c r="G60" s="1931"/>
      <c r="H60" s="1932"/>
      <c r="I60" s="630"/>
      <c r="J60" s="630"/>
      <c r="K60" s="4220">
        <f t="shared" ref="K60:K66" si="2">IF(SUM(C60:J60)=0,"NO",SUM(C60:J60))</f>
        <v>10526.674178075631</v>
      </c>
    </row>
    <row r="61" spans="2:12" ht="18" customHeight="1" x14ac:dyDescent="0.2">
      <c r="B61" s="1386" t="s">
        <v>111</v>
      </c>
      <c r="C61" s="4219">
        <f>Summary1!C62</f>
        <v>7861.3199999999988</v>
      </c>
      <c r="D61" s="4219">
        <f>IFERROR(Summary1!D62*28,Summary1!D62)</f>
        <v>0.36101874666666672</v>
      </c>
      <c r="E61" s="4219">
        <f>IFERROR(Summary1!E62*265,Summary1!E62)</f>
        <v>10.548459328964912</v>
      </c>
      <c r="F61" s="628"/>
      <c r="G61" s="628"/>
      <c r="H61" s="628"/>
      <c r="I61" s="631"/>
      <c r="J61" s="631"/>
      <c r="K61" s="4234">
        <f t="shared" si="2"/>
        <v>7872.2294780756301</v>
      </c>
    </row>
    <row r="62" spans="2:12" ht="18" customHeight="1" x14ac:dyDescent="0.2">
      <c r="B62" s="1387" t="s">
        <v>1503</v>
      </c>
      <c r="C62" s="4219">
        <f>Summary1!C63</f>
        <v>2628.3449999999998</v>
      </c>
      <c r="D62" s="4219">
        <f>IFERROR(Summary1!D63*28,Summary1!D63)</f>
        <v>7.0462000000000007</v>
      </c>
      <c r="E62" s="4219">
        <f>IFERROR(Summary1!E63*265,Summary1!E63)</f>
        <v>19.053499999999996</v>
      </c>
      <c r="F62" s="628"/>
      <c r="G62" s="628"/>
      <c r="H62" s="628"/>
      <c r="I62" s="632"/>
      <c r="J62" s="632"/>
      <c r="K62" s="4220">
        <f t="shared" si="2"/>
        <v>2654.4447</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18429.667800000003</v>
      </c>
      <c r="D64" s="1931"/>
      <c r="E64" s="1931"/>
      <c r="F64" s="1931"/>
      <c r="G64" s="1931"/>
      <c r="H64" s="1931"/>
      <c r="I64" s="3352"/>
      <c r="J64" s="3352"/>
      <c r="K64" s="3821">
        <f t="shared" si="2"/>
        <v>18429.667800000003</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-234968.98821381226</v>
      </c>
      <c r="D66" s="4301"/>
      <c r="E66" s="4301"/>
      <c r="F66" s="4301"/>
      <c r="G66" s="4301"/>
      <c r="H66" s="4301"/>
      <c r="I66" s="3824"/>
      <c r="J66" s="3824"/>
      <c r="K66" s="4302">
        <f t="shared" si="2"/>
        <v>-234968.98821381226</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509456.0803562302</v>
      </c>
      <c r="N71" s="1126"/>
    </row>
    <row r="72" spans="2:14" s="634" customFormat="1" ht="18" customHeight="1" x14ac:dyDescent="0.25">
      <c r="B72" s="637"/>
      <c r="C72" s="638"/>
      <c r="D72" s="638"/>
      <c r="E72" s="638"/>
      <c r="F72" s="638"/>
      <c r="G72" s="638"/>
      <c r="H72" s="638"/>
      <c r="I72" s="638"/>
      <c r="J72" s="2553" t="s">
        <v>2122</v>
      </c>
      <c r="K72" s="3821">
        <f>K10</f>
        <v>586636.35452918976</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723315.15332718298</v>
      </c>
      <c r="D10" s="3076" t="s">
        <v>1814</v>
      </c>
      <c r="E10" s="628"/>
      <c r="F10" s="628"/>
      <c r="G10" s="628"/>
      <c r="H10" s="1913">
        <f>IF(SUM(H11:H15)=0,"NO",SUM(H11:H15))</f>
        <v>38027.956942513301</v>
      </c>
      <c r="I10" s="1913">
        <f t="shared" ref="I10:K10" si="0">IF(SUM(I11:I16)=0,"NO",SUM(I11:I16))</f>
        <v>2.0965495511887662</v>
      </c>
      <c r="J10" s="1847">
        <f t="shared" si="0"/>
        <v>1.2429528375383514</v>
      </c>
      <c r="K10" s="3065" t="str">
        <f t="shared" si="0"/>
        <v>NO</v>
      </c>
    </row>
    <row r="11" spans="2:11" ht="18" customHeight="1" x14ac:dyDescent="0.2">
      <c r="B11" s="282" t="s">
        <v>132</v>
      </c>
      <c r="C11" s="1913">
        <f>IF(SUM(C18,C25,C32,C39,C46,C53,C62,C69,C76,C83,C90,C97,C114,C104:C107)=0,"NO",SUM(C18,C25,C32,C39,C46,C53,C62,C69,C76,C83,C90,C97,C114,C104:C107))</f>
        <v>164969.53252283984</v>
      </c>
      <c r="D11" s="3077" t="s">
        <v>1814</v>
      </c>
      <c r="E11" s="1913">
        <f>IFERROR(H11*1000/$C11,"NA")</f>
        <v>69.064557610607878</v>
      </c>
      <c r="F11" s="1913">
        <f t="shared" ref="F11:G16" si="1">IFERROR(I11*1000000/$C11,"NA")</f>
        <v>3.9302350902479302</v>
      </c>
      <c r="G11" s="1913">
        <f t="shared" si="1"/>
        <v>2.0479440999715961</v>
      </c>
      <c r="H11" s="1913">
        <f>IF(SUM(H18,H25,H32,H39,H46,H53,H62,H69,H76,H83,H90,H97,H114,H104:H107)=0,"NO",SUM(H18,H25,H32,H39,H46,H53,H62,H69,H76,H83,H90,H97,H114,H104:H107))</f>
        <v>11393.547782918724</v>
      </c>
      <c r="I11" s="1913">
        <f>IF(SUM(I18,I25,I32,I39,I46,I53,I62,I69,I76,I83,I90,I97,I114,I104:I107)=0,"NO",SUM(I18,I25,I32,I39,I46,I53,I62,I69,I76,I83,I90,I97,I114,I104:I107))</f>
        <v>0.64836904554306229</v>
      </c>
      <c r="J11" s="1913">
        <f>IF(SUM(J18,J25,J32,J39,J46,J53,J62,J69,J76,J83,J90,J97,J114,J104:J107)=0,"NO",SUM(J18,J25,J32,J39,J46,J53,J62,J69,J76,J83,J90,J97,J114,J104:J107))</f>
        <v>0.33784838080522223</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119663.9116395349</v>
      </c>
      <c r="D12" s="3077" t="s">
        <v>1814</v>
      </c>
      <c r="E12" s="1913">
        <f t="shared" ref="E12:E16" si="2">IFERROR(H12*1000/$C12,"NA")</f>
        <v>81.393251270831271</v>
      </c>
      <c r="F12" s="1913">
        <f t="shared" si="1"/>
        <v>0.96223342939963274</v>
      </c>
      <c r="G12" s="1913">
        <f t="shared" si="1"/>
        <v>0.7071244966953093</v>
      </c>
      <c r="H12" s="1913">
        <f>IF(SUM(H19,H26,H33,H40,H47,H54,H63,H70,H77,H84,H91,H98,H115)=0,"NO",SUM(H19,H26,H33,H40,H47,H54,H63,H70,H77,H84,H91,H98,H115))</f>
        <v>9739.8348281272138</v>
      </c>
      <c r="I12" s="1913">
        <f>IF(SUM(I19,I26,I33,I40,I47,I54,I63,I70,I77,I84,I91,I98,I115)=0,"NO",SUM(I19,I26,I33,I40,I47,I54,I63,I70,I77,I84,I91,I98,I115))</f>
        <v>0.11514461607228429</v>
      </c>
      <c r="J12" s="1913">
        <f>IF(SUM(J19,J26,J33,J40,J47,J54,J63,J70,J77,J84,J91,J98,J115)=0,"NO",SUM(J19,J26,J33,J40,J47,J54,J63,J70,J77,J84,J91,J98,J115))</f>
        <v>8.4617283290698078E-2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328612.01988186489</v>
      </c>
      <c r="D13" s="3077" t="s">
        <v>1814</v>
      </c>
      <c r="E13" s="1913">
        <f t="shared" si="2"/>
        <v>51.411918339265</v>
      </c>
      <c r="F13" s="1913">
        <f t="shared" si="1"/>
        <v>0.98615911228568143</v>
      </c>
      <c r="G13" s="1913">
        <f t="shared" si="1"/>
        <v>0.54293201454631435</v>
      </c>
      <c r="H13" s="1913">
        <f t="shared" ref="H13:K14" si="3">IF(SUM(H20,H27,H34,H41,H48,H55,H64,H71,H78,H85,H92,H99,H116,H109)=0,"NO",SUM(H20,H27,H34,H41,H48,H55,H64,H71,H78,H85,H92,H99,H116,H109))</f>
        <v>16894.574331467364</v>
      </c>
      <c r="I13" s="1913">
        <f t="shared" si="3"/>
        <v>0.3240637378131046</v>
      </c>
      <c r="J13" s="1913">
        <f t="shared" si="3"/>
        <v>0.17841398595859442</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110069.68928294341</v>
      </c>
      <c r="D16" s="3092" t="s">
        <v>1814</v>
      </c>
      <c r="E16" s="1913">
        <f t="shared" si="2"/>
        <v>94.770259186114416</v>
      </c>
      <c r="F16" s="1913">
        <f t="shared" si="1"/>
        <v>9.1666666666666679</v>
      </c>
      <c r="G16" s="1913">
        <f t="shared" si="1"/>
        <v>5.8333333333333357</v>
      </c>
      <c r="H16" s="1913">
        <f>IF(SUM(H23,H30,H37,H44,H51,H58,H67,H74,H81,H88,H95,H102,H119,H111)=0,"NO",SUM(H23,H30,H37,H44,H51,H58,H67,H74,H81,H88,H95,H102,H119,H111))</f>
        <v>10431.332981879626</v>
      </c>
      <c r="I16" s="1913">
        <f>IF(SUM(I23,I30,I37,I44,I51,I58,I67,I74,I81,I88,I95,I102,I119,I111)=0,"NO",SUM(I23,I30,I37,I44,I51,I58,I67,I74,I81,I88,I95,I102,I119,I111))</f>
        <v>1.0089721517603147</v>
      </c>
      <c r="J16" s="1913">
        <f>IF(SUM(J23,J30,J37,J44,J51,J58,J67,J74,J81,J88,J95,J102,J119,J111)=0,"NO",SUM(J23,J30,J37,J44,J51,J58,J67,J74,J81,J88,J95,J102,J119,J111))</f>
        <v>0.64207318748383679</v>
      </c>
      <c r="K16" s="3065" t="str">
        <f>IF(SUM(K23,K30,K37,K44,K51,K58,K67,K74,K81,K88,K95,K102,K119,K111)=0,"NO",SUM(K23,K30,K37,K44,K51,K58,K67,K74,K81,K88,K95,K102,K119,K111))</f>
        <v>NO</v>
      </c>
    </row>
    <row r="17" spans="2:11" ht="18" customHeight="1" x14ac:dyDescent="0.2">
      <c r="B17" s="1241" t="s">
        <v>151</v>
      </c>
      <c r="C17" s="1913">
        <f>IF(SUM(C18:C23)=0,"NO",SUM(C18:C23))</f>
        <v>52439.7</v>
      </c>
      <c r="D17" s="3076" t="s">
        <v>1814</v>
      </c>
      <c r="E17" s="628"/>
      <c r="F17" s="628"/>
      <c r="G17" s="628"/>
      <c r="H17" s="1913">
        <f>IF(SUM(H18:H22)=0,"NO",SUM(H18:H22))</f>
        <v>2535.4459601166918</v>
      </c>
      <c r="I17" s="1913">
        <f t="shared" ref="I17:K17" si="4">IF(SUM(I18:I23)=0,"NO",SUM(I18:I23))</f>
        <v>6.6246443315853956E-2</v>
      </c>
      <c r="J17" s="1913">
        <f t="shared" si="4"/>
        <v>3.1615984212888998E-2</v>
      </c>
      <c r="K17" s="3065" t="str">
        <f t="shared" si="4"/>
        <v>NO</v>
      </c>
    </row>
    <row r="18" spans="2:11" ht="18" customHeight="1" x14ac:dyDescent="0.2">
      <c r="B18" s="282" t="s">
        <v>132</v>
      </c>
      <c r="C18" s="691">
        <v>2599.9999999999995</v>
      </c>
      <c r="D18" s="3077" t="s">
        <v>1814</v>
      </c>
      <c r="E18" s="1913">
        <f>IFERROR(H18*1000/$C18,"NA")</f>
        <v>70.346153846153854</v>
      </c>
      <c r="F18" s="1913">
        <f t="shared" ref="F18:G23" si="5">IFERROR(I18*1000000/$C18,"NA")</f>
        <v>7.1744612620084327</v>
      </c>
      <c r="G18" s="1913">
        <f t="shared" si="5"/>
        <v>1.2761199806482828</v>
      </c>
      <c r="H18" s="691">
        <v>182.9</v>
      </c>
      <c r="I18" s="691">
        <v>1.8653599281221924E-2</v>
      </c>
      <c r="J18" s="691">
        <v>3.3179119496855344E-3</v>
      </c>
      <c r="K18" s="3093" t="s">
        <v>2146</v>
      </c>
    </row>
    <row r="19" spans="2:11" ht="18" customHeight="1" x14ac:dyDescent="0.2">
      <c r="B19" s="282" t="s">
        <v>133</v>
      </c>
      <c r="C19" s="691">
        <v>22018.700000000004</v>
      </c>
      <c r="D19" s="3077" t="s">
        <v>1814</v>
      </c>
      <c r="E19" s="1913">
        <f t="shared" ref="E19:E23" si="6">IFERROR(H19*1000/$C19,"NA")</f>
        <v>41.883261954611307</v>
      </c>
      <c r="F19" s="1913">
        <f t="shared" si="5"/>
        <v>0.95528011186555961</v>
      </c>
      <c r="G19" s="1913">
        <f t="shared" si="5"/>
        <v>0.58114760242066577</v>
      </c>
      <c r="H19" s="691">
        <v>922.2149800000002</v>
      </c>
      <c r="I19" s="691">
        <v>2.10340261991342E-2</v>
      </c>
      <c r="J19" s="691">
        <v>1.2796114713419916E-2</v>
      </c>
      <c r="K19" s="3093" t="s">
        <v>2146</v>
      </c>
    </row>
    <row r="20" spans="2:11" ht="18" customHeight="1" x14ac:dyDescent="0.2">
      <c r="B20" s="282" t="s">
        <v>134</v>
      </c>
      <c r="C20" s="691">
        <v>27820.999999999993</v>
      </c>
      <c r="D20" s="3077" t="s">
        <v>1814</v>
      </c>
      <c r="E20" s="1913">
        <f t="shared" si="6"/>
        <v>51.411918339265</v>
      </c>
      <c r="F20" s="1913">
        <f t="shared" si="5"/>
        <v>0.95463203463203483</v>
      </c>
      <c r="G20" s="1913">
        <f t="shared" si="5"/>
        <v>0.55720346320346315</v>
      </c>
      <c r="H20" s="691">
        <v>1430.3309801166913</v>
      </c>
      <c r="I20" s="691">
        <v>2.6558817835497833E-2</v>
      </c>
      <c r="J20" s="691">
        <v>1.5501957549783545E-2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197065.80629640003</v>
      </c>
      <c r="D24" s="3077" t="s">
        <v>1814</v>
      </c>
      <c r="E24" s="628"/>
      <c r="F24" s="628"/>
      <c r="G24" s="628"/>
      <c r="H24" s="1913">
        <f>IF(SUM(H25:H29)=0,"NO",SUM(H25:H29))</f>
        <v>12490.503560739275</v>
      </c>
      <c r="I24" s="1913">
        <f t="shared" ref="I24:K24" si="7">IF(SUM(I25:I30)=0,"NO",SUM(I25:I30))</f>
        <v>0.23455369145759009</v>
      </c>
      <c r="J24" s="1913">
        <f t="shared" si="7"/>
        <v>0.13485564244844989</v>
      </c>
      <c r="K24" s="3065" t="str">
        <f t="shared" si="7"/>
        <v>NO</v>
      </c>
    </row>
    <row r="25" spans="2:11" ht="18" customHeight="1" x14ac:dyDescent="0.2">
      <c r="B25" s="282" t="s">
        <v>132</v>
      </c>
      <c r="C25" s="691">
        <v>35250.340296400005</v>
      </c>
      <c r="D25" s="3077" t="s">
        <v>1814</v>
      </c>
      <c r="E25" s="1913">
        <f>IFERROR(H25*1000/$C25,"NA")</f>
        <v>72.887176909640033</v>
      </c>
      <c r="F25" s="1913">
        <f t="shared" ref="F25:G30" si="8">IFERROR(I25*1000000/$C25,"NA")</f>
        <v>1.7298428941577264</v>
      </c>
      <c r="G25" s="1913">
        <f t="shared" si="8"/>
        <v>0.70139076380955157</v>
      </c>
      <c r="H25" s="691">
        <v>2569.29778930872</v>
      </c>
      <c r="I25" s="691">
        <v>6.0977550678369311E-2</v>
      </c>
      <c r="J25" s="691">
        <v>2.4724263105038616E-2</v>
      </c>
      <c r="K25" s="3093" t="s">
        <v>2146</v>
      </c>
    </row>
    <row r="26" spans="2:11" ht="18" customHeight="1" x14ac:dyDescent="0.2">
      <c r="B26" s="282" t="s">
        <v>133</v>
      </c>
      <c r="C26" s="691">
        <v>42315.465999999993</v>
      </c>
      <c r="D26" s="3077" t="s">
        <v>1814</v>
      </c>
      <c r="E26" s="1913">
        <f t="shared" ref="E26:E30" si="9">IFERROR(H26*1000/$C26,"NA")</f>
        <v>92.063949905897218</v>
      </c>
      <c r="F26" s="1913">
        <f t="shared" si="8"/>
        <v>0.95238095238095211</v>
      </c>
      <c r="G26" s="1913">
        <f t="shared" si="8"/>
        <v>0.70609523809523822</v>
      </c>
      <c r="H26" s="691">
        <v>3895.7289420686966</v>
      </c>
      <c r="I26" s="691">
        <v>4.0300443809523794E-2</v>
      </c>
      <c r="J26" s="691">
        <v>2.9878749040380952E-2</v>
      </c>
      <c r="K26" s="3093" t="s">
        <v>2146</v>
      </c>
    </row>
    <row r="27" spans="2:11" ht="18" customHeight="1" x14ac:dyDescent="0.2">
      <c r="B27" s="282" t="s">
        <v>134</v>
      </c>
      <c r="C27" s="691">
        <v>117200.00000000001</v>
      </c>
      <c r="D27" s="3077" t="s">
        <v>1814</v>
      </c>
      <c r="E27" s="1913">
        <f t="shared" si="9"/>
        <v>51.411918339264993</v>
      </c>
      <c r="F27" s="1913">
        <f t="shared" si="8"/>
        <v>0.95727272727272728</v>
      </c>
      <c r="G27" s="1913">
        <f t="shared" si="8"/>
        <v>0.57027272727272726</v>
      </c>
      <c r="H27" s="691">
        <v>6025.4768293618581</v>
      </c>
      <c r="I27" s="691">
        <v>0.11219236363636365</v>
      </c>
      <c r="J27" s="691">
        <v>6.6835963636363641E-2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2300.0000000000005</v>
      </c>
      <c r="D30" s="3077" t="s">
        <v>1814</v>
      </c>
      <c r="E30" s="1913">
        <f t="shared" si="9"/>
        <v>94</v>
      </c>
      <c r="F30" s="1913">
        <f t="shared" si="8"/>
        <v>9.1666666666666679</v>
      </c>
      <c r="G30" s="1913">
        <f t="shared" si="8"/>
        <v>5.8333333333333339</v>
      </c>
      <c r="H30" s="691">
        <v>216.20000000000005</v>
      </c>
      <c r="I30" s="691">
        <v>2.1083333333333339E-2</v>
      </c>
      <c r="J30" s="691">
        <v>1.3416666666666672E-2</v>
      </c>
      <c r="K30" s="3093" t="s">
        <v>2146</v>
      </c>
    </row>
    <row r="31" spans="2:11" ht="18" customHeight="1" x14ac:dyDescent="0.2">
      <c r="B31" s="1241" t="s">
        <v>153</v>
      </c>
      <c r="C31" s="1913">
        <f>IF(SUM(C32:C37)=0,"NO",SUM(C32:C37))</f>
        <v>111103.89855572548</v>
      </c>
      <c r="D31" s="3077" t="s">
        <v>1814</v>
      </c>
      <c r="E31" s="628"/>
      <c r="F31" s="628"/>
      <c r="G31" s="628"/>
      <c r="H31" s="1913">
        <f>IF(SUM(H32:H36)=0,"NO",SUM(H32:H36))</f>
        <v>6646.445129261846</v>
      </c>
      <c r="I31" s="1913">
        <f t="shared" ref="I31:K31" si="10">IF(SUM(I32:I37)=0,"NO",SUM(I32:I37))</f>
        <v>0.23671352028975254</v>
      </c>
      <c r="J31" s="1913">
        <f t="shared" si="10"/>
        <v>7.1801953663353429E-2</v>
      </c>
      <c r="K31" s="3065" t="str">
        <f t="shared" si="10"/>
        <v>NO</v>
      </c>
    </row>
    <row r="32" spans="2:11" ht="18" customHeight="1" x14ac:dyDescent="0.2">
      <c r="B32" s="282" t="s">
        <v>132</v>
      </c>
      <c r="C32" s="691">
        <v>45848.933906418744</v>
      </c>
      <c r="D32" s="3077" t="s">
        <v>1814</v>
      </c>
      <c r="E32" s="1913">
        <f>IFERROR(H32*1000/$C32,"NA")</f>
        <v>65.395311212643264</v>
      </c>
      <c r="F32" s="1913">
        <f t="shared" ref="F32:G37" si="11">IFERROR(I32*1000000/$C32,"NA")</f>
        <v>3.7997045681106552</v>
      </c>
      <c r="G32" s="1913">
        <f t="shared" si="11"/>
        <v>0.865667510420146</v>
      </c>
      <c r="H32" s="691">
        <v>2998.3053015781661</v>
      </c>
      <c r="I32" s="691">
        <v>0.17421240360722282</v>
      </c>
      <c r="J32" s="691">
        <v>3.9689932470187331E-2</v>
      </c>
      <c r="K32" s="3093" t="s">
        <v>2146</v>
      </c>
    </row>
    <row r="33" spans="2:11" ht="18" customHeight="1" x14ac:dyDescent="0.2">
      <c r="B33" s="282" t="s">
        <v>133</v>
      </c>
      <c r="C33" s="691">
        <v>7540.9447674418598</v>
      </c>
      <c r="D33" s="3077" t="s">
        <v>1814</v>
      </c>
      <c r="E33" s="1913">
        <f t="shared" ref="E33:E37" si="12">IFERROR(H33*1000/$C33,"NA")</f>
        <v>90.300535474884285</v>
      </c>
      <c r="F33" s="1913">
        <f t="shared" si="11"/>
        <v>0.95238095238095255</v>
      </c>
      <c r="G33" s="1913">
        <f t="shared" si="11"/>
        <v>0.66666666666666674</v>
      </c>
      <c r="H33" s="691">
        <v>680.95135048652674</v>
      </c>
      <c r="I33" s="691">
        <v>7.1818521594684392E-3</v>
      </c>
      <c r="J33" s="691">
        <v>5.0272965116279072E-3</v>
      </c>
      <c r="K33" s="3093" t="s">
        <v>2146</v>
      </c>
    </row>
    <row r="34" spans="2:11" ht="18" customHeight="1" x14ac:dyDescent="0.2">
      <c r="B34" s="282" t="s">
        <v>134</v>
      </c>
      <c r="C34" s="691">
        <v>57714.019881864871</v>
      </c>
      <c r="D34" s="3077" t="s">
        <v>1814</v>
      </c>
      <c r="E34" s="1913">
        <f t="shared" si="12"/>
        <v>51.411918339264993</v>
      </c>
      <c r="F34" s="1913">
        <f t="shared" si="11"/>
        <v>0.95850652296087846</v>
      </c>
      <c r="G34" s="1913">
        <f t="shared" si="11"/>
        <v>0.46929194564818144</v>
      </c>
      <c r="H34" s="691">
        <v>2967.1884771971531</v>
      </c>
      <c r="I34" s="691">
        <v>5.5319264523061303E-2</v>
      </c>
      <c r="J34" s="691">
        <v>2.7084724681538191E-2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42200</v>
      </c>
      <c r="D38" s="3077" t="s">
        <v>1814</v>
      </c>
      <c r="E38" s="628"/>
      <c r="F38" s="628"/>
      <c r="G38" s="628"/>
      <c r="H38" s="1913">
        <f>IF(SUM(H39:H43)=0,"NO",SUM(H39:H43))</f>
        <v>1463.6228729442555</v>
      </c>
      <c r="I38" s="1913">
        <f t="shared" ref="I38:K38" si="13">IF(SUM(I39:I44)=0,"NO",SUM(I39:I44))</f>
        <v>0.18391890476190476</v>
      </c>
      <c r="J38" s="1913">
        <f t="shared" si="13"/>
        <v>0.12254260476190476</v>
      </c>
      <c r="K38" s="3065" t="str">
        <f t="shared" si="13"/>
        <v>NO</v>
      </c>
    </row>
    <row r="39" spans="2:11" ht="18" customHeight="1" x14ac:dyDescent="0.2">
      <c r="B39" s="282" t="s">
        <v>132</v>
      </c>
      <c r="C39" s="691">
        <v>1900</v>
      </c>
      <c r="D39" s="3077" t="s">
        <v>1814</v>
      </c>
      <c r="E39" s="1913">
        <f>IFERROR(H39*1000/$C39,"NA")</f>
        <v>70.115789473684217</v>
      </c>
      <c r="F39" s="1913">
        <f t="shared" ref="F39:G44" si="14">IFERROR(I39*1000000/$C39,"NA")</f>
        <v>1.3223558897243111</v>
      </c>
      <c r="G39" s="1913">
        <f t="shared" si="14"/>
        <v>0.78023057644110283</v>
      </c>
      <c r="H39" s="691">
        <v>133.22</v>
      </c>
      <c r="I39" s="691">
        <v>2.5124761904761908E-3</v>
      </c>
      <c r="J39" s="691">
        <v>1.4824380952380954E-3</v>
      </c>
      <c r="K39" s="3093" t="s">
        <v>2146</v>
      </c>
    </row>
    <row r="40" spans="2:11" ht="18" customHeight="1" x14ac:dyDescent="0.2">
      <c r="B40" s="282" t="s">
        <v>133</v>
      </c>
      <c r="C40" s="691">
        <v>4100</v>
      </c>
      <c r="D40" s="3077" t="s">
        <v>1814</v>
      </c>
      <c r="E40" s="1913">
        <f t="shared" ref="E40:E44" si="15">IFERROR(H40*1000/$C40,"NA")</f>
        <v>90</v>
      </c>
      <c r="F40" s="1913">
        <f t="shared" si="14"/>
        <v>0.95238095238095222</v>
      </c>
      <c r="G40" s="1913">
        <f t="shared" si="14"/>
        <v>0.66666666666666674</v>
      </c>
      <c r="H40" s="691">
        <v>369</v>
      </c>
      <c r="I40" s="691">
        <v>3.9047619047619039E-3</v>
      </c>
      <c r="J40" s="691">
        <v>2.7333333333333333E-3</v>
      </c>
      <c r="K40" s="3093" t="s">
        <v>2146</v>
      </c>
    </row>
    <row r="41" spans="2:11" ht="18" customHeight="1" x14ac:dyDescent="0.2">
      <c r="B41" s="282" t="s">
        <v>134</v>
      </c>
      <c r="C41" s="691">
        <v>18699.999999999996</v>
      </c>
      <c r="D41" s="3077" t="s">
        <v>1814</v>
      </c>
      <c r="E41" s="1913">
        <f t="shared" si="15"/>
        <v>51.411918339265007</v>
      </c>
      <c r="F41" s="1913">
        <f t="shared" si="14"/>
        <v>0.91363636363636358</v>
      </c>
      <c r="G41" s="1913">
        <f t="shared" si="14"/>
        <v>0.86863636363636354</v>
      </c>
      <c r="H41" s="691">
        <v>961.40287294425548</v>
      </c>
      <c r="I41" s="691">
        <v>1.7084999999999996E-2</v>
      </c>
      <c r="J41" s="691">
        <v>1.6243499999999994E-2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17500</v>
      </c>
      <c r="D44" s="3076" t="s">
        <v>1814</v>
      </c>
      <c r="E44" s="1913">
        <f t="shared" si="15"/>
        <v>94</v>
      </c>
      <c r="F44" s="1913">
        <f t="shared" si="14"/>
        <v>9.1666666666666679</v>
      </c>
      <c r="G44" s="1913">
        <f t="shared" si="14"/>
        <v>5.8333333333333339</v>
      </c>
      <c r="H44" s="691">
        <v>1645</v>
      </c>
      <c r="I44" s="691">
        <v>0.16041666666666668</v>
      </c>
      <c r="J44" s="691">
        <v>0.10208333333333335</v>
      </c>
      <c r="K44" s="3093" t="s">
        <v>2146</v>
      </c>
    </row>
    <row r="45" spans="2:11" ht="18" customHeight="1" x14ac:dyDescent="0.2">
      <c r="B45" s="1241" t="s">
        <v>155</v>
      </c>
      <c r="C45" s="1913">
        <f>IF(SUM(C46:C51)=0,"NO",SUM(C46:C51))</f>
        <v>129482.18928294341</v>
      </c>
      <c r="D45" s="3076" t="s">
        <v>1814</v>
      </c>
      <c r="E45" s="628"/>
      <c r="F45" s="628"/>
      <c r="G45" s="628"/>
      <c r="H45" s="1913">
        <f>IF(SUM(H46:H50)=0,"NO",SUM(H46:H50))</f>
        <v>2480.7460971672731</v>
      </c>
      <c r="I45" s="1913">
        <f t="shared" ref="I45:K45" si="16">IF(SUM(I46:I51)=0,"NO",SUM(I46:I51))</f>
        <v>0.85888082702132829</v>
      </c>
      <c r="J45" s="1913">
        <f t="shared" si="16"/>
        <v>0.55718019831907983</v>
      </c>
      <c r="K45" s="3065" t="str">
        <f t="shared" si="16"/>
        <v>NO</v>
      </c>
    </row>
    <row r="46" spans="2:11" ht="18" customHeight="1" x14ac:dyDescent="0.2">
      <c r="B46" s="282" t="s">
        <v>132</v>
      </c>
      <c r="C46" s="691">
        <v>2400</v>
      </c>
      <c r="D46" s="3076" t="s">
        <v>1814</v>
      </c>
      <c r="E46" s="1913">
        <f>IFERROR(H46*1000/$C46,"NA")</f>
        <v>68.304166666666674</v>
      </c>
      <c r="F46" s="1913">
        <f t="shared" ref="F46:G51" si="17">IFERROR(I46*1000000/$C46,"NA")</f>
        <v>2.3085574229691876</v>
      </c>
      <c r="G46" s="1913">
        <f t="shared" si="17"/>
        <v>2.2931992296918766</v>
      </c>
      <c r="H46" s="691">
        <v>163.93000000000004</v>
      </c>
      <c r="I46" s="691">
        <v>5.5405378151260499E-3</v>
      </c>
      <c r="J46" s="691">
        <v>5.5036781512605038E-3</v>
      </c>
      <c r="K46" s="3093" t="s">
        <v>2146</v>
      </c>
    </row>
    <row r="47" spans="2:11" ht="18" customHeight="1" x14ac:dyDescent="0.2">
      <c r="B47" s="282" t="s">
        <v>133</v>
      </c>
      <c r="C47" s="691">
        <v>9600</v>
      </c>
      <c r="D47" s="3076" t="s">
        <v>1814</v>
      </c>
      <c r="E47" s="1913">
        <f t="shared" ref="E47:E51" si="18">IFERROR(H47*1000/$C47,"NA")</f>
        <v>90.312499999999972</v>
      </c>
      <c r="F47" s="1913">
        <f t="shared" si="17"/>
        <v>0.952380952380952</v>
      </c>
      <c r="G47" s="1913">
        <f t="shared" si="17"/>
        <v>0.67523809523809508</v>
      </c>
      <c r="H47" s="691">
        <v>866.99999999999977</v>
      </c>
      <c r="I47" s="691">
        <v>9.1428571428571401E-3</v>
      </c>
      <c r="J47" s="691">
        <v>6.482285714285713E-3</v>
      </c>
      <c r="K47" s="3093" t="s">
        <v>2146</v>
      </c>
    </row>
    <row r="48" spans="2:11" ht="18" customHeight="1" x14ac:dyDescent="0.2">
      <c r="B48" s="282" t="s">
        <v>134</v>
      </c>
      <c r="C48" s="691">
        <v>28200</v>
      </c>
      <c r="D48" s="3076" t="s">
        <v>1814</v>
      </c>
      <c r="E48" s="1913">
        <f t="shared" si="18"/>
        <v>51.411918339265007</v>
      </c>
      <c r="F48" s="1913">
        <f t="shared" si="17"/>
        <v>0.91409090909090907</v>
      </c>
      <c r="G48" s="1913">
        <f t="shared" si="17"/>
        <v>0.86459090909090908</v>
      </c>
      <c r="H48" s="691">
        <v>1449.8160971672733</v>
      </c>
      <c r="I48" s="691">
        <v>2.5777363636363636E-2</v>
      </c>
      <c r="J48" s="691">
        <v>2.4381463636363634E-2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89282.189282943407</v>
      </c>
      <c r="D51" s="3076" t="s">
        <v>1814</v>
      </c>
      <c r="E51" s="1913">
        <f t="shared" si="18"/>
        <v>94.9495980101279</v>
      </c>
      <c r="F51" s="1913">
        <f t="shared" si="17"/>
        <v>9.1666666666666696</v>
      </c>
      <c r="G51" s="1913">
        <f t="shared" si="17"/>
        <v>5.8333333333333348</v>
      </c>
      <c r="H51" s="691">
        <v>8477.307981879625</v>
      </c>
      <c r="I51" s="691">
        <v>0.81842006842698145</v>
      </c>
      <c r="J51" s="691">
        <v>0.52081277081717003</v>
      </c>
      <c r="K51" s="3093" t="s">
        <v>2146</v>
      </c>
    </row>
    <row r="52" spans="2:11" ht="18" customHeight="1" x14ac:dyDescent="0.2">
      <c r="B52" s="1241" t="s">
        <v>156</v>
      </c>
      <c r="C52" s="3094">
        <f>IF(SUM(C53:C58)=0,"NO",SUM(C53:C58))</f>
        <v>85336.300872093037</v>
      </c>
      <c r="D52" s="3076" t="s">
        <v>1814</v>
      </c>
      <c r="E52" s="628"/>
      <c r="F52" s="628"/>
      <c r="G52" s="628"/>
      <c r="H52" s="1913">
        <f>IF(SUM(H53:H57)=0,"NO",SUM(H53:H57))</f>
        <v>5394.5609488852515</v>
      </c>
      <c r="I52" s="1913">
        <f t="shared" ref="I52:K52" si="19">IF(SUM(I53:I58)=0,"NO",SUM(I53:I58))</f>
        <v>0.16281424964509972</v>
      </c>
      <c r="J52" s="1913">
        <f t="shared" si="19"/>
        <v>4.2521607401714803E-2</v>
      </c>
      <c r="K52" s="3065" t="str">
        <f t="shared" si="19"/>
        <v>NO</v>
      </c>
    </row>
    <row r="53" spans="2:11" ht="18" customHeight="1" x14ac:dyDescent="0.2">
      <c r="B53" s="282" t="s">
        <v>132</v>
      </c>
      <c r="C53" s="2147">
        <v>5400</v>
      </c>
      <c r="D53" s="3076" t="s">
        <v>1814</v>
      </c>
      <c r="E53" s="1913">
        <f>IFERROR(H53*1000/$C53,"NA")</f>
        <v>66.26666666666668</v>
      </c>
      <c r="F53" s="1913">
        <f t="shared" ref="F53:G58" si="20">IFERROR(I53*1000000/$C53,"NA")</f>
        <v>14.098587643223965</v>
      </c>
      <c r="G53" s="1913">
        <f t="shared" si="20"/>
        <v>1.7250006501193746</v>
      </c>
      <c r="H53" s="691">
        <v>357.84000000000003</v>
      </c>
      <c r="I53" s="691">
        <v>7.6132373273409409E-2</v>
      </c>
      <c r="J53" s="691">
        <v>9.3150035106446226E-3</v>
      </c>
      <c r="K53" s="3093" t="s">
        <v>2146</v>
      </c>
    </row>
    <row r="54" spans="2:11" ht="18" customHeight="1" x14ac:dyDescent="0.2">
      <c r="B54" s="282" t="s">
        <v>133</v>
      </c>
      <c r="C54" s="691">
        <v>25648.80087209303</v>
      </c>
      <c r="D54" s="3076" t="s">
        <v>1814</v>
      </c>
      <c r="E54" s="1913">
        <f t="shared" ref="E54:E58" si="21">IFERROR(H54*1000/$C54,"NA")</f>
        <v>89.535012293735633</v>
      </c>
      <c r="F54" s="1913">
        <f t="shared" si="20"/>
        <v>0.95238095238095211</v>
      </c>
      <c r="G54" s="1913">
        <f t="shared" si="20"/>
        <v>0.82839052375184286</v>
      </c>
      <c r="H54" s="691">
        <v>2296.4657014024269</v>
      </c>
      <c r="I54" s="691">
        <v>2.4427429401993356E-2</v>
      </c>
      <c r="J54" s="691">
        <v>2.1247223588039869E-2</v>
      </c>
      <c r="K54" s="3093" t="s">
        <v>2146</v>
      </c>
    </row>
    <row r="55" spans="2:11" ht="18" customHeight="1" x14ac:dyDescent="0.2">
      <c r="B55" s="282" t="s">
        <v>134</v>
      </c>
      <c r="C55" s="691">
        <v>53300</v>
      </c>
      <c r="D55" s="3076" t="s">
        <v>1814</v>
      </c>
      <c r="E55" s="1913">
        <f t="shared" si="21"/>
        <v>51.411918339265</v>
      </c>
      <c r="F55" s="1913">
        <f t="shared" si="20"/>
        <v>0.99816817329012442</v>
      </c>
      <c r="G55" s="1913">
        <f t="shared" si="20"/>
        <v>0.11630325771789188</v>
      </c>
      <c r="H55" s="691">
        <v>2740.2552474828244</v>
      </c>
      <c r="I55" s="691">
        <v>5.3202363636363631E-2</v>
      </c>
      <c r="J55" s="691">
        <v>6.1989636363636372E-3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987.49999999999989</v>
      </c>
      <c r="D58" s="3076" t="s">
        <v>1814</v>
      </c>
      <c r="E58" s="3095">
        <f t="shared" si="21"/>
        <v>94.000000000000014</v>
      </c>
      <c r="F58" s="3095">
        <f t="shared" si="20"/>
        <v>9.1666666666666696</v>
      </c>
      <c r="G58" s="3095">
        <f t="shared" si="20"/>
        <v>5.8333333333333348</v>
      </c>
      <c r="H58" s="2190">
        <v>92.825000000000003</v>
      </c>
      <c r="I58" s="691">
        <v>9.0520833333333356E-3</v>
      </c>
      <c r="J58" s="691">
        <v>5.760416666666668E-3</v>
      </c>
      <c r="K58" s="3093" t="s">
        <v>2146</v>
      </c>
    </row>
    <row r="59" spans="2:11" ht="18" customHeight="1" x14ac:dyDescent="0.2">
      <c r="B59" s="1241" t="s">
        <v>157</v>
      </c>
      <c r="C59" s="3094">
        <f>IF(SUM(C61,C68,C75,C82,C89,C96,C103,C112)=0,"NO",SUM(C61,C68,C75,C82,C89,C96,C103,C112))</f>
        <v>105687.25832002109</v>
      </c>
      <c r="D59" s="3076" t="s">
        <v>1814</v>
      </c>
      <c r="E59" s="1914"/>
      <c r="F59" s="1914"/>
      <c r="G59" s="1914"/>
      <c r="H59" s="1913">
        <f>IF(SUM(H61,H68,H75,H82,H89,H96,H103,H112)=0,"NO",SUM(H61,H68,H75,H82,H89,H96,H103,H112))</f>
        <v>7016.6323733987092</v>
      </c>
      <c r="I59" s="1913">
        <f>IF(SUM(I61,I68,I75,I82,I89,I96,I103,I112)=0,"NO",SUM(I61,I68,I75,I82,I89,I96,I103,I112))</f>
        <v>0.35342191469723672</v>
      </c>
      <c r="J59" s="1913">
        <f>IF(SUM(J61,J68,J75,J82,J89,J96,J103,J112)=0,"NO",SUM(J61,J68,J75,J82,J89,J96,J103,J112))</f>
        <v>0.28243484673095975</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6000</v>
      </c>
      <c r="D61" s="3076" t="s">
        <v>1814</v>
      </c>
      <c r="E61" s="628"/>
      <c r="F61" s="628"/>
      <c r="G61" s="628"/>
      <c r="H61" s="1913">
        <f>IF(SUM(H62:H66)=0,"NO",SUM(H62:H66))</f>
        <v>317.35078353025148</v>
      </c>
      <c r="I61" s="1913">
        <f t="shared" ref="I61:K61" si="22">IF(SUM(I62:I67)=0,"NO",SUM(I62:I67))</f>
        <v>4.320966666666666E-2</v>
      </c>
      <c r="J61" s="1913">
        <f t="shared" si="22"/>
        <v>6.0415380952380943E-3</v>
      </c>
      <c r="K61" s="3065" t="str">
        <f t="shared" si="22"/>
        <v>NO</v>
      </c>
    </row>
    <row r="62" spans="2:11" ht="18" customHeight="1" x14ac:dyDescent="0.2">
      <c r="B62" s="158" t="s">
        <v>132</v>
      </c>
      <c r="C62" s="691">
        <v>899.99999999999989</v>
      </c>
      <c r="D62" s="3076" t="s">
        <v>1814</v>
      </c>
      <c r="E62" s="1913">
        <f>IFERROR(H62*1000/$C62,"NA")</f>
        <v>61.277777777777786</v>
      </c>
      <c r="F62" s="1913">
        <f t="shared" ref="F62:G67" si="23">IFERROR(I62*1000000/$C62,"NA")</f>
        <v>42.74074074074074</v>
      </c>
      <c r="G62" s="1913">
        <f t="shared" si="23"/>
        <v>2.105820105820106</v>
      </c>
      <c r="H62" s="691">
        <v>55.15</v>
      </c>
      <c r="I62" s="691">
        <v>3.8466666666666663E-2</v>
      </c>
      <c r="J62" s="691">
        <v>1.8952380952380952E-3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5100</v>
      </c>
      <c r="D64" s="3076" t="s">
        <v>1814</v>
      </c>
      <c r="E64" s="1913">
        <f t="shared" si="24"/>
        <v>51.411918339264993</v>
      </c>
      <c r="F64" s="1913">
        <f t="shared" si="23"/>
        <v>0.93</v>
      </c>
      <c r="G64" s="1913">
        <f t="shared" si="23"/>
        <v>0.81299999999999983</v>
      </c>
      <c r="H64" s="691">
        <v>262.2007835302515</v>
      </c>
      <c r="I64" s="691">
        <v>4.7429999999999998E-3</v>
      </c>
      <c r="J64" s="691">
        <v>4.1462999999999995E-3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60982.799999999988</v>
      </c>
      <c r="D75" s="3077" t="s">
        <v>1814</v>
      </c>
      <c r="E75" s="628"/>
      <c r="F75" s="628"/>
      <c r="G75" s="628"/>
      <c r="H75" s="1913">
        <f>IF(SUM(H76:H80)=0,"NO",SUM(H76:H80))</f>
        <v>4178.8222997725579</v>
      </c>
      <c r="I75" s="1913">
        <f t="shared" ref="I75:K75" si="28">IF(SUM(I76:I81)=0,"NO",SUM(I76:I81))</f>
        <v>0.18422524464801862</v>
      </c>
      <c r="J75" s="1913">
        <f t="shared" si="28"/>
        <v>0.17029353710709283</v>
      </c>
      <c r="K75" s="3065" t="str">
        <f t="shared" si="28"/>
        <v>NO</v>
      </c>
    </row>
    <row r="76" spans="2:11" ht="18" customHeight="1" x14ac:dyDescent="0.2">
      <c r="B76" s="158" t="s">
        <v>132</v>
      </c>
      <c r="C76" s="691">
        <v>43765.799999999988</v>
      </c>
      <c r="D76" s="3077" t="s">
        <v>1814</v>
      </c>
      <c r="E76" s="1913">
        <f>IFERROR(H76*1000/$C76,"NA")</f>
        <v>69.922042325285958</v>
      </c>
      <c r="F76" s="1913">
        <f t="shared" ref="F76:G81" si="29">IFERROR(I76*1000000/$C76,"NA")</f>
        <v>3.5806579807736876</v>
      </c>
      <c r="G76" s="1913">
        <f t="shared" si="29"/>
        <v>3.5611609069299037</v>
      </c>
      <c r="H76" s="691">
        <v>3060.1941199999992</v>
      </c>
      <c r="I76" s="691">
        <v>0.15671036105494501</v>
      </c>
      <c r="J76" s="691">
        <v>0.15585705602051275</v>
      </c>
      <c r="K76" s="3093" t="s">
        <v>2146</v>
      </c>
    </row>
    <row r="77" spans="2:11" ht="18" customHeight="1" x14ac:dyDescent="0.2">
      <c r="B77" s="158" t="s">
        <v>133</v>
      </c>
      <c r="C77" s="691">
        <v>7439.9999999999991</v>
      </c>
      <c r="D77" s="3077" t="s">
        <v>1814</v>
      </c>
      <c r="E77" s="1913">
        <f t="shared" ref="E77:E81" si="30">IFERROR(H77*1000/$C77,"NA")</f>
        <v>82.792184700210328</v>
      </c>
      <c r="F77" s="1913">
        <f t="shared" si="29"/>
        <v>1.1022667341618955</v>
      </c>
      <c r="G77" s="1913">
        <f t="shared" si="29"/>
        <v>0.77763625308383366</v>
      </c>
      <c r="H77" s="691">
        <v>615.97385416956479</v>
      </c>
      <c r="I77" s="691">
        <v>8.2008645021645014E-3</v>
      </c>
      <c r="J77" s="691">
        <v>5.7856137229437216E-3</v>
      </c>
      <c r="K77" s="3093" t="s">
        <v>2146</v>
      </c>
    </row>
    <row r="78" spans="2:11" ht="18" customHeight="1" x14ac:dyDescent="0.2">
      <c r="B78" s="158" t="s">
        <v>134</v>
      </c>
      <c r="C78" s="691">
        <v>9777.0000000000018</v>
      </c>
      <c r="D78" s="3077" t="s">
        <v>1814</v>
      </c>
      <c r="E78" s="1913">
        <f t="shared" si="30"/>
        <v>51.411918339264993</v>
      </c>
      <c r="F78" s="1913">
        <f t="shared" si="29"/>
        <v>1.9754545454545456</v>
      </c>
      <c r="G78" s="1913">
        <f t="shared" si="29"/>
        <v>0.88481818181818161</v>
      </c>
      <c r="H78" s="691">
        <v>502.65432560299394</v>
      </c>
      <c r="I78" s="691">
        <v>1.9314019090909094E-2</v>
      </c>
      <c r="J78" s="691">
        <v>8.6508673636363637E-3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28001.608579088475</v>
      </c>
      <c r="D89" s="3077" t="s">
        <v>1814</v>
      </c>
      <c r="E89" s="628"/>
      <c r="F89" s="628"/>
      <c r="G89" s="628"/>
      <c r="H89" s="1913">
        <f>IF(SUM(H90:H94)=0,"NO",SUM(H90:H94))</f>
        <v>1916.6158596116522</v>
      </c>
      <c r="I89" s="1913">
        <f t="shared" ref="I89:K89" si="36">IF(SUM(I90:I95)=0,"NO",SUM(I90:I95))</f>
        <v>9.7218448754105596E-2</v>
      </c>
      <c r="J89" s="1913">
        <f t="shared" si="36"/>
        <v>9.612905771618907E-2</v>
      </c>
      <c r="K89" s="3065" t="str">
        <f t="shared" si="36"/>
        <v>NO</v>
      </c>
    </row>
    <row r="90" spans="2:11" ht="18" customHeight="1" x14ac:dyDescent="0.2">
      <c r="B90" s="158" t="s">
        <v>132</v>
      </c>
      <c r="C90" s="691">
        <v>25901.608579088475</v>
      </c>
      <c r="D90" s="3077" t="s">
        <v>1814</v>
      </c>
      <c r="E90" s="1913">
        <f>IFERROR(H90*1000/$C90,"NA")</f>
        <v>69.827741608272177</v>
      </c>
      <c r="F90" s="1913">
        <f t="shared" ref="F90:G95" si="37">IFERROR(I90*1000000/$C90,"NA")</f>
        <v>3.6796694519568245</v>
      </c>
      <c r="G90" s="1913">
        <f t="shared" si="37"/>
        <v>3.6376106340810872</v>
      </c>
      <c r="H90" s="691">
        <v>1808.6508310991958</v>
      </c>
      <c r="I90" s="691">
        <v>9.5309357845014681E-2</v>
      </c>
      <c r="J90" s="691">
        <v>9.4219966807098154E-2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2100.0000000000005</v>
      </c>
      <c r="D92" s="3077" t="s">
        <v>1814</v>
      </c>
      <c r="E92" s="1913">
        <f t="shared" si="38"/>
        <v>51.411918339265007</v>
      </c>
      <c r="F92" s="1913">
        <f t="shared" si="37"/>
        <v>0.90909090909090917</v>
      </c>
      <c r="G92" s="1913">
        <f t="shared" si="37"/>
        <v>0.90909090909090917</v>
      </c>
      <c r="H92" s="691">
        <v>107.96502851245654</v>
      </c>
      <c r="I92" s="691">
        <v>1.9090909090909098E-3</v>
      </c>
      <c r="J92" s="691">
        <v>1.9090909090909098E-3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7900.0000000000018</v>
      </c>
      <c r="D96" s="3076" t="s">
        <v>1814</v>
      </c>
      <c r="E96" s="628"/>
      <c r="F96" s="628"/>
      <c r="G96" s="628"/>
      <c r="H96" s="1913">
        <f>IF(SUM(H97:H101)=0,"NO",SUM(H97:H101))</f>
        <v>453.94627737129611</v>
      </c>
      <c r="I96" s="1913">
        <f t="shared" ref="I96:K96" si="42">IF(SUM(I97:I102)=0,"NO",SUM(I97:I102))</f>
        <v>7.4155497835497863E-3</v>
      </c>
      <c r="J96" s="1913">
        <f t="shared" si="42"/>
        <v>7.1066805194805209E-3</v>
      </c>
      <c r="K96" s="3065" t="str">
        <f t="shared" si="42"/>
        <v>NO</v>
      </c>
    </row>
    <row r="97" spans="2:11" ht="18" customHeight="1" x14ac:dyDescent="0.2">
      <c r="B97" s="158" t="s">
        <v>132</v>
      </c>
      <c r="C97" s="691">
        <v>500</v>
      </c>
      <c r="D97" s="3076" t="s">
        <v>1814</v>
      </c>
      <c r="E97" s="1913">
        <f>IFERROR(H97*1000/$C97,"NA")</f>
        <v>64.820000000000007</v>
      </c>
      <c r="F97" s="1913">
        <f t="shared" ref="F97:G102" si="43">IFERROR(I97*1000000/$C97,"NA")</f>
        <v>1.1968831168831171</v>
      </c>
      <c r="G97" s="1913">
        <f t="shared" si="43"/>
        <v>2.0721731601731599</v>
      </c>
      <c r="H97" s="691">
        <v>32.410000000000004</v>
      </c>
      <c r="I97" s="691">
        <v>5.9844155844155852E-4</v>
      </c>
      <c r="J97" s="691">
        <v>1.03608658008658E-3</v>
      </c>
      <c r="K97" s="3093" t="s">
        <v>2146</v>
      </c>
    </row>
    <row r="98" spans="2:11" ht="18" customHeight="1" x14ac:dyDescent="0.2">
      <c r="B98" s="158" t="s">
        <v>133</v>
      </c>
      <c r="C98" s="691">
        <v>1000</v>
      </c>
      <c r="D98" s="3076" t="s">
        <v>1814</v>
      </c>
      <c r="E98" s="1913">
        <f t="shared" ref="E98:E102" si="44">IFERROR(H98*1000/$C98,"NA")</f>
        <v>92.5</v>
      </c>
      <c r="F98" s="1913">
        <f t="shared" si="43"/>
        <v>0.95238095238095244</v>
      </c>
      <c r="G98" s="1913">
        <f t="shared" si="43"/>
        <v>0.66666666666666674</v>
      </c>
      <c r="H98" s="691">
        <v>92.5</v>
      </c>
      <c r="I98" s="691">
        <v>9.5238095238095238E-4</v>
      </c>
      <c r="J98" s="691">
        <v>6.6666666666666675E-4</v>
      </c>
      <c r="K98" s="3093" t="s">
        <v>2146</v>
      </c>
    </row>
    <row r="99" spans="2:11" ht="18" customHeight="1" x14ac:dyDescent="0.2">
      <c r="B99" s="158" t="s">
        <v>134</v>
      </c>
      <c r="C99" s="691">
        <v>6400.0000000000018</v>
      </c>
      <c r="D99" s="3076" t="s">
        <v>1814</v>
      </c>
      <c r="E99" s="1913">
        <f t="shared" si="44"/>
        <v>51.411918339265007</v>
      </c>
      <c r="F99" s="1913">
        <f t="shared" si="43"/>
        <v>0.91636363636363638</v>
      </c>
      <c r="G99" s="1913">
        <f t="shared" si="43"/>
        <v>0.84436363636363632</v>
      </c>
      <c r="H99" s="691">
        <v>329.03627737129614</v>
      </c>
      <c r="I99" s="691">
        <v>5.8647272727272749E-3</v>
      </c>
      <c r="J99" s="691">
        <v>5.4039272727272741E-3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2802.8497409326424</v>
      </c>
      <c r="D112" s="3076" t="s">
        <v>1814</v>
      </c>
      <c r="E112" s="628"/>
      <c r="F112" s="628"/>
      <c r="G112" s="628"/>
      <c r="H112" s="1913">
        <f>H113</f>
        <v>149.89715311295197</v>
      </c>
      <c r="I112" s="1913">
        <f>I113</f>
        <v>2.1353004844896037E-2</v>
      </c>
      <c r="J112" s="1913">
        <f>J113</f>
        <v>2.8640332929591992E-3</v>
      </c>
      <c r="K112" s="3065" t="str">
        <f>K113</f>
        <v>NO</v>
      </c>
    </row>
    <row r="113" spans="2:11" ht="18" customHeight="1" x14ac:dyDescent="0.2">
      <c r="B113" s="3090" t="s">
        <v>2259</v>
      </c>
      <c r="C113" s="3099">
        <f>IF(SUM(C114:C119)=0,"NO",SUM(C114:C119))</f>
        <v>2802.8497409326424</v>
      </c>
      <c r="D113" s="3099" t="s">
        <v>1814</v>
      </c>
      <c r="E113" s="628"/>
      <c r="F113" s="628"/>
      <c r="G113" s="628"/>
      <c r="H113" s="3099">
        <f>IF(SUM(H114:H118)=0,"NO",SUM(H114:H118))</f>
        <v>149.89715311295197</v>
      </c>
      <c r="I113" s="3099">
        <f t="shared" ref="I113" si="51">IF(SUM(I114:I119)=0,"NO",SUM(I114:I119))</f>
        <v>2.1353004844896037E-2</v>
      </c>
      <c r="J113" s="3099">
        <f t="shared" ref="J113" si="52">IF(SUM(J114:J119)=0,"NO",SUM(J114:J119))</f>
        <v>2.8640332929591992E-3</v>
      </c>
      <c r="K113" s="3100" t="str">
        <f t="shared" ref="K113" si="53">IF(SUM(K114:K119)=0,"NO",SUM(K114:K119))</f>
        <v>NO</v>
      </c>
    </row>
    <row r="114" spans="2:11" ht="18" customHeight="1" x14ac:dyDescent="0.2">
      <c r="B114" s="158" t="s">
        <v>132</v>
      </c>
      <c r="C114" s="691">
        <v>502.84974093264248</v>
      </c>
      <c r="D114" s="3076" t="s">
        <v>1814</v>
      </c>
      <c r="E114" s="1913">
        <f>IFERROR(H114*1000/$C114,"NA")</f>
        <v>62.940752189592992</v>
      </c>
      <c r="F114" s="1913">
        <f t="shared" ref="F114:G119" si="54">IFERROR(I114*1000000/$C114,"NA")</f>
        <v>38.292308824611766</v>
      </c>
      <c r="G114" s="1913">
        <f t="shared" si="54"/>
        <v>1.6044674075709624</v>
      </c>
      <c r="H114" s="691">
        <v>31.649740932642487</v>
      </c>
      <c r="I114" s="691">
        <v>1.9255277572168765E-2</v>
      </c>
      <c r="J114" s="691">
        <v>8.0680602023192689E-4</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2300</v>
      </c>
      <c r="D116" s="3076" t="s">
        <v>1814</v>
      </c>
      <c r="E116" s="1913">
        <f t="shared" si="55"/>
        <v>51.411918339264986</v>
      </c>
      <c r="F116" s="1913">
        <f t="shared" si="54"/>
        <v>0.91205533596837918</v>
      </c>
      <c r="G116" s="1913">
        <f t="shared" si="54"/>
        <v>0.89444664031620524</v>
      </c>
      <c r="H116" s="691">
        <v>118.24741218030947</v>
      </c>
      <c r="I116" s="691">
        <v>2.0977272727272719E-3</v>
      </c>
      <c r="J116" s="691">
        <v>2.0572272727272722E-3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5385.4708724227157</v>
      </c>
      <c r="D10" s="4413">
        <f t="shared" ref="D10:F10" si="0">SUM(D11:D16)</f>
        <v>31207.862720191733</v>
      </c>
      <c r="E10" s="4413">
        <f t="shared" si="0"/>
        <v>2187.7318222069484</v>
      </c>
      <c r="F10" s="4413">
        <f t="shared" si="0"/>
        <v>2952.2349202162582</v>
      </c>
      <c r="G10" s="4414" t="s">
        <v>2146</v>
      </c>
      <c r="H10" s="4415" t="s">
        <v>2312</v>
      </c>
      <c r="I10" s="4416" t="s">
        <v>2313</v>
      </c>
    </row>
    <row r="11" spans="2:9" ht="18" customHeight="1" x14ac:dyDescent="0.2">
      <c r="B11" s="1558" t="s">
        <v>1476</v>
      </c>
      <c r="C11" s="4417">
        <f>Table1!D10</f>
        <v>1386.4653338912947</v>
      </c>
      <c r="D11" s="4418">
        <f>Table1!G10</f>
        <v>4575.863289507789</v>
      </c>
      <c r="E11" s="4418">
        <f>Table1!H10</f>
        <v>754.09913885283117</v>
      </c>
      <c r="F11" s="4418">
        <f>Table1!F10</f>
        <v>1891.6995006192515</v>
      </c>
      <c r="G11" s="4419" t="s">
        <v>2146</v>
      </c>
      <c r="H11" s="4420" t="s">
        <v>2154</v>
      </c>
      <c r="I11" s="4421" t="s">
        <v>2154</v>
      </c>
    </row>
    <row r="12" spans="2:9" ht="18" customHeight="1" x14ac:dyDescent="0.2">
      <c r="B12" s="2393" t="s">
        <v>1551</v>
      </c>
      <c r="C12" s="4422">
        <f>'Table2(I)'!D10</f>
        <v>3.2395559717251121</v>
      </c>
      <c r="D12" s="4388">
        <f>'Table2(I)'!L10</f>
        <v>10.631644366936392</v>
      </c>
      <c r="E12" s="4388">
        <f>'Table2(I)'!M10</f>
        <v>217.47547625731926</v>
      </c>
      <c r="F12" s="4388">
        <f>'Table2(I)'!K10</f>
        <v>44.982792531642843</v>
      </c>
      <c r="G12" s="4423" t="s">
        <v>2146</v>
      </c>
      <c r="H12" s="4424" t="s">
        <v>2146</v>
      </c>
      <c r="I12" s="4425" t="s">
        <v>2146</v>
      </c>
    </row>
    <row r="13" spans="2:9" ht="18" customHeight="1" x14ac:dyDescent="0.2">
      <c r="B13" s="2393" t="s">
        <v>1552</v>
      </c>
      <c r="C13" s="4422">
        <f>Table3!D10</f>
        <v>2628.7134960567046</v>
      </c>
      <c r="D13" s="4388">
        <f>Table3!G10</f>
        <v>538.3111031159217</v>
      </c>
      <c r="E13" s="4388">
        <f>Table3!H10</f>
        <v>31.401481015095435</v>
      </c>
      <c r="F13" s="4388">
        <f>Table3!F10</f>
        <v>33.068196709742452</v>
      </c>
      <c r="G13" s="4426"/>
      <c r="H13" s="4424" t="s">
        <v>2154</v>
      </c>
      <c r="I13" s="4425" t="s">
        <v>2153</v>
      </c>
    </row>
    <row r="14" spans="2:9" ht="18" customHeight="1" x14ac:dyDescent="0.2">
      <c r="B14" s="2393" t="s">
        <v>1553</v>
      </c>
      <c r="C14" s="4422">
        <f>Table4!D10</f>
        <v>701.09510624835707</v>
      </c>
      <c r="D14" s="4388">
        <f>Table4!G10</f>
        <v>26083.056683201088</v>
      </c>
      <c r="E14" s="4423">
        <f>Table4!H10</f>
        <v>782.08924884921498</v>
      </c>
      <c r="F14" s="4423">
        <f>Table4!F10</f>
        <v>982.48443035562116</v>
      </c>
      <c r="G14" s="4426"/>
      <c r="H14" s="4427" t="s">
        <v>2154</v>
      </c>
      <c r="I14" s="4425" t="s">
        <v>2154</v>
      </c>
    </row>
    <row r="15" spans="2:9" ht="18" customHeight="1" x14ac:dyDescent="0.2">
      <c r="B15" s="2393" t="s">
        <v>1554</v>
      </c>
      <c r="C15" s="4422">
        <f>Table5!D10</f>
        <v>665.95738025463345</v>
      </c>
      <c r="D15" s="4388" t="str">
        <f>Table5!G10</f>
        <v>NO</v>
      </c>
      <c r="E15" s="4423">
        <f>Table5!H10</f>
        <v>402.66647723248758</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2001</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407770.59836221923</v>
      </c>
      <c r="D10" s="4193">
        <f>SUM(D11,D22,D30,D41,D50,D56)</f>
        <v>410933.30140591215</v>
      </c>
      <c r="E10" s="3840">
        <f>IF(D10="NO",IF(C10="NO","NA",-C10),IF(C10="NO",D10,D10-C10))</f>
        <v>3162.7030436929199</v>
      </c>
      <c r="F10" s="3838">
        <f>IF(E10="NA","NA",E10/C10*100)</f>
        <v>0.775608407373088</v>
      </c>
      <c r="G10" s="3841">
        <f>IF(E10="NA","NA",E10/Table8s2!$G$35*100)</f>
        <v>0.6207999404936817</v>
      </c>
      <c r="H10" s="3842">
        <f>IF(E10="NA","NA",E10/Table8s2!$G$34*100)</f>
        <v>0.53912496545345823</v>
      </c>
      <c r="I10" s="4194">
        <f>SUM(I11,I22,I30,I41,I50,I56)</f>
        <v>154079.79991530604</v>
      </c>
      <c r="J10" s="4193">
        <f>SUM(J11,J22,J30,J41,J50,J56)</f>
        <v>150793.18442783601</v>
      </c>
      <c r="K10" s="3840">
        <f t="shared" ref="K10:K12" si="0">IF(J10="NO",IF(I10="NO","NA",-I10),IF(I10="NO",J10,J10-I10))</f>
        <v>-3286.6154874700296</v>
      </c>
      <c r="L10" s="3838">
        <f t="shared" ref="L10:L12" si="1">IF(K10="NA","NA",K10/I10*100)</f>
        <v>-2.1330605889134091</v>
      </c>
      <c r="M10" s="3841">
        <f>IF(K10="NA","NA",K10/Table8s2!$G$35*100)</f>
        <v>-0.64512243826237381</v>
      </c>
      <c r="N10" s="3842">
        <f>IF(K10="NA","NA",K10/Table8s2!$G$34*100)</f>
        <v>-0.56024749610135105</v>
      </c>
      <c r="O10" s="4194">
        <f>SUM(O11,O22,O30,O41,O50,O56)</f>
        <v>21641.404193422801</v>
      </c>
      <c r="P10" s="4193">
        <f>SUM(P11,P22,P30,P41,P50,P56)</f>
        <v>21516.030634138064</v>
      </c>
      <c r="Q10" s="3840">
        <f t="shared" ref="Q10:Q12" si="2">IF(P10="NO",IF(O10="NO","NA",-O10),IF(O10="NO",P10,P10-O10))</f>
        <v>-125.37355928473698</v>
      </c>
      <c r="R10" s="3838">
        <f t="shared" ref="R10:R12" si="3">IF(Q10="NA","NA",Q10/O10*100)</f>
        <v>-0.57932266392788034</v>
      </c>
      <c r="S10" s="3841">
        <f>IF(Q10="NA","NA",Q10/Table8s2!$G$35*100)</f>
        <v>-2.4609296879344586E-2</v>
      </c>
      <c r="T10" s="3842">
        <f>IF(Q10="NA","NA",Q10/Table8s2!$G$34*100)</f>
        <v>-2.1371597296481342E-2</v>
      </c>
    </row>
    <row r="11" spans="2:20" ht="18" customHeight="1" x14ac:dyDescent="0.2">
      <c r="B11" s="1405" t="s">
        <v>1476</v>
      </c>
      <c r="C11" s="3839">
        <f>SUM(C12,C18,C21)</f>
        <v>334087.8430176797</v>
      </c>
      <c r="D11" s="3839">
        <f>Summary2!C11</f>
        <v>334694.8599594477</v>
      </c>
      <c r="E11" s="3843">
        <f t="shared" ref="E11:E38" si="4">IF(D11="NO",IF(C11="NO","NA",-C11),IF(C11="NO",D11,D11-C11))</f>
        <v>607.01694176800083</v>
      </c>
      <c r="F11" s="3839">
        <f t="shared" ref="F11:F38" si="5">IF(E11="NA","NA",E11/C11*100)</f>
        <v>0.18169381330522641</v>
      </c>
      <c r="G11" s="3844">
        <f>IF(E11="NA","NA",E11/Table8s2!$G$35*100)</f>
        <v>0.11915000432295414</v>
      </c>
      <c r="H11" s="3845">
        <f>IF(E11="NA","NA",E11/Table8s2!$G$34*100)</f>
        <v>0.10347414323736684</v>
      </c>
      <c r="I11" s="3846">
        <f>SUM(I12,I18,I21)</f>
        <v>38819.802902609983</v>
      </c>
      <c r="J11" s="3839">
        <f>Summary2!D11</f>
        <v>38821.029348956254</v>
      </c>
      <c r="K11" s="3843">
        <f t="shared" si="0"/>
        <v>1.2264463462706772</v>
      </c>
      <c r="L11" s="3839">
        <f t="shared" si="1"/>
        <v>3.1593317187816506E-3</v>
      </c>
      <c r="M11" s="3844">
        <f>IF(K11="NA","NA",K11/Table8s2!$G$35*100)</f>
        <v>2.4073642332683547E-4</v>
      </c>
      <c r="N11" s="3845">
        <f>IF(K11="NA","NA",K11/Table8s2!$G$34*100)</f>
        <v>2.0906415649179686E-4</v>
      </c>
      <c r="O11" s="3846">
        <f>SUM(O12,O18,O21)</f>
        <v>2817.7916686635954</v>
      </c>
      <c r="P11" s="3839">
        <f>Summary2!E11</f>
        <v>2818.6561111799774</v>
      </c>
      <c r="Q11" s="3843">
        <f t="shared" si="2"/>
        <v>0.8644425163820415</v>
      </c>
      <c r="R11" s="3839">
        <f t="shared" si="3"/>
        <v>3.0678013779209728E-2</v>
      </c>
      <c r="S11" s="3844">
        <f>IF(Q11="NA","NA",Q11/Table8s2!$G$35*100)</f>
        <v>1.696794973528615E-4</v>
      </c>
      <c r="T11" s="3845">
        <f>IF(Q11="NA","NA",Q11/Table8s2!$G$34*100)</f>
        <v>1.4735576984072318E-4</v>
      </c>
    </row>
    <row r="12" spans="2:20" ht="18" customHeight="1" x14ac:dyDescent="0.2">
      <c r="B12" s="620" t="s">
        <v>131</v>
      </c>
      <c r="C12" s="3839">
        <f>SUM(C13:C17)</f>
        <v>325915.55911653728</v>
      </c>
      <c r="D12" s="3839">
        <f>Summary2!C12</f>
        <v>326522.57605830528</v>
      </c>
      <c r="E12" s="3839">
        <f t="shared" si="4"/>
        <v>607.01694176800083</v>
      </c>
      <c r="F12" s="3847">
        <f t="shared" si="5"/>
        <v>0.18624975849985437</v>
      </c>
      <c r="G12" s="3844">
        <f>IF(E12="NA","NA",E12/Table8s2!$G$35*100)</f>
        <v>0.11915000432295414</v>
      </c>
      <c r="H12" s="3845">
        <f>IF(E12="NA","NA",E12/Table8s2!$G$34*100)</f>
        <v>0.10347414323736684</v>
      </c>
      <c r="I12" s="3846">
        <f>SUM(I13:I17)</f>
        <v>3016.3863297372045</v>
      </c>
      <c r="J12" s="3839">
        <f>Summary2!D12</f>
        <v>3017.310352051074</v>
      </c>
      <c r="K12" s="3839">
        <f t="shared" si="0"/>
        <v>0.92402231386950007</v>
      </c>
      <c r="L12" s="3847">
        <f t="shared" si="1"/>
        <v>3.0633420684876372E-2</v>
      </c>
      <c r="M12" s="3844">
        <f>IF(K12="NA","NA",K12/Table8s2!$G$35*100)</f>
        <v>1.813742831812686E-4</v>
      </c>
      <c r="N12" s="3845">
        <f>IF(K12="NA","NA",K12/Table8s2!$G$34*100)</f>
        <v>1.5751194189304592E-4</v>
      </c>
      <c r="O12" s="3848">
        <f>SUM(O13:O17)</f>
        <v>2788.9383762023517</v>
      </c>
      <c r="P12" s="3847">
        <f>Summary2!E12</f>
        <v>2789.8028187187338</v>
      </c>
      <c r="Q12" s="3839">
        <f t="shared" si="2"/>
        <v>0.8644425163820415</v>
      </c>
      <c r="R12" s="3847">
        <f t="shared" si="3"/>
        <v>3.0995396806118666E-2</v>
      </c>
      <c r="S12" s="3844">
        <f>IF(Q12="NA","NA",Q12/Table8s2!$G$35*100)</f>
        <v>1.696794973528615E-4</v>
      </c>
      <c r="T12" s="3845">
        <f>IF(Q12="NA","NA",Q12/Table8s2!$G$34*100)</f>
        <v>1.4735576984072318E-4</v>
      </c>
    </row>
    <row r="13" spans="2:20" ht="18" customHeight="1" x14ac:dyDescent="0.2">
      <c r="B13" s="1392" t="s">
        <v>1478</v>
      </c>
      <c r="C13" s="3847">
        <v>198424.84429987616</v>
      </c>
      <c r="D13" s="3839">
        <f>Summary2!C13</f>
        <v>199024.16474164414</v>
      </c>
      <c r="E13" s="3839">
        <f t="shared" si="4"/>
        <v>599.32044176798081</v>
      </c>
      <c r="F13" s="3847">
        <f t="shared" si="5"/>
        <v>0.30203901325090005</v>
      </c>
      <c r="G13" s="3844">
        <f>IF(E13="NA","NA",E13/Table8s2!$G$35*100)</f>
        <v>0.11763927546981368</v>
      </c>
      <c r="H13" s="3845">
        <f>IF(E13="NA","NA",E13/Table8s2!$G$34*100)</f>
        <v>0.10216217204079875</v>
      </c>
      <c r="I13" s="3846">
        <v>332.24470623794161</v>
      </c>
      <c r="J13" s="3839">
        <f>Summary2!D13</f>
        <v>333.15807946279921</v>
      </c>
      <c r="K13" s="3839">
        <f t="shared" ref="K13" si="6">IF(J13="NO",IF(I13="NO","NA",-I13),IF(I13="NO",J13,J13-I13))</f>
        <v>0.91337322485759387</v>
      </c>
      <c r="L13" s="3847">
        <f t="shared" ref="L13" si="7">IF(K13="NA","NA",K13/I13*100)</f>
        <v>0.27490979019646716</v>
      </c>
      <c r="M13" s="3844">
        <f>IF(K13="NA","NA",K13/Table8s2!$G$35*100)</f>
        <v>1.7928399720323885E-4</v>
      </c>
      <c r="N13" s="3845">
        <f>IF(K13="NA","NA",K13/Table8s2!$G$34*100)</f>
        <v>1.5569666247340397E-4</v>
      </c>
      <c r="O13" s="3848">
        <v>698.75718285220455</v>
      </c>
      <c r="P13" s="3847">
        <f>Summary2!E13</f>
        <v>699.62162536858773</v>
      </c>
      <c r="Q13" s="3839">
        <f t="shared" ref="Q13" si="8">IF(P13="NO",IF(O13="NO","NA",-O13),IF(O13="NO",P13,P13-O13))</f>
        <v>0.86444251638317837</v>
      </c>
      <c r="R13" s="3847">
        <f t="shared" ref="R13" si="9">IF(Q13="NA","NA",Q13/O13*100)</f>
        <v>0.12371143189608089</v>
      </c>
      <c r="S13" s="3844">
        <f>IF(Q13="NA","NA",Q13/Table8s2!$G$35*100)</f>
        <v>1.6967949735308469E-4</v>
      </c>
      <c r="T13" s="3845">
        <f>IF(Q13="NA","NA",Q13/Table8s2!$G$34*100)</f>
        <v>1.4735576984091698E-4</v>
      </c>
    </row>
    <row r="14" spans="2:20" ht="18" customHeight="1" x14ac:dyDescent="0.2">
      <c r="B14" s="1392" t="s">
        <v>1517</v>
      </c>
      <c r="C14" s="3847">
        <v>38027.956942513294</v>
      </c>
      <c r="D14" s="3839">
        <f>Summary2!C14</f>
        <v>38027.956942513301</v>
      </c>
      <c r="E14" s="3839">
        <f t="shared" si="4"/>
        <v>7.2759576141834259E-12</v>
      </c>
      <c r="F14" s="3847">
        <f t="shared" si="5"/>
        <v>1.9133180426133493E-14</v>
      </c>
      <c r="G14" s="3844">
        <f>IF(E14="NA","NA",E14/Table8s2!$G$35*100)</f>
        <v>1.4281815243221385E-15</v>
      </c>
      <c r="H14" s="3845">
        <f>IF(E14="NA","NA",E14/Table8s2!$G$34*100)</f>
        <v>1.2402841313888247E-15</v>
      </c>
      <c r="I14" s="3846">
        <v>58.703387433285464</v>
      </c>
      <c r="J14" s="3839">
        <f>Summary2!D14</f>
        <v>58.703387433285457</v>
      </c>
      <c r="K14" s="3839">
        <f t="shared" ref="K14:K20" si="10">IF(J14="NO",IF(I14="NO","NA",-I14),IF(I14="NO",J14,J14-I14))</f>
        <v>-7.1054273576010019E-15</v>
      </c>
      <c r="L14" s="3847">
        <f t="shared" ref="L14:L20" si="11">IF(K14="NA","NA",K14/I14*100)</f>
        <v>-1.2103947775886178E-14</v>
      </c>
      <c r="M14" s="3844">
        <f>IF(K14="NA","NA",K14/Table8s2!$G$35*100)</f>
        <v>-1.3947085198458384E-18</v>
      </c>
      <c r="N14" s="3845">
        <f>IF(K14="NA","NA",K14/Table8s2!$G$34*100)</f>
        <v>-1.2112149720593991E-18</v>
      </c>
      <c r="O14" s="3848">
        <v>329.38250194766312</v>
      </c>
      <c r="P14" s="3847">
        <f>Summary2!E14</f>
        <v>329.38250194766312</v>
      </c>
      <c r="Q14" s="3839">
        <f t="shared" ref="Q14:Q20" si="12">IF(P14="NO",IF(O14="NO","NA",-O14),IF(O14="NO",P14,P14-O14))</f>
        <v>0</v>
      </c>
      <c r="R14" s="3847">
        <f t="shared" ref="R14:R20" si="13">IF(Q14="NA","NA",Q14/O14*100)</f>
        <v>0</v>
      </c>
      <c r="S14" s="3844">
        <f>IF(Q14="NA","NA",Q14/Table8s2!$G$35*100)</f>
        <v>0</v>
      </c>
      <c r="T14" s="3845">
        <f>IF(Q14="NA","NA",Q14/Table8s2!$G$34*100)</f>
        <v>0</v>
      </c>
    </row>
    <row r="15" spans="2:20" ht="18" customHeight="1" x14ac:dyDescent="0.2">
      <c r="B15" s="1392" t="s">
        <v>1480</v>
      </c>
      <c r="C15" s="3847">
        <v>71659.435645441336</v>
      </c>
      <c r="D15" s="3839">
        <f>Summary2!C15</f>
        <v>71661.082472194263</v>
      </c>
      <c r="E15" s="3839">
        <f t="shared" si="4"/>
        <v>1.6468267529271543</v>
      </c>
      <c r="F15" s="3847">
        <f t="shared" si="5"/>
        <v>2.2981296714020636E-3</v>
      </c>
      <c r="G15" s="3844">
        <f>IF(E15="NA","NA",E15/Table8s2!$G$35*100)</f>
        <v>3.232519576124469E-4</v>
      </c>
      <c r="H15" s="3845">
        <f>IF(E15="NA","NA",E15/Table8s2!$G$34*100)</f>
        <v>2.8072361015689699E-4</v>
      </c>
      <c r="I15" s="3846">
        <v>728.14548255622913</v>
      </c>
      <c r="J15" s="3839">
        <f>Summary2!D15</f>
        <v>728.15613164524098</v>
      </c>
      <c r="K15" s="3839">
        <f t="shared" si="10"/>
        <v>1.0649089011849355E-2</v>
      </c>
      <c r="L15" s="3847">
        <f t="shared" si="11"/>
        <v>1.4624946891745644E-3</v>
      </c>
      <c r="M15" s="3844">
        <f>IF(K15="NA","NA",K15/Table8s2!$G$35*100)</f>
        <v>2.0902859780185817E-6</v>
      </c>
      <c r="N15" s="3845">
        <f>IF(K15="NA","NA",K15/Table8s2!$G$34*100)</f>
        <v>1.8152794196322656E-6</v>
      </c>
      <c r="O15" s="3848">
        <v>1585.4106398371614</v>
      </c>
      <c r="P15" s="3847">
        <f>Summary2!E15</f>
        <v>1585.4106398371609</v>
      </c>
      <c r="Q15" s="3839">
        <f t="shared" si="12"/>
        <v>-4.5474735088646412E-13</v>
      </c>
      <c r="R15" s="3847">
        <f t="shared" si="13"/>
        <v>-2.8683253376751119E-14</v>
      </c>
      <c r="S15" s="3844">
        <f>IF(Q15="NA","NA",Q15/Table8s2!$G$35*100)</f>
        <v>-8.9261345270133657E-17</v>
      </c>
      <c r="T15" s="3845">
        <f>IF(Q15="NA","NA",Q15/Table8s2!$G$34*100)</f>
        <v>-7.7517758211801543E-17</v>
      </c>
    </row>
    <row r="16" spans="2:20" ht="18" customHeight="1" x14ac:dyDescent="0.2">
      <c r="B16" s="1392" t="s">
        <v>1481</v>
      </c>
      <c r="C16" s="3847">
        <v>17170.168833411724</v>
      </c>
      <c r="D16" s="3839">
        <f>Summary2!C16</f>
        <v>17176.218506658799</v>
      </c>
      <c r="E16" s="3839">
        <f t="shared" si="4"/>
        <v>6.0496732470746792</v>
      </c>
      <c r="F16" s="3847">
        <f t="shared" si="5"/>
        <v>3.5233627029354057E-2</v>
      </c>
      <c r="G16" s="3844">
        <f>IF(E16="NA","NA",E16/Table8s2!$G$35*100)</f>
        <v>1.1874768955244443E-3</v>
      </c>
      <c r="H16" s="3845">
        <f>IF(E16="NA","NA",E16/Table8s2!$G$34*100)</f>
        <v>1.0312475864080908E-3</v>
      </c>
      <c r="I16" s="3846">
        <v>1896.63732257526</v>
      </c>
      <c r="J16" s="3839">
        <f>Summary2!D16</f>
        <v>1896.6373225752604</v>
      </c>
      <c r="K16" s="3839">
        <f t="shared" si="10"/>
        <v>4.5474735088646412E-13</v>
      </c>
      <c r="L16" s="3847">
        <f t="shared" si="11"/>
        <v>2.3976505443276143E-14</v>
      </c>
      <c r="M16" s="3844">
        <f>IF(K16="NA","NA",K16/Table8s2!$G$35*100)</f>
        <v>8.9261345270133657E-17</v>
      </c>
      <c r="N16" s="3845">
        <f>IF(K16="NA","NA",K16/Table8s2!$G$34*100)</f>
        <v>7.7517758211801543E-17</v>
      </c>
      <c r="O16" s="3848">
        <v>170.7814944705336</v>
      </c>
      <c r="P16" s="3847">
        <f>Summary2!E16</f>
        <v>170.7814944705336</v>
      </c>
      <c r="Q16" s="3839">
        <f t="shared" si="12"/>
        <v>0</v>
      </c>
      <c r="R16" s="3847">
        <f t="shared" si="13"/>
        <v>0</v>
      </c>
      <c r="S16" s="3844">
        <f>IF(Q16="NA","NA",Q16/Table8s2!$G$35*100)</f>
        <v>0</v>
      </c>
      <c r="T16" s="3845">
        <f>IF(Q16="NA","NA",Q16/Table8s2!$G$34*100)</f>
        <v>0</v>
      </c>
    </row>
    <row r="17" spans="2:20" ht="18" customHeight="1" x14ac:dyDescent="0.2">
      <c r="B17" s="1392" t="s">
        <v>1482</v>
      </c>
      <c r="C17" s="3847">
        <v>633.15339529481696</v>
      </c>
      <c r="D17" s="3839">
        <f>Summary2!C17</f>
        <v>633.15339529481685</v>
      </c>
      <c r="E17" s="3839">
        <f t="shared" si="4"/>
        <v>-1.1368683772161603E-13</v>
      </c>
      <c r="F17" s="3847">
        <f t="shared" si="5"/>
        <v>-1.7955654753881516E-14</v>
      </c>
      <c r="G17" s="3844">
        <f>IF(E17="NA","NA",E17/Table8s2!$G$35*100)</f>
        <v>-2.2315336317533414E-17</v>
      </c>
      <c r="H17" s="3845">
        <f>IF(E17="NA","NA",E17/Table8s2!$G$34*100)</f>
        <v>-1.9379439552950386E-17</v>
      </c>
      <c r="I17" s="3846">
        <v>0.6554309344884246</v>
      </c>
      <c r="J17" s="3839">
        <f>Summary2!D17</f>
        <v>0.6554309344884246</v>
      </c>
      <c r="K17" s="3839">
        <f t="shared" si="10"/>
        <v>0</v>
      </c>
      <c r="L17" s="3847">
        <f t="shared" si="11"/>
        <v>0</v>
      </c>
      <c r="M17" s="3844">
        <f>IF(K17="NA","NA",K17/Table8s2!$G$35*100)</f>
        <v>0</v>
      </c>
      <c r="N17" s="3845">
        <f>IF(K17="NA","NA",K17/Table8s2!$G$34*100)</f>
        <v>0</v>
      </c>
      <c r="O17" s="3848">
        <v>4.6065570947888412</v>
      </c>
      <c r="P17" s="3847">
        <f>Summary2!E17</f>
        <v>4.6065570947888412</v>
      </c>
      <c r="Q17" s="3839">
        <f t="shared" si="12"/>
        <v>0</v>
      </c>
      <c r="R17" s="3847">
        <f t="shared" si="13"/>
        <v>0</v>
      </c>
      <c r="S17" s="3844">
        <f>IF(Q17="NA","NA",Q17/Table8s2!$G$35*100)</f>
        <v>0</v>
      </c>
      <c r="T17" s="3845">
        <f>IF(Q17="NA","NA",Q17/Table8s2!$G$34*100)</f>
        <v>0</v>
      </c>
    </row>
    <row r="18" spans="2:20" ht="18" customHeight="1" x14ac:dyDescent="0.2">
      <c r="B18" s="620" t="s">
        <v>99</v>
      </c>
      <c r="C18" s="3847">
        <f>SUM(C19:C20)</f>
        <v>8172.2839011424321</v>
      </c>
      <c r="D18" s="3839">
        <f>Summary2!C18</f>
        <v>8172.2839011424339</v>
      </c>
      <c r="E18" s="3839">
        <f t="shared" si="4"/>
        <v>1.8189894035458565E-12</v>
      </c>
      <c r="F18" s="3847">
        <f t="shared" si="5"/>
        <v>2.2258030014003473E-14</v>
      </c>
      <c r="G18" s="3844">
        <f>IF(E18="NA","NA",E18/Table8s2!$G$35*100)</f>
        <v>3.5704538108053463E-16</v>
      </c>
      <c r="H18" s="3845">
        <f>IF(E18="NA","NA",E18/Table8s2!$G$34*100)</f>
        <v>3.1007103284720617E-16</v>
      </c>
      <c r="I18" s="3846">
        <f>SUM(I19:I20)</f>
        <v>35803.416572872782</v>
      </c>
      <c r="J18" s="3839">
        <f>Summary2!D18</f>
        <v>35803.718996905183</v>
      </c>
      <c r="K18" s="3839">
        <f t="shared" si="10"/>
        <v>0.3024240324011771</v>
      </c>
      <c r="L18" s="3847">
        <f t="shared" si="11"/>
        <v>8.4467925508068724E-4</v>
      </c>
      <c r="M18" s="3844">
        <f>IF(K18="NA","NA",K18/Table8s2!$G$35*100)</f>
        <v>5.9362140145566869E-5</v>
      </c>
      <c r="N18" s="3845">
        <f>IF(K18="NA","NA",K18/Table8s2!$G$34*100)</f>
        <v>5.1552214598750917E-5</v>
      </c>
      <c r="O18" s="3848">
        <f>SUM(O19:O20)</f>
        <v>28.853292461243527</v>
      </c>
      <c r="P18" s="3847">
        <f>Summary2!E18</f>
        <v>28.853292461243523</v>
      </c>
      <c r="Q18" s="3839">
        <f t="shared" si="12"/>
        <v>-3.5527136788005009E-15</v>
      </c>
      <c r="R18" s="3847">
        <f t="shared" si="13"/>
        <v>-1.2313026957227138E-14</v>
      </c>
      <c r="S18" s="3844">
        <f>IF(Q18="NA","NA",Q18/Table8s2!$G$35*100)</f>
        <v>-6.973542599229192E-19</v>
      </c>
      <c r="T18" s="3845">
        <f>IF(Q18="NA","NA",Q18/Table8s2!$G$34*100)</f>
        <v>-6.0560748602969955E-19</v>
      </c>
    </row>
    <row r="19" spans="2:20" ht="18" customHeight="1" x14ac:dyDescent="0.2">
      <c r="B19" s="1392" t="s">
        <v>1483</v>
      </c>
      <c r="C19" s="3847">
        <v>1218.1287625307975</v>
      </c>
      <c r="D19" s="3839">
        <f>Summary2!C19</f>
        <v>1218.1287625307975</v>
      </c>
      <c r="E19" s="3839">
        <f t="shared" si="4"/>
        <v>0</v>
      </c>
      <c r="F19" s="3847">
        <f t="shared" si="5"/>
        <v>0</v>
      </c>
      <c r="G19" s="3844">
        <f>IF(E19="NA","NA",E19/Table8s2!$G$35*100)</f>
        <v>0</v>
      </c>
      <c r="H19" s="3845">
        <f>IF(E19="NA","NA",E19/Table8s2!$G$34*100)</f>
        <v>0</v>
      </c>
      <c r="I19" s="3846">
        <v>28185.695729645628</v>
      </c>
      <c r="J19" s="3839">
        <f>Summary2!D19</f>
        <v>28185.695729645624</v>
      </c>
      <c r="K19" s="3839">
        <f t="shared" si="10"/>
        <v>-3.637978807091713E-12</v>
      </c>
      <c r="L19" s="3847">
        <f t="shared" si="11"/>
        <v>-1.2907181153116961E-14</v>
      </c>
      <c r="M19" s="3844">
        <f>IF(K19="NA","NA",K19/Table8s2!$G$35*100)</f>
        <v>-7.1409076216106926E-16</v>
      </c>
      <c r="N19" s="3845">
        <f>IF(K19="NA","NA",K19/Table8s2!$G$34*100)</f>
        <v>-6.2014206569441234E-16</v>
      </c>
      <c r="O19" s="3848">
        <v>4.5042594290033936E-3</v>
      </c>
      <c r="P19" s="3847">
        <f>Summary2!E19</f>
        <v>4.5042594290033936E-3</v>
      </c>
      <c r="Q19" s="3839">
        <f t="shared" si="12"/>
        <v>0</v>
      </c>
      <c r="R19" s="3847">
        <f t="shared" si="13"/>
        <v>0</v>
      </c>
      <c r="S19" s="3844">
        <f>IF(Q19="NA","NA",Q19/Table8s2!$G$35*100)</f>
        <v>0</v>
      </c>
      <c r="T19" s="3845">
        <f>IF(Q19="NA","NA",Q19/Table8s2!$G$34*100)</f>
        <v>0</v>
      </c>
    </row>
    <row r="20" spans="2:20" ht="18" customHeight="1" x14ac:dyDescent="0.2">
      <c r="B20" s="1393" t="s">
        <v>1484</v>
      </c>
      <c r="C20" s="3849">
        <v>6954.1551386116344</v>
      </c>
      <c r="D20" s="3850">
        <f>Summary2!C20</f>
        <v>6954.1551386116362</v>
      </c>
      <c r="E20" s="3850">
        <f t="shared" si="4"/>
        <v>1.8189894035458565E-12</v>
      </c>
      <c r="F20" s="3849">
        <f t="shared" si="5"/>
        <v>2.615687121281291E-14</v>
      </c>
      <c r="G20" s="3851">
        <f>IF(E20="NA","NA",E20/Table8s2!$G$35*100)</f>
        <v>3.5704538108053463E-16</v>
      </c>
      <c r="H20" s="3852">
        <f>IF(E20="NA","NA",E20/Table8s2!$G$34*100)</f>
        <v>3.1007103284720617E-16</v>
      </c>
      <c r="I20" s="3853">
        <v>7617.7208432271564</v>
      </c>
      <c r="J20" s="3850">
        <f>Summary2!D20</f>
        <v>7618.0232672595594</v>
      </c>
      <c r="K20" s="3839">
        <f t="shared" si="10"/>
        <v>0.30242403240299609</v>
      </c>
      <c r="L20" s="3847">
        <f t="shared" si="11"/>
        <v>3.9700067595923845E-3</v>
      </c>
      <c r="M20" s="3844">
        <f>IF(K20="NA","NA",K20/Table8s2!$G$35*100)</f>
        <v>5.9362140145923917E-5</v>
      </c>
      <c r="N20" s="3845">
        <f>IF(K20="NA","NA",K20/Table8s2!$G$34*100)</f>
        <v>5.1552214599060985E-5</v>
      </c>
      <c r="O20" s="3854">
        <v>28.848788201814525</v>
      </c>
      <c r="P20" s="3849">
        <f>Summary2!E20</f>
        <v>28.848788201814518</v>
      </c>
      <c r="Q20" s="3839">
        <f t="shared" si="12"/>
        <v>-7.1054273576010019E-15</v>
      </c>
      <c r="R20" s="3847">
        <f t="shared" si="13"/>
        <v>-2.4629898864015669E-14</v>
      </c>
      <c r="S20" s="3844">
        <f>IF(Q20="NA","NA",Q20/Table8s2!$G$35*100)</f>
        <v>-1.3947085198458384E-18</v>
      </c>
      <c r="T20" s="3845">
        <f>IF(Q20="NA","NA",Q20/Table8s2!$G$34*100)</f>
        <v>-1.2112149720593991E-18</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21197.518329518007</v>
      </c>
      <c r="D22" s="3839">
        <f>Summary2!C22</f>
        <v>21241.524367521084</v>
      </c>
      <c r="E22" s="3861">
        <f t="shared" si="4"/>
        <v>44.006038003077265</v>
      </c>
      <c r="F22" s="3861">
        <f t="shared" si="5"/>
        <v>0.2075999525934972</v>
      </c>
      <c r="G22" s="3862">
        <f>IF(E22="NA","NA",E22/Table8s2!$G$35*100)</f>
        <v>8.6378472453026087E-3</v>
      </c>
      <c r="H22" s="3863">
        <f>IF(E22="NA","NA",E22/Table8s2!$G$34*100)</f>
        <v>7.5014167913945102E-3</v>
      </c>
      <c r="I22" s="3839">
        <f>SUM(I23:I29)</f>
        <v>90.707567208303146</v>
      </c>
      <c r="J22" s="3839">
        <f>Summary2!D22</f>
        <v>90.707567208303146</v>
      </c>
      <c r="K22" s="3861">
        <f t="shared" ref="K22" si="14">IF(J22="NO",IF(I22="NO","NA",-I22),IF(I22="NO",J22,J22-I22))</f>
        <v>0</v>
      </c>
      <c r="L22" s="3861">
        <f t="shared" ref="L22" si="15">IF(K22="NA","NA",K22/I22*100)</f>
        <v>0</v>
      </c>
      <c r="M22" s="3862">
        <f>IF(K22="NA","NA",K22/Table8s2!$G$35*100)</f>
        <v>0</v>
      </c>
      <c r="N22" s="3863">
        <f>IF(K22="NA","NA",K22/Table8s2!$G$34*100)</f>
        <v>0</v>
      </c>
      <c r="O22" s="3839">
        <f>SUM(O23:O29)</f>
        <v>1872.9115927282935</v>
      </c>
      <c r="P22" s="3839">
        <f>Summary2!E22</f>
        <v>1872.9115927282935</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6238.6898869835759</v>
      </c>
      <c r="D23" s="3839">
        <f>Summary2!C23</f>
        <v>6238.6898869835768</v>
      </c>
      <c r="E23" s="3839">
        <f t="shared" si="4"/>
        <v>9.0949470177292824E-13</v>
      </c>
      <c r="F23" s="3847">
        <f t="shared" si="5"/>
        <v>1.4578296377104767E-14</v>
      </c>
      <c r="G23" s="3844">
        <f>IF(E23="NA","NA",E23/Table8s2!$G$35*100)</f>
        <v>1.7852269054026731E-16</v>
      </c>
      <c r="H23" s="3845">
        <f>IF(E23="NA","NA",E23/Table8s2!$G$34*100)</f>
        <v>1.5503551642360309E-16</v>
      </c>
      <c r="I23" s="1925"/>
      <c r="J23" s="1925"/>
      <c r="K23" s="1925"/>
      <c r="L23" s="1925"/>
      <c r="M23" s="1925"/>
      <c r="N23" s="1925"/>
      <c r="O23" s="1925"/>
      <c r="P23" s="1925"/>
      <c r="Q23" s="1925"/>
      <c r="R23" s="1925"/>
      <c r="S23" s="1925"/>
      <c r="T23" s="1925"/>
    </row>
    <row r="24" spans="2:20" ht="18" customHeight="1" x14ac:dyDescent="0.2">
      <c r="B24" s="1394" t="s">
        <v>621</v>
      </c>
      <c r="C24" s="3839">
        <v>1957.7924992962216</v>
      </c>
      <c r="D24" s="3839">
        <f>Summary2!C24</f>
        <v>2004.6535722962215</v>
      </c>
      <c r="E24" s="3839">
        <f t="shared" si="4"/>
        <v>46.861072999999806</v>
      </c>
      <c r="F24" s="3847">
        <f t="shared" si="5"/>
        <v>2.3935668880560739</v>
      </c>
      <c r="G24" s="3844">
        <f>IF(E24="NA","NA",E24/Table8s2!$G$35*100)</f>
        <v>9.1982557097429977E-3</v>
      </c>
      <c r="H24" s="3845">
        <f>IF(E24="NA","NA",E24/Table8s2!$G$34*100)</f>
        <v>7.9880956299765282E-3</v>
      </c>
      <c r="I24" s="3846">
        <v>13.6383464</v>
      </c>
      <c r="J24" s="3839">
        <f>Summary2!D24</f>
        <v>13.6383464</v>
      </c>
      <c r="K24" s="3839">
        <f t="shared" ref="K24" si="18">IF(J24="NO",IF(I24="NO","NA",-I24),IF(I24="NO",J24,J24-I24))</f>
        <v>0</v>
      </c>
      <c r="L24" s="3847">
        <f t="shared" ref="L24" si="19">IF(K24="NA","NA",K24/I24*100)</f>
        <v>0</v>
      </c>
      <c r="M24" s="3844">
        <f>IF(K24="NA","NA",K24/Table8s2!$G$35*100)</f>
        <v>0</v>
      </c>
      <c r="N24" s="3845">
        <f>IF(K24="NA","NA",K24/Table8s2!$G$34*100)</f>
        <v>0</v>
      </c>
      <c r="O24" s="3848">
        <v>1852.1070338096774</v>
      </c>
      <c r="P24" s="3847">
        <f>Summary2!E24</f>
        <v>1852.1070338096774</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12559.720129267935</v>
      </c>
      <c r="D25" s="3839">
        <f>Summary2!C25</f>
        <v>12559.720129267935</v>
      </c>
      <c r="E25" s="3839">
        <f t="shared" si="4"/>
        <v>0</v>
      </c>
      <c r="F25" s="3847">
        <f t="shared" si="5"/>
        <v>0</v>
      </c>
      <c r="G25" s="3844">
        <f>IF(E25="NA","NA",E25/Table8s2!$G$35*100)</f>
        <v>0</v>
      </c>
      <c r="H25" s="3845">
        <f>IF(E25="NA","NA",E25/Table8s2!$G$34*100)</f>
        <v>0</v>
      </c>
      <c r="I25" s="3846">
        <v>77.069220808303143</v>
      </c>
      <c r="J25" s="3839">
        <f>Summary2!D25</f>
        <v>77.069220808303143</v>
      </c>
      <c r="K25" s="3839">
        <f t="shared" ref="K25:K26" si="22">IF(J25="NO",IF(I25="NO","NA",-I25),IF(I25="NO",J25,J25-I25))</f>
        <v>0</v>
      </c>
      <c r="L25" s="3847">
        <f t="shared" ref="L25:L26" si="23">IF(K25="NA","NA",K25/I25*100)</f>
        <v>0</v>
      </c>
      <c r="M25" s="3844">
        <f>IF(K25="NA","NA",K25/Table8s2!$G$35*100)</f>
        <v>0</v>
      </c>
      <c r="N25" s="3845">
        <f>IF(K25="NA","NA",K25/Table8s2!$G$34*100)</f>
        <v>0</v>
      </c>
      <c r="O25" s="3848">
        <v>20.804558918616152</v>
      </c>
      <c r="P25" s="3847">
        <f>Summary2!E25</f>
        <v>20.804558918616152</v>
      </c>
      <c r="Q25" s="3839">
        <f t="shared" ref="Q25:Q29" si="24">IF(P25="NO",IF(O25="NO","NA",-O25),IF(O25="NO",P25,P25-O25))</f>
        <v>0</v>
      </c>
      <c r="R25" s="3847">
        <f t="shared" ref="R25:R29" si="25">IF(Q25="NA","NA",Q25/O25*100)</f>
        <v>0</v>
      </c>
      <c r="S25" s="3844">
        <f>IF(Q25="NA","NA",Q25/Table8s2!$G$35*100)</f>
        <v>0</v>
      </c>
      <c r="T25" s="3845">
        <f>IF(Q25="NA","NA",Q25/Table8s2!$G$34*100)</f>
        <v>0</v>
      </c>
    </row>
    <row r="26" spans="2:20" ht="18" customHeight="1" x14ac:dyDescent="0.2">
      <c r="B26" s="1395" t="s">
        <v>1519</v>
      </c>
      <c r="C26" s="3839">
        <v>293.85969999692492</v>
      </c>
      <c r="D26" s="3839">
        <f>Summary2!C26</f>
        <v>291.00466500000005</v>
      </c>
      <c r="E26" s="3839">
        <f t="shared" si="4"/>
        <v>-2.8550349969248714</v>
      </c>
      <c r="F26" s="3847">
        <f t="shared" si="5"/>
        <v>-0.97156398000635946</v>
      </c>
      <c r="G26" s="3844">
        <f>IF(E26="NA","NA",E26/Table8s2!$G$35*100)</f>
        <v>-5.60408464440846E-4</v>
      </c>
      <c r="H26" s="3845">
        <f>IF(E26="NA","NA",E26/Table8s2!$G$34*100)</f>
        <v>-4.8667883858241379E-4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147.45611397335256</v>
      </c>
      <c r="D29" s="3855">
        <f>Summary2!C30</f>
        <v>147.45611397335256</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1818.6433506091305</v>
      </c>
      <c r="D30" s="3875">
        <f>Summary2!C31</f>
        <v>1818.6433506091305</v>
      </c>
      <c r="E30" s="3861">
        <f t="shared" si="4"/>
        <v>0</v>
      </c>
      <c r="F30" s="3876">
        <f t="shared" si="5"/>
        <v>0</v>
      </c>
      <c r="G30" s="3877">
        <f>IF(E30="NA","NA",E30/Table8s2!$G$35*100)</f>
        <v>0</v>
      </c>
      <c r="H30" s="3878">
        <f>IF(E30="NA","NA",E30/Table8s2!$G$34*100)</f>
        <v>0</v>
      </c>
      <c r="I30" s="3874">
        <f>SUM(I31:I40)</f>
        <v>73603.977889587724</v>
      </c>
      <c r="J30" s="3875">
        <f>Summary2!D31</f>
        <v>73603.977889587724</v>
      </c>
      <c r="K30" s="3861">
        <f t="shared" ref="K30" si="28">IF(J30="NO",IF(I30="NO","NA",-I30),IF(I30="NO",J30,J30-I30))</f>
        <v>0</v>
      </c>
      <c r="L30" s="3876">
        <f t="shared" ref="L30" si="29">IF(K30="NA","NA",K30/I30*100)</f>
        <v>0</v>
      </c>
      <c r="M30" s="3877">
        <f>IF(K30="NA","NA",K30/Table8s2!$G$35*100)</f>
        <v>0</v>
      </c>
      <c r="N30" s="3878">
        <f>IF(K30="NA","NA",K30/Table8s2!$G$34*100)</f>
        <v>0</v>
      </c>
      <c r="O30" s="3874">
        <f>SUM(O31:O40)</f>
        <v>12207.520775876361</v>
      </c>
      <c r="P30" s="3875">
        <f>Summary2!E31</f>
        <v>12207.489754438426</v>
      </c>
      <c r="Q30" s="3861">
        <f t="shared" ref="Q30" si="30">IF(P30="NO",IF(O30="NO","NA",-O30),IF(O30="NO",P30,P30-O30))</f>
        <v>-3.1021437935123686E-2</v>
      </c>
      <c r="R30" s="3880">
        <f t="shared" ref="R30" si="31">IF(Q30="NA","NA",Q30/O30*100)</f>
        <v>-2.5411742895761486E-4</v>
      </c>
      <c r="S30" s="3881">
        <f>IF(Q30="NA","NA",Q30/Table8s2!$G$35*100)</f>
        <v>-6.0891290007633986E-6</v>
      </c>
      <c r="T30" s="3882">
        <f>IF(Q30="NA","NA",Q30/Table8s2!$G$34*100)</f>
        <v>-5.2880183261094043E-6</v>
      </c>
    </row>
    <row r="31" spans="2:20" ht="18" customHeight="1" x14ac:dyDescent="0.2">
      <c r="B31" s="620" t="s">
        <v>1492</v>
      </c>
      <c r="C31" s="3867"/>
      <c r="D31" s="3867"/>
      <c r="E31" s="3868"/>
      <c r="F31" s="3868"/>
      <c r="G31" s="3869"/>
      <c r="H31" s="3870"/>
      <c r="I31" s="3846">
        <v>65555.480579126437</v>
      </c>
      <c r="J31" s="3839">
        <f>Summary2!D32</f>
        <v>65555.480579126452</v>
      </c>
      <c r="K31" s="3883">
        <f t="shared" ref="K31:K33" si="32">IF(J31="NO",IF(I31="NO","NA",-I31),IF(I31="NO",J31,J31-I31))</f>
        <v>1.4551915228366852E-11</v>
      </c>
      <c r="L31" s="3883">
        <f t="shared" ref="L31:L33" si="33">IF(K31="NA","NA",K31/I31*100)</f>
        <v>2.2197862176912079E-14</v>
      </c>
      <c r="M31" s="3884">
        <f>IF(K31="NA","NA",K31/Table8s2!$G$35*100)</f>
        <v>2.856363048644277E-15</v>
      </c>
      <c r="N31" s="3885">
        <f>IF(K31="NA","NA",K31/Table8s2!$G$34*100)</f>
        <v>2.4805682627776494E-15</v>
      </c>
      <c r="O31" s="3886"/>
      <c r="P31" s="3887"/>
      <c r="Q31" s="3868"/>
      <c r="R31" s="3888"/>
      <c r="S31" s="3889"/>
      <c r="T31" s="3890"/>
    </row>
    <row r="32" spans="2:20" ht="18" customHeight="1" x14ac:dyDescent="0.2">
      <c r="B32" s="620" t="s">
        <v>1493</v>
      </c>
      <c r="C32" s="3891"/>
      <c r="D32" s="3891"/>
      <c r="E32" s="3892"/>
      <c r="F32" s="3892"/>
      <c r="G32" s="3869"/>
      <c r="H32" s="3870"/>
      <c r="I32" s="3846">
        <v>6875.1991705496584</v>
      </c>
      <c r="J32" s="3847">
        <f>Summary2!D33</f>
        <v>6875.1991705496584</v>
      </c>
      <c r="K32" s="3893">
        <f t="shared" si="32"/>
        <v>0</v>
      </c>
      <c r="L32" s="3893">
        <f t="shared" si="33"/>
        <v>0</v>
      </c>
      <c r="M32" s="3884">
        <f>IF(K32="NA","NA",K32/Table8s2!$G$35*100)</f>
        <v>0</v>
      </c>
      <c r="N32" s="3885">
        <f>IF(K32="NA","NA",K32/Table8s2!$G$34*100)</f>
        <v>0</v>
      </c>
      <c r="O32" s="3848">
        <v>385.42722734421938</v>
      </c>
      <c r="P32" s="3847">
        <f>Summary2!E33</f>
        <v>385.42722734421938</v>
      </c>
      <c r="Q32" s="3893">
        <f t="shared" ref="Q32" si="34">IF(P32="NO",IF(O32="NO","NA",-O32),IF(O32="NO",P32,P32-O32))</f>
        <v>0</v>
      </c>
      <c r="R32" s="3894">
        <f t="shared" ref="R32" si="35">IF(Q32="NA","NA",Q32/O32*100)</f>
        <v>0</v>
      </c>
      <c r="S32" s="3895">
        <f>IF(Q32="NA","NA",Q32/Table8s2!$G$35*100)</f>
        <v>0</v>
      </c>
      <c r="T32" s="3896">
        <f>IF(Q32="NA","NA",Q32/Table8s2!$G$34*100)</f>
        <v>0</v>
      </c>
    </row>
    <row r="33" spans="2:21" ht="18" customHeight="1" x14ac:dyDescent="0.2">
      <c r="B33" s="620" t="s">
        <v>1494</v>
      </c>
      <c r="C33" s="3891"/>
      <c r="D33" s="3891"/>
      <c r="E33" s="3892"/>
      <c r="F33" s="3892"/>
      <c r="G33" s="3897"/>
      <c r="H33" s="3898"/>
      <c r="I33" s="3848">
        <v>786.81837357200004</v>
      </c>
      <c r="J33" s="3847">
        <f>Summary2!D34</f>
        <v>786.81837357200004</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11670.418014389774</v>
      </c>
      <c r="P34" s="3847">
        <f>Summary2!E35</f>
        <v>11670.386992951841</v>
      </c>
      <c r="Q34" s="3893">
        <f t="shared" ref="Q34" si="36">IF(P34="NO",IF(O34="NO","NA",-O34),IF(O34="NO",P34,P34-O34))</f>
        <v>-3.1021437933304696E-2</v>
      </c>
      <c r="R34" s="3894">
        <f t="shared" ref="R34" si="37">IF(Q34="NA","NA",Q34/O34*100)</f>
        <v>-2.6581256896758001E-4</v>
      </c>
      <c r="S34" s="3895">
        <f>IF(Q34="NA","NA",Q34/Table8s2!$G$35*100)</f>
        <v>-6.0891290004063531E-6</v>
      </c>
      <c r="T34" s="3896">
        <f>IF(Q34="NA","NA",Q34/Table8s2!$G$34*100)</f>
        <v>-5.2880183257993335E-6</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386.47976633963611</v>
      </c>
      <c r="J36" s="3847">
        <f>Summary2!D37</f>
        <v>386.47976633963606</v>
      </c>
      <c r="K36" s="3893">
        <f t="shared" ref="K36" si="38">IF(J36="NO",IF(I36="NO","NA",-I36),IF(I36="NO",J36,J36-I36))</f>
        <v>-5.6843418860808015E-14</v>
      </c>
      <c r="L36" s="3893">
        <f t="shared" ref="L36" si="39">IF(K36="NA","NA",K36/I36*100)</f>
        <v>-1.4707993486741646E-14</v>
      </c>
      <c r="M36" s="3884">
        <f>IF(K36="NA","NA",K36/Table8s2!$G$35*100)</f>
        <v>-1.1157668158766707E-17</v>
      </c>
      <c r="N36" s="3885">
        <f>IF(K36="NA","NA",K36/Table8s2!$G$34*100)</f>
        <v>-9.6897197764751929E-18</v>
      </c>
      <c r="O36" s="3848">
        <v>151.67553414236738</v>
      </c>
      <c r="P36" s="3847">
        <f>Summary2!E37</f>
        <v>151.67553414236735</v>
      </c>
      <c r="Q36" s="3893">
        <f t="shared" ref="Q36" si="40">IF(P36="NO",IF(O36="NO","NA",-O36),IF(O36="NO",P36,P36-O36))</f>
        <v>-2.8421709430404007E-14</v>
      </c>
      <c r="R36" s="3894">
        <f t="shared" ref="R36" si="41">IF(Q36="NA","NA",Q36/O36*100)</f>
        <v>-1.873849305434224E-14</v>
      </c>
      <c r="S36" s="3895">
        <f>IF(Q36="NA","NA",Q36/Table8s2!$G$35*100)</f>
        <v>-5.5788340793833536E-18</v>
      </c>
      <c r="T36" s="3896">
        <f>IF(Q36="NA","NA",Q36/Table8s2!$G$34*100)</f>
        <v>-4.8448598882375964E-18</v>
      </c>
    </row>
    <row r="37" spans="2:21" ht="18" customHeight="1" x14ac:dyDescent="0.2">
      <c r="B37" s="620" t="s">
        <v>721</v>
      </c>
      <c r="C37" s="3847">
        <v>761.68682887</v>
      </c>
      <c r="D37" s="3847">
        <f>Summary2!C38</f>
        <v>761.68682887</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1056.9565217391305</v>
      </c>
      <c r="D38" s="3847">
        <f>Summary2!C39</f>
        <v>1056.9565217391305</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50638.230878447961</v>
      </c>
      <c r="D41" s="3839">
        <f>Summary2!C42</f>
        <v>53149.910942369774</v>
      </c>
      <c r="E41" s="3929">
        <f t="shared" ref="E41" si="42">IF(D41="NO",IF(C41="NO","NA",-C41),IF(C41="NO",D41,D41-C41))</f>
        <v>2511.6800639218127</v>
      </c>
      <c r="F41" s="3929">
        <f t="shared" ref="F41" si="43">IF(E41="NA","NA",E41/C41*100)</f>
        <v>4.9600470244524359</v>
      </c>
      <c r="G41" s="3869"/>
      <c r="H41" s="3929">
        <f>IF(E41="NA","NA",E41/Table8s2!$G$34*100)</f>
        <v>0.42814940542469182</v>
      </c>
      <c r="I41" s="3846">
        <f>SUM(I42:I49)</f>
        <v>22915.906576123565</v>
      </c>
      <c r="J41" s="3839">
        <f>Summary2!D42</f>
        <v>19630.662974953997</v>
      </c>
      <c r="K41" s="3929">
        <f t="shared" ref="K41:K46" si="44">IF(J41="NO",IF(I41="NO","NA",-I41),IF(I41="NO",J41,J41-I41))</f>
        <v>-3285.2436011695681</v>
      </c>
      <c r="L41" s="3929">
        <f t="shared" ref="L41:L46" si="45">IF(K41="NA","NA",K41/I41*100)</f>
        <v>-14.336083934783161</v>
      </c>
      <c r="M41" s="3889"/>
      <c r="N41" s="3930">
        <f>IF(K41="NA","NA",K41/Table8s2!$G$34*100)</f>
        <v>-0.56001363976260388</v>
      </c>
      <c r="O41" s="3846">
        <f>SUM(O42:O49)</f>
        <v>4386.8765661688903</v>
      </c>
      <c r="P41" s="3839">
        <f>Summary2!E42</f>
        <v>4399.7002556358048</v>
      </c>
      <c r="Q41" s="3929">
        <f t="shared" ref="Q41" si="46">IF(P41="NO",IF(O41="NO","NA",-O41),IF(O41="NO",P41,P41-O41))</f>
        <v>12.823689466914402</v>
      </c>
      <c r="R41" s="3929">
        <f t="shared" ref="R41" si="47">IF(Q41="NA","NA",Q41/O41*100)</f>
        <v>0.29231935919531649</v>
      </c>
      <c r="S41" s="3889"/>
      <c r="T41" s="3930">
        <f>IF(Q41="NA","NA",Q41/Table8s2!$G$34*100)</f>
        <v>2.185969104694538E-3</v>
      </c>
      <c r="U41" s="713"/>
    </row>
    <row r="42" spans="2:21" ht="18" customHeight="1" x14ac:dyDescent="0.2">
      <c r="B42" s="620" t="s">
        <v>981</v>
      </c>
      <c r="C42" s="3847">
        <v>-30400.777290324473</v>
      </c>
      <c r="D42" s="3847">
        <f>Summary2!C43</f>
        <v>-27133.555216804682</v>
      </c>
      <c r="E42" s="3931">
        <f t="shared" ref="E42:E50" si="48">IF(D42="NO",IF(C42="NO","NA",-C42),IF(C42="NO",D42,D42-C42))</f>
        <v>3267.2220735197916</v>
      </c>
      <c r="F42" s="3931">
        <f t="shared" ref="F42:F50" si="49">IF(E42="NA","NA",E42/C42*100)</f>
        <v>-10.747166239593605</v>
      </c>
      <c r="G42" s="3889"/>
      <c r="H42" s="3931">
        <f>IF(E42="NA","NA",E42/Table8s2!$G$34*100)</f>
        <v>0.55694162973277217</v>
      </c>
      <c r="I42" s="3848">
        <v>6324.0581448698886</v>
      </c>
      <c r="J42" s="3847">
        <f>Summary2!D43</f>
        <v>6270.3791373492986</v>
      </c>
      <c r="K42" s="3931">
        <f t="shared" si="44"/>
        <v>-53.679007520589948</v>
      </c>
      <c r="L42" s="3931">
        <f t="shared" si="45"/>
        <v>-0.84880635647119496</v>
      </c>
      <c r="M42" s="3889"/>
      <c r="N42" s="3932">
        <f>IF(K42="NA","NA",K42/Table8s2!$G$34*100)</f>
        <v>-9.1503036090680966E-3</v>
      </c>
      <c r="O42" s="3848">
        <v>1206.2662625090479</v>
      </c>
      <c r="P42" s="3847">
        <f>Summary2!E43</f>
        <v>1205.2155089477801</v>
      </c>
      <c r="Q42" s="3931">
        <f t="shared" ref="Q42:Q46" si="50">IF(P42="NO",IF(O42="NO","NA",-O42),IF(O42="NO",P42,P42-O42))</f>
        <v>-1.0507535612678112</v>
      </c>
      <c r="R42" s="3931">
        <f t="shared" ref="R42:R46" si="51">IF(Q42="NA","NA",Q42/O42*100)</f>
        <v>-8.7107929146773247E-2</v>
      </c>
      <c r="S42" s="3889"/>
      <c r="T42" s="3932">
        <f>IF(Q42="NA","NA",Q42/Table8s2!$G$34*100)</f>
        <v>-1.7911497525773066E-4</v>
      </c>
      <c r="U42" s="713"/>
    </row>
    <row r="43" spans="2:21" ht="18" customHeight="1" x14ac:dyDescent="0.2">
      <c r="B43" s="620" t="s">
        <v>984</v>
      </c>
      <c r="C43" s="3847">
        <v>6220.3422026906492</v>
      </c>
      <c r="D43" s="3847">
        <f>Summary2!C44</f>
        <v>6129.4941960607175</v>
      </c>
      <c r="E43" s="3931">
        <f t="shared" si="48"/>
        <v>-90.84800662993166</v>
      </c>
      <c r="F43" s="3931">
        <f t="shared" si="49"/>
        <v>-1.4604985331937972</v>
      </c>
      <c r="G43" s="3889"/>
      <c r="H43" s="3931">
        <f>IF(E43="NA","NA",E43/Table8s2!$G$34*100)</f>
        <v>-1.5486255825867212E-2</v>
      </c>
      <c r="I43" s="3848">
        <v>124.60587167259803</v>
      </c>
      <c r="J43" s="3847">
        <f>Summary2!D44</f>
        <v>125.19722880000002</v>
      </c>
      <c r="K43" s="3931">
        <f t="shared" si="44"/>
        <v>0.59135712740199153</v>
      </c>
      <c r="L43" s="3931">
        <f t="shared" si="45"/>
        <v>0.47458207182706658</v>
      </c>
      <c r="M43" s="3889"/>
      <c r="N43" s="3932">
        <f>IF(K43="NA","NA",K43/Table8s2!$G$34*100)</f>
        <v>1.0080471877277203E-4</v>
      </c>
      <c r="O43" s="3848">
        <v>49.644110946104362</v>
      </c>
      <c r="P43" s="3847">
        <f>Summary2!E44</f>
        <v>49.582379466475942</v>
      </c>
      <c r="Q43" s="3931">
        <f t="shared" si="50"/>
        <v>-6.1731479628420516E-2</v>
      </c>
      <c r="R43" s="3931">
        <f t="shared" si="51"/>
        <v>-0.12434804139294323</v>
      </c>
      <c r="S43" s="3889"/>
      <c r="T43" s="3932">
        <f>IF(Q43="NA","NA",Q43/Table8s2!$G$34*100)</f>
        <v>-1.0522955004717305E-5</v>
      </c>
      <c r="U43" s="713"/>
    </row>
    <row r="44" spans="2:21" ht="18" customHeight="1" x14ac:dyDescent="0.2">
      <c r="B44" s="620" t="s">
        <v>987</v>
      </c>
      <c r="C44" s="3847">
        <v>75866.218951488787</v>
      </c>
      <c r="D44" s="3847">
        <f>Summary2!C45</f>
        <v>75427.288369374437</v>
      </c>
      <c r="E44" s="3931">
        <f t="shared" si="48"/>
        <v>-438.93058211434982</v>
      </c>
      <c r="F44" s="3931">
        <f t="shared" si="49"/>
        <v>-0.57855866310540094</v>
      </c>
      <c r="G44" s="3889"/>
      <c r="H44" s="3931">
        <f>IF(E44="NA","NA",E44/Table8s2!$G$34*100)</f>
        <v>-7.4821578772869879E-2</v>
      </c>
      <c r="I44" s="3848">
        <v>10426.988500935315</v>
      </c>
      <c r="J44" s="3847">
        <f>Summary2!D45</f>
        <v>10452.690593110277</v>
      </c>
      <c r="K44" s="3931">
        <f t="shared" si="44"/>
        <v>25.702092174962672</v>
      </c>
      <c r="L44" s="3931">
        <f t="shared" si="45"/>
        <v>0.24649583312245102</v>
      </c>
      <c r="M44" s="3889"/>
      <c r="N44" s="3932">
        <f>IF(K44="NA","NA",K44/Table8s2!$G$34*100)</f>
        <v>4.3812648119276754E-3</v>
      </c>
      <c r="O44" s="3848">
        <v>3001.1182914462547</v>
      </c>
      <c r="P44" s="3847">
        <f>Summary2!E45</f>
        <v>3014.9245757245012</v>
      </c>
      <c r="Q44" s="3931">
        <f t="shared" si="50"/>
        <v>13.806284278246494</v>
      </c>
      <c r="R44" s="3931">
        <f t="shared" si="51"/>
        <v>0.46003799042500171</v>
      </c>
      <c r="S44" s="3889"/>
      <c r="T44" s="3932">
        <f>IF(Q44="NA","NA",Q44/Table8s2!$G$34*100)</f>
        <v>2.3534655109001645E-3</v>
      </c>
      <c r="U44" s="713"/>
    </row>
    <row r="45" spans="2:21" ht="18" customHeight="1" x14ac:dyDescent="0.2">
      <c r="B45" s="620" t="s">
        <v>1525</v>
      </c>
      <c r="C45" s="3847">
        <v>562.7527491633391</v>
      </c>
      <c r="D45" s="3847">
        <f>Summary2!C46</f>
        <v>387.88955243601038</v>
      </c>
      <c r="E45" s="3931">
        <f t="shared" si="48"/>
        <v>-174.86319672732873</v>
      </c>
      <c r="F45" s="3931">
        <f t="shared" si="49"/>
        <v>-31.072828517906476</v>
      </c>
      <c r="G45" s="3889"/>
      <c r="H45" s="3931">
        <f>IF(E45="NA","NA",E45/Table8s2!$G$34*100)</f>
        <v>-2.980776683498703E-2</v>
      </c>
      <c r="I45" s="3848">
        <v>5959.8167534236409</v>
      </c>
      <c r="J45" s="3847">
        <f>Summary2!D46</f>
        <v>2701.3122940944222</v>
      </c>
      <c r="K45" s="3931">
        <f t="shared" si="44"/>
        <v>-3258.5044593292187</v>
      </c>
      <c r="L45" s="3931">
        <f t="shared" si="45"/>
        <v>-54.674574641197779</v>
      </c>
      <c r="M45" s="3889"/>
      <c r="N45" s="3932">
        <f>IF(K45="NA","NA",K45/Table8s2!$G$34*100)</f>
        <v>-0.55545559598745986</v>
      </c>
      <c r="O45" s="3848">
        <v>87.743012368704115</v>
      </c>
      <c r="P45" s="3847">
        <f>Summary2!E46</f>
        <v>87.738184468514206</v>
      </c>
      <c r="Q45" s="3931">
        <f t="shared" si="50"/>
        <v>-4.8279001899089735E-3</v>
      </c>
      <c r="R45" s="3931">
        <f t="shared" si="51"/>
        <v>-5.5023187141349768E-3</v>
      </c>
      <c r="S45" s="3889"/>
      <c r="T45" s="3932">
        <f>IF(Q45="NA","NA",Q45/Table8s2!$G$34*100)</f>
        <v>-8.2298005444678739E-7</v>
      </c>
      <c r="U45" s="713"/>
    </row>
    <row r="46" spans="2:21" ht="18" customHeight="1" x14ac:dyDescent="0.2">
      <c r="B46" s="620" t="s">
        <v>1526</v>
      </c>
      <c r="C46" s="3847">
        <v>4917.7343932502808</v>
      </c>
      <c r="D46" s="3847">
        <f>Summary2!C47</f>
        <v>4860.0469660885983</v>
      </c>
      <c r="E46" s="3931">
        <f t="shared" si="48"/>
        <v>-57.687427161682535</v>
      </c>
      <c r="F46" s="3931">
        <f t="shared" si="49"/>
        <v>-1.1730488584511609</v>
      </c>
      <c r="G46" s="3889"/>
      <c r="H46" s="3931">
        <f>IF(E46="NA","NA",E46/Table8s2!$G$34*100)</f>
        <v>-9.8335922614240477E-3</v>
      </c>
      <c r="I46" s="3848">
        <v>80.437305222122532</v>
      </c>
      <c r="J46" s="3847">
        <f>Summary2!D47</f>
        <v>81.083721600000018</v>
      </c>
      <c r="K46" s="3931">
        <f t="shared" si="44"/>
        <v>0.64641637787748607</v>
      </c>
      <c r="L46" s="3931">
        <f t="shared" si="45"/>
        <v>0.80362759057187227</v>
      </c>
      <c r="M46" s="3889"/>
      <c r="N46" s="3932">
        <f>IF(K46="NA","NA",K46/Table8s2!$G$34*100)</f>
        <v>1.1019030322392369E-4</v>
      </c>
      <c r="O46" s="3848">
        <v>22.791969795750262</v>
      </c>
      <c r="P46" s="3847">
        <f>Summary2!E47</f>
        <v>22.926687925504364</v>
      </c>
      <c r="Q46" s="3931">
        <f t="shared" si="50"/>
        <v>0.13471812975410202</v>
      </c>
      <c r="R46" s="3931">
        <f t="shared" si="51"/>
        <v>0.5910771686755274</v>
      </c>
      <c r="S46" s="3889"/>
      <c r="T46" s="3932">
        <f>IF(Q46="NA","NA",Q46/Table8s2!$G$34*100)</f>
        <v>2.2964504111277128E-5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-6530.0576015430679</v>
      </c>
      <c r="D48" s="3847">
        <f>Summary2!C49</f>
        <v>-6523.270398507766</v>
      </c>
      <c r="E48" s="3931">
        <f t="shared" si="48"/>
        <v>6.7872030353018999</v>
      </c>
      <c r="F48" s="3931">
        <f t="shared" si="49"/>
        <v>-0.10393787389713174</v>
      </c>
      <c r="G48" s="3889"/>
      <c r="H48" s="3931">
        <f>IF(E48="NA","NA",E48/Table8s2!$G$34*100)</f>
        <v>1.1569693870658649E-3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v>2.0174737224522223</v>
      </c>
      <c r="D49" s="3855">
        <f>Summary2!C50</f>
        <v>2.0174737224522223</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19.31291910302857</v>
      </c>
      <c r="P49" s="3855">
        <f>Summary2!E50</f>
        <v>19.31291910302857</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28.362785964459299</v>
      </c>
      <c r="D50" s="3839">
        <f>Summary2!C51</f>
        <v>28.362785964459299</v>
      </c>
      <c r="E50" s="3839">
        <f t="shared" si="48"/>
        <v>0</v>
      </c>
      <c r="F50" s="3839">
        <f t="shared" si="49"/>
        <v>0</v>
      </c>
      <c r="G50" s="3844">
        <f>IF(E50="NA","NA",E50/Table8s2!$G$35*100)</f>
        <v>0</v>
      </c>
      <c r="H50" s="3845">
        <f>IF(E50="NA","NA",E50/Table8s2!$G$34*100)</f>
        <v>0</v>
      </c>
      <c r="I50" s="3839">
        <f>SUM(I51:I55)</f>
        <v>18649.404979776464</v>
      </c>
      <c r="J50" s="3839">
        <f>Summary2!D51</f>
        <v>18646.806647129735</v>
      </c>
      <c r="K50" s="3839">
        <f t="shared" ref="K50" si="54">IF(J50="NO",IF(I50="NO","NA",-I50),IF(I50="NO",J50,J50-I50))</f>
        <v>-2.5983326467285224</v>
      </c>
      <c r="L50" s="3839">
        <f t="shared" ref="L50" si="55">IF(K50="NA","NA",K50/I50*100)</f>
        <v>-1.3932523045888977E-2</v>
      </c>
      <c r="M50" s="3844">
        <f>IF(K50="NA","NA",K50/Table8s2!$G$35*100)</f>
        <v>-5.1002093152204095E-4</v>
      </c>
      <c r="N50" s="3845">
        <f>IF(K50="NA","NA",K50/Table8s2!$G$34*100)</f>
        <v>-4.4292049523828741E-4</v>
      </c>
      <c r="O50" s="3839">
        <f>SUM(O51:O55)</f>
        <v>356.30358998566311</v>
      </c>
      <c r="P50" s="3839">
        <f>Summary2!E51</f>
        <v>217.27292015556245</v>
      </c>
      <c r="Q50" s="3839">
        <f t="shared" si="52"/>
        <v>-139.03066983010066</v>
      </c>
      <c r="R50" s="3839">
        <f t="shared" si="53"/>
        <v>-39.020283190437389</v>
      </c>
      <c r="S50" s="3844">
        <f>IF(Q50="NA","NA",Q50/Table8s2!$G$35*100)</f>
        <v>-2.7290020708533973E-2</v>
      </c>
      <c r="T50" s="3845">
        <f>IF(Q50="NA","NA",Q50/Table8s2!$G$34*100)</f>
        <v>-2.3699634152690895E-2</v>
      </c>
    </row>
    <row r="51" spans="2:21" ht="18" customHeight="1" x14ac:dyDescent="0.2">
      <c r="B51" s="620" t="s">
        <v>1530</v>
      </c>
      <c r="C51" s="3918"/>
      <c r="D51" s="3918"/>
      <c r="E51" s="3888"/>
      <c r="F51" s="3903"/>
      <c r="G51" s="3904"/>
      <c r="H51" s="3905"/>
      <c r="I51" s="3839">
        <v>13802.935798246728</v>
      </c>
      <c r="J51" s="3839">
        <f>Summary2!D52</f>
        <v>13800.337465600001</v>
      </c>
      <c r="K51" s="3839">
        <f t="shared" ref="K51:K52" si="56">IF(J51="NO",IF(I51="NO","NA",-I51),IF(I51="NO",J51,J51-I51))</f>
        <v>-2.5983326467267034</v>
      </c>
      <c r="L51" s="3839">
        <f t="shared" ref="L51:L52" si="57">IF(K51="NA","NA",K51/I51*100)</f>
        <v>-1.8824492736224621E-2</v>
      </c>
      <c r="M51" s="3844">
        <f>IF(K51="NA","NA",K51/Table8s2!$G$35*100)</f>
        <v>-5.1002093152168393E-4</v>
      </c>
      <c r="N51" s="3845">
        <f>IF(K51="NA","NA",K51/Table8s2!$G$34*100)</f>
        <v>-4.4292049523797733E-4</v>
      </c>
      <c r="O51" s="3886"/>
      <c r="P51" s="3887"/>
      <c r="Q51" s="3940"/>
      <c r="R51" s="3941"/>
      <c r="S51" s="3942"/>
      <c r="T51" s="3943"/>
    </row>
    <row r="52" spans="2:21" ht="18" customHeight="1" x14ac:dyDescent="0.2">
      <c r="B52" s="1396" t="s">
        <v>1531</v>
      </c>
      <c r="C52" s="3918"/>
      <c r="D52" s="3918"/>
      <c r="E52" s="3888"/>
      <c r="F52" s="3903"/>
      <c r="G52" s="3904"/>
      <c r="H52" s="3905"/>
      <c r="I52" s="3849">
        <v>50.720478296991928</v>
      </c>
      <c r="J52" s="3847">
        <f>Summary2!D53</f>
        <v>50.720478296991928</v>
      </c>
      <c r="K52" s="3839">
        <f t="shared" si="56"/>
        <v>0</v>
      </c>
      <c r="L52" s="3839">
        <f t="shared" si="57"/>
        <v>0</v>
      </c>
      <c r="M52" s="3844">
        <f>IF(K52="NA","NA",K52/Table8s2!$G$35*100)</f>
        <v>0</v>
      </c>
      <c r="N52" s="3845">
        <f>IF(K52="NA","NA",K52/Table8s2!$G$34*100)</f>
        <v>0</v>
      </c>
      <c r="O52" s="3839">
        <v>61.444236565498791</v>
      </c>
      <c r="P52" s="3839">
        <f>Summary2!E53</f>
        <v>61.444236565498791</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28.362785964459299</v>
      </c>
      <c r="D53" s="3839">
        <f>Summary2!C54</f>
        <v>28.362785964459299</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4795.7487032327444</v>
      </c>
      <c r="J54" s="3847">
        <f>Summary2!D55</f>
        <v>4795.7487032327444</v>
      </c>
      <c r="K54" s="3839">
        <f t="shared" ref="K54" si="62">IF(J54="NO",IF(I54="NO","NA",-I54),IF(I54="NO",J54,J54-I54))</f>
        <v>0</v>
      </c>
      <c r="L54" s="3839">
        <f t="shared" ref="L54" si="63">IF(K54="NA","NA",K54/I54*100)</f>
        <v>0</v>
      </c>
      <c r="M54" s="3844">
        <f>IF(K54="NA","NA",K54/Table8s2!$G$35*100)</f>
        <v>0</v>
      </c>
      <c r="N54" s="3845">
        <f>IF(K54="NA","NA",K54/Table8s2!$G$34*100)</f>
        <v>0</v>
      </c>
      <c r="O54" s="3839">
        <v>294.85935342016433</v>
      </c>
      <c r="P54" s="3839">
        <f>Summary2!E55</f>
        <v>155.82868359006363</v>
      </c>
      <c r="Q54" s="3839">
        <f t="shared" ref="Q54" si="64">IF(P54="NO",IF(O54="NO","NA",-O54),IF(O54="NO",P54,P54-O54))</f>
        <v>-139.03066983010069</v>
      </c>
      <c r="R54" s="3839">
        <f t="shared" ref="R54" si="65">IF(Q54="NA","NA",Q54/O54*100)</f>
        <v>-47.151520959888572</v>
      </c>
      <c r="S54" s="3844">
        <f>IF(Q54="NA","NA",Q54/Table8s2!$G$35*100)</f>
        <v>-2.729002070853398E-2</v>
      </c>
      <c r="T54" s="3845">
        <f>IF(Q54="NA","NA",Q54/Table8s2!$G$34*100)</f>
        <v>-2.3699634152690899E-2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10489.665000000001</v>
      </c>
      <c r="D59" s="3847">
        <f>Summary2!C60</f>
        <v>10489.664999999999</v>
      </c>
      <c r="E59" s="3861">
        <f t="shared" ref="E59" si="66">IF(D59="NO",IF(C59="NO","NA",-C59),IF(C59="NO",D59,D59-C59))</f>
        <v>-1.8189894035458565E-12</v>
      </c>
      <c r="F59" s="3861">
        <f t="shared" ref="F59" si="67">IF(E59="NA","NA",E59/C59*100)</f>
        <v>-1.7340776884160327E-14</v>
      </c>
      <c r="G59" s="3862">
        <f>IF(E59="NA","NA",E59/Table8s2!$G$35*100)</f>
        <v>-3.5704538108053463E-16</v>
      </c>
      <c r="H59" s="3863">
        <f>IF(E59="NA","NA",E59/Table8s2!$G$34*100)</f>
        <v>-3.1007103284720617E-16</v>
      </c>
      <c r="I59" s="3847">
        <v>7.4072187466667589</v>
      </c>
      <c r="J59" s="3847">
        <f>Summary2!D60</f>
        <v>7.4072187466666675</v>
      </c>
      <c r="K59" s="3861">
        <f t="shared" ref="K59:K61" si="68">IF(J59="NO",IF(I59="NO","NA",-I59),IF(I59="NO",J59,J59-I59))</f>
        <v>-9.1482377229112899E-14</v>
      </c>
      <c r="L59" s="3861">
        <f t="shared" ref="L59:L61" si="69">IF(K59="NA","NA",K59/I59*100)</f>
        <v>-1.2350435481641457E-12</v>
      </c>
      <c r="M59" s="3862">
        <f>IF(K59="NA","NA",K59/Table8s2!$G$35*100)</f>
        <v>-1.7956872193015169E-17</v>
      </c>
      <c r="N59" s="3863">
        <f>IF(K59="NA","NA",K59/Table8s2!$G$34*100)</f>
        <v>-1.5594392765264764E-17</v>
      </c>
      <c r="O59" s="3848">
        <v>29.601959328963751</v>
      </c>
      <c r="P59" s="3847">
        <f>Summary2!E60</f>
        <v>29.601959328964909</v>
      </c>
      <c r="Q59" s="3861">
        <f t="shared" ref="Q59" si="70">IF(P59="NO",IF(O59="NO","NA",-O59),IF(O59="NO",P59,P59-O59))</f>
        <v>1.1581846592889633E-12</v>
      </c>
      <c r="R59" s="3966">
        <f t="shared" ref="R59" si="71">IF(Q59="NA","NA",Q59/O59*100)</f>
        <v>3.9125270270733355E-12</v>
      </c>
      <c r="S59" s="3967">
        <f>IF(Q59="NA","NA",Q59/Table8s2!$G$35*100)</f>
        <v>2.2733748873487169E-16</v>
      </c>
      <c r="T59" s="3968">
        <f>IF(Q59="NA","NA",Q59/Table8s2!$G$34*100)</f>
        <v>1.9742804044568205E-16</v>
      </c>
    </row>
    <row r="60" spans="2:21" ht="18" customHeight="1" x14ac:dyDescent="0.2">
      <c r="B60" s="1410" t="s">
        <v>111</v>
      </c>
      <c r="C60" s="3847">
        <v>7861.32</v>
      </c>
      <c r="D60" s="3847">
        <f>Summary2!C61</f>
        <v>7861.3199999999988</v>
      </c>
      <c r="E60" s="3861">
        <f t="shared" ref="E60:E61" si="72">IF(D60="NO",IF(C60="NO","NA",-C60),IF(C60="NO",D60,D60-C60))</f>
        <v>-9.0949470177292824E-13</v>
      </c>
      <c r="F60" s="3861">
        <f t="shared" ref="F60:F61" si="73">IF(E60="NA","NA",E60/C60*100)</f>
        <v>-1.1569236486657816E-14</v>
      </c>
      <c r="G60" s="3862">
        <f>IF(E60="NA","NA",E60/Table8s2!$G$35*100)</f>
        <v>-1.7852269054026731E-16</v>
      </c>
      <c r="H60" s="3863">
        <f>IF(E60="NA","NA",E60/Table8s2!$G$34*100)</f>
        <v>-1.5503551642360309E-16</v>
      </c>
      <c r="I60" s="3847">
        <v>0.36101874666675998</v>
      </c>
      <c r="J60" s="3847">
        <f>Summary2!D61</f>
        <v>0.36101874666666672</v>
      </c>
      <c r="K60" s="3861">
        <f t="shared" si="68"/>
        <v>-9.3258734068513149E-14</v>
      </c>
      <c r="L60" s="3861">
        <f t="shared" si="69"/>
        <v>-2.5832102883730871E-11</v>
      </c>
      <c r="M60" s="3862">
        <f>IF(K60="NA","NA",K60/Table8s2!$G$35*100)</f>
        <v>-1.8305549322976628E-17</v>
      </c>
      <c r="N60" s="3863">
        <f>IF(K60="NA","NA",K60/Table8s2!$G$34*100)</f>
        <v>-1.5897196508279611E-17</v>
      </c>
      <c r="O60" s="3848">
        <v>10.54845932896375</v>
      </c>
      <c r="P60" s="3847">
        <f>Summary2!E61</f>
        <v>10.548459328964912</v>
      </c>
      <c r="Q60" s="3861">
        <f t="shared" ref="Q60:Q61" si="74">IF(P60="NO",IF(O60="NO","NA",-O60),IF(O60="NO",P60,P60-O60))</f>
        <v>1.1617373729677638E-12</v>
      </c>
      <c r="R60" s="3966">
        <f t="shared" ref="R60:R61" si="75">IF(Q60="NA","NA",Q60/O60*100)</f>
        <v>1.1013336988254659E-11</v>
      </c>
      <c r="S60" s="3967">
        <f>IF(Q60="NA","NA",Q60/Table8s2!$G$35*100)</f>
        <v>2.2803484299479461E-16</v>
      </c>
      <c r="T60" s="3968">
        <f>IF(Q60="NA","NA",Q60/Table8s2!$G$34*100)</f>
        <v>1.9803364793171174E-16</v>
      </c>
    </row>
    <row r="61" spans="2:21" ht="18" customHeight="1" x14ac:dyDescent="0.2">
      <c r="B61" s="1411" t="s">
        <v>1503</v>
      </c>
      <c r="C61" s="3847">
        <v>2628.3450000000003</v>
      </c>
      <c r="D61" s="3847">
        <f>Summary2!C62</f>
        <v>2628.3449999999998</v>
      </c>
      <c r="E61" s="3861">
        <f t="shared" si="72"/>
        <v>-4.5474735088646412E-13</v>
      </c>
      <c r="F61" s="3861">
        <f t="shared" si="73"/>
        <v>-1.730166134531289E-14</v>
      </c>
      <c r="G61" s="3862">
        <f>IF(E61="NA","NA",E61/Table8s2!$G$35*100)</f>
        <v>-8.9261345270133657E-17</v>
      </c>
      <c r="H61" s="3863">
        <f>IF(E61="NA","NA",E61/Table8s2!$G$34*100)</f>
        <v>-7.7517758211801543E-17</v>
      </c>
      <c r="I61" s="3847">
        <v>7.0461999999999998</v>
      </c>
      <c r="J61" s="3847">
        <f>Summary2!D62</f>
        <v>7.0462000000000007</v>
      </c>
      <c r="K61" s="3861">
        <f t="shared" si="68"/>
        <v>8.8817841970012523E-16</v>
      </c>
      <c r="L61" s="3861">
        <f t="shared" si="69"/>
        <v>1.2605069678693839E-14</v>
      </c>
      <c r="M61" s="3862">
        <f>IF(K61="NA","NA",K61/Table8s2!$G$35*100)</f>
        <v>1.743385649807298E-19</v>
      </c>
      <c r="N61" s="3863">
        <f>IF(K61="NA","NA",K61/Table8s2!$G$34*100)</f>
        <v>1.5140187150742489E-19</v>
      </c>
      <c r="O61" s="3848">
        <v>19.053500000000003</v>
      </c>
      <c r="P61" s="3847">
        <f>Summary2!E62</f>
        <v>19.053499999999996</v>
      </c>
      <c r="Q61" s="3861">
        <f t="shared" si="74"/>
        <v>-7.1054273576010019E-15</v>
      </c>
      <c r="R61" s="3966">
        <f t="shared" si="75"/>
        <v>-3.7291979728664029E-14</v>
      </c>
      <c r="S61" s="3967">
        <f>IF(Q61="NA","NA",Q61/Table8s2!$G$35*100)</f>
        <v>-1.3947085198458384E-18</v>
      </c>
      <c r="T61" s="3968">
        <f>IF(Q61="NA","NA",Q61/Table8s2!$G$34*100)</f>
        <v>-1.2112149720593991E-18</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18429.66780000001</v>
      </c>
      <c r="D63" s="3847">
        <f>Summary2!C64</f>
        <v>18429.667800000003</v>
      </c>
      <c r="E63" s="3861">
        <f t="shared" ref="E63:E65" si="76">IF(D63="NO",IF(C63="NO","NA",-C63),IF(C63="NO",D63,D63-C63))</f>
        <v>-7.2759576141834259E-12</v>
      </c>
      <c r="F63" s="3861">
        <f t="shared" ref="F63:F65" si="77">IF(E63="NA","NA",E63/C63*100)</f>
        <v>-3.9479591781808581E-14</v>
      </c>
      <c r="G63" s="3862">
        <f>IF(E63="NA","NA",E63/Table8s2!$G$35*100)</f>
        <v>-1.4281815243221385E-15</v>
      </c>
      <c r="H63" s="3863">
        <f>IF(E63="NA","NA",E63/Table8s2!$G$34*100)</f>
        <v>-1.2402841313888247E-15</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-234991.1479658756</v>
      </c>
      <c r="D65" s="3849">
        <f>Summary2!C66</f>
        <v>-234968.98821381226</v>
      </c>
      <c r="E65" s="3977">
        <f t="shared" si="76"/>
        <v>22.159752063336782</v>
      </c>
      <c r="F65" s="3984">
        <f t="shared" si="77"/>
        <v>-9.4300369418829025E-3</v>
      </c>
      <c r="G65" s="3985">
        <f>IF(E65="NA","NA",E65/Table8s2!$G$35*100)</f>
        <v>4.3496884064749769E-3</v>
      </c>
      <c r="H65" s="3986">
        <f>IF(E65="NA","NA",E65/Table8s2!$G$34*100)</f>
        <v>3.7774256389414007E-3</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1547.7184967079174</v>
      </c>
      <c r="D10" s="4019">
        <f>IF(SUM(D11:D30)=0,"NO",SUM(D11:D30))</f>
        <v>1547.7184967079174</v>
      </c>
      <c r="E10" s="4019">
        <f>IF(D10="NO",IF(C10="NO","NA",-C10),IF(C10="NO",D10,D10-C10))</f>
        <v>0</v>
      </c>
      <c r="F10" s="4019">
        <f>IF(E10="NA","NA",E10/C10*100)</f>
        <v>0</v>
      </c>
      <c r="G10" s="4020">
        <f>IF(E10="NA","NA",E10/$G$35*100)</f>
        <v>0</v>
      </c>
      <c r="H10" s="4021">
        <f>IF(E10="NA","NA",E10/$G$34*100)</f>
        <v>0</v>
      </c>
      <c r="I10" s="4022">
        <f>IF(SUM(I11:I30)=0,"NO",SUM(I11:I30))</f>
        <v>1620.6064364210431</v>
      </c>
      <c r="J10" s="4022">
        <f>IF(SUM(J11:J30)=0,"NO",SUM(J11:J30))</f>
        <v>1620.6064364210433</v>
      </c>
      <c r="K10" s="4019">
        <f>IF(J10="NO",IF(I10="NO","NA",-I10),IF(I10="NO",J10,J10-I10))</f>
        <v>2.2737367544323206E-13</v>
      </c>
      <c r="L10" s="4019">
        <f>IF(K10="NA","NA",K10/I10*100)</f>
        <v>1.4030159965633941E-14</v>
      </c>
      <c r="M10" s="4020">
        <f>IF(K10="NA","NA",K10/$G$35*100)</f>
        <v>4.4630672635066829E-17</v>
      </c>
      <c r="N10" s="4021">
        <f>IF(K10="NA","NA",K10/$G$34*100)</f>
        <v>3.8758879105900771E-17</v>
      </c>
      <c r="O10" s="4018" t="s">
        <v>2146</v>
      </c>
      <c r="P10" s="4019" t="s">
        <v>2146</v>
      </c>
      <c r="Q10" s="4019" t="s">
        <v>2147</v>
      </c>
      <c r="R10" s="4023" t="s">
        <v>2147</v>
      </c>
      <c r="S10" s="4024" t="s">
        <v>2147</v>
      </c>
      <c r="T10" s="4021" t="s">
        <v>2147</v>
      </c>
      <c r="U10" s="4018">
        <f>IF(SUM(U11:U30)=0,"NO",SUM(U11:U30))</f>
        <v>225.51312817449531</v>
      </c>
      <c r="V10" s="4019">
        <f>IF(SUM(V11:V30)=0,"NO",SUM(V11:V30))</f>
        <v>225.51312817449531</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1620.6064364210431</v>
      </c>
      <c r="J13" s="3839">
        <f>'Table2(II)'!AH41</f>
        <v>1620.6064364210433</v>
      </c>
      <c r="K13" s="3847">
        <f>IF(J13="NO",IF(I13="NO","NA",-I13),IF(I13="NO",J13,J13-I13))</f>
        <v>2.2737367544323206E-13</v>
      </c>
      <c r="L13" s="4016">
        <f>IF(K13="NA","NA",K13/I13*100)</f>
        <v>1.4030159965633941E-14</v>
      </c>
      <c r="M13" s="3871">
        <f>IF(K13="NA","NA",K13/$G$35*100)</f>
        <v>4.4630672635066829E-17</v>
      </c>
      <c r="N13" s="3872">
        <f>IF(K13="NA","NA",K13/$G$34*100)</f>
        <v>3.8758879105900771E-17</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1434.4614783076422</v>
      </c>
      <c r="D21" s="3847">
        <f>'Table2(I)'!F46</f>
        <v>1434.4614783076422</v>
      </c>
      <c r="E21" s="3847">
        <f>IF(D21="NO",IF(C21="NO","NA",-C21),IF(C21="NO",D21,D21-C21))</f>
        <v>0</v>
      </c>
      <c r="F21" s="4016">
        <f>IF(E21="NA","NA",E21/C21*100)</f>
        <v>0</v>
      </c>
      <c r="G21" s="3871">
        <f>IF(E21="NA","NA",E21/$G$35*100)</f>
        <v>0</v>
      </c>
      <c r="H21" s="3872">
        <f>IF(E21="NA","NA",E21/$G$34*100)</f>
        <v>0</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28.517653841661964</v>
      </c>
      <c r="D22" s="3847">
        <f>'Table2(I)'!F47</f>
        <v>28.517653841661964</v>
      </c>
      <c r="E22" s="3847">
        <f t="shared" ref="E22:E25" si="0">IF(D22="NO",IF(C22="NO","NA",-C22),IF(C22="NO",D22,D22-C22))</f>
        <v>0</v>
      </c>
      <c r="F22" s="4016">
        <f t="shared" ref="F22:F25" si="1">IF(E22="NA","NA",E22/C22*100)</f>
        <v>0</v>
      </c>
      <c r="G22" s="3871">
        <f t="shared" ref="G22:G25" si="2">IF(E22="NA","NA",E22/$G$35*100)</f>
        <v>0</v>
      </c>
      <c r="H22" s="3872">
        <f t="shared" ref="H22:H25" si="3">IF(E22="NA","NA",E22/$G$34*100)</f>
        <v>0</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7.8604171299165273</v>
      </c>
      <c r="D23" s="3847">
        <f>'Table2(I)'!F48</f>
        <v>7.8604171299165264</v>
      </c>
      <c r="E23" s="3847">
        <f t="shared" si="0"/>
        <v>-8.8817841970012523E-16</v>
      </c>
      <c r="F23" s="4016">
        <f t="shared" si="1"/>
        <v>-1.1299380236701982E-14</v>
      </c>
      <c r="G23" s="3871">
        <f t="shared" si="2"/>
        <v>-1.743385649807298E-19</v>
      </c>
      <c r="H23" s="3872">
        <f t="shared" si="3"/>
        <v>-1.5140187150742489E-19</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38.884409748671111</v>
      </c>
      <c r="D24" s="3847">
        <f>'Table2(I)'!F49</f>
        <v>38.884409748671104</v>
      </c>
      <c r="E24" s="3847">
        <f t="shared" si="0"/>
        <v>-7.1054273576010019E-15</v>
      </c>
      <c r="F24" s="4016">
        <f t="shared" si="1"/>
        <v>-1.8273203588602324E-14</v>
      </c>
      <c r="G24" s="3871">
        <f t="shared" si="2"/>
        <v>-1.3947085198458384E-18</v>
      </c>
      <c r="H24" s="3872">
        <f t="shared" si="3"/>
        <v>-1.2112149720593991E-18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37.994537680025708</v>
      </c>
      <c r="D25" s="3847">
        <f>'Table2(I)'!F50</f>
        <v>37.994537680025701</v>
      </c>
      <c r="E25" s="3847">
        <f t="shared" si="0"/>
        <v>-7.1054273576010019E-15</v>
      </c>
      <c r="F25" s="4016">
        <f t="shared" si="1"/>
        <v>-1.8701181252526282E-14</v>
      </c>
      <c r="G25" s="3871">
        <f t="shared" si="2"/>
        <v>-1.3947085198458384E-18</v>
      </c>
      <c r="H25" s="3872">
        <f t="shared" si="3"/>
        <v>-1.2112149720593991E-18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209.96478999403644</v>
      </c>
      <c r="V27" s="3847">
        <f>IFERROR('Table2(I)'!I53*23500,'Table2(I)'!I53)</f>
        <v>209.96478999403635</v>
      </c>
      <c r="W27" s="3847">
        <f>IF(V27="NO",IF(U27="NO","NA",-U27),IF(U27="NO",V27,V27-U27))</f>
        <v>-8.5265128291212022E-14</v>
      </c>
      <c r="X27" s="4016">
        <f>IF(W27="NA","NA",W27/U27*100)</f>
        <v>-4.0609250862315429E-14</v>
      </c>
      <c r="Y27" s="3871">
        <f>IF(W27="NA","NA",W27/$G$35*100)</f>
        <v>-1.6736502238150062E-17</v>
      </c>
      <c r="Z27" s="3872">
        <f>IF(W27="NA","NA",W27/$G$34*100)</f>
        <v>-1.4534579664712789E-17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15.54833818045887</v>
      </c>
      <c r="V28" s="3847">
        <f>IFERROR('Table2(I)'!I54*23500,'Table2(I)'!I54)</f>
        <v>15.548338180458968</v>
      </c>
      <c r="W28" s="3847">
        <f>IF(V28="NO",IF(U28="NO","NA",-U28),IF(U28="NO",V28,V28-U28))</f>
        <v>9.7699626167013776E-14</v>
      </c>
      <c r="X28" s="4016">
        <f>IF(W28="NA","NA",W28/U28*100)</f>
        <v>6.2836056839696562E-13</v>
      </c>
      <c r="Y28" s="3871">
        <f>IF(W28="NA","NA",W28/$G$35*100)</f>
        <v>1.9177242147880279E-17</v>
      </c>
      <c r="Z28" s="3872">
        <f>IF(W28="NA","NA",W28/$G$34*100)</f>
        <v>1.6654205865816737E-17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586885.64053225156</v>
      </c>
      <c r="F34" s="4523"/>
      <c r="G34" s="4522">
        <f>SUM(Table8s1!D10,Table8s1!J10,Table8s1!P10,D10,J10,P10,V10,AB10)</f>
        <v>586636.35452918964</v>
      </c>
      <c r="H34" s="4523"/>
      <c r="I34" s="3839">
        <f>G34-E34</f>
        <v>-249.28600306191947</v>
      </c>
      <c r="J34" s="4045">
        <f>IF(I34="NA","NA",I34/E34*100)</f>
        <v>-4.2476078105410771E-2</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508944.62651151116</v>
      </c>
      <c r="F35" s="4525"/>
      <c r="G35" s="4526">
        <f>G34-SUM(Table8s1!D41,Table8s1!J41,Table8s1!P41)</f>
        <v>509456.08035623009</v>
      </c>
      <c r="H35" s="4527"/>
      <c r="I35" s="3855">
        <f>G35-E35</f>
        <v>511.45384471892612</v>
      </c>
      <c r="J35" s="4046">
        <f>IF(I35="NA","NA",I35/E35*100)</f>
        <v>0.10049302381373276</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1056357.011903761</v>
      </c>
      <c r="D10" s="1913" t="s">
        <v>1814</v>
      </c>
      <c r="E10" s="628"/>
      <c r="F10" s="628"/>
      <c r="G10" s="628"/>
      <c r="H10" s="1847">
        <f>IF(SUM(H11:H14)=0,"NO",SUM(H11:H14))</f>
        <v>71661.082472194292</v>
      </c>
      <c r="I10" s="1847">
        <f>IF(SUM(I11:I15)=0,"NO",SUM(I11:I15))</f>
        <v>26.005576130187183</v>
      </c>
      <c r="J10" s="2192">
        <f>IF(SUM(J11:J15)=0,"NO",SUM(J11:J15))</f>
        <v>5.9826816597628723</v>
      </c>
    </row>
    <row r="11" spans="2:11" ht="18" customHeight="1" x14ac:dyDescent="0.2">
      <c r="B11" s="282" t="s">
        <v>132</v>
      </c>
      <c r="C11" s="1913">
        <f>IF(SUM(C17:C18,C21:C24,C82,C89:C92,C100)=0,"NO",SUM(C17:C18,C21:C24,C82,C89:C92,C100))</f>
        <v>1038034.5449630662</v>
      </c>
      <c r="D11" s="1909" t="s">
        <v>1814</v>
      </c>
      <c r="E11" s="1913">
        <f>IFERROR(H11*1000/$C11,"NA")</f>
        <v>67.945249300161478</v>
      </c>
      <c r="F11" s="1913">
        <f t="shared" ref="F11:G15" si="0">IFERROR(I11*1000000/$C11,"NA")</f>
        <v>24.707305011974164</v>
      </c>
      <c r="G11" s="1913">
        <f t="shared" si="0"/>
        <v>5.7566789937376193</v>
      </c>
      <c r="H11" s="1913">
        <f>IF(SUM(H17:H18,H21:H24,H82,H89:H92,H100)=0,"NO",SUM(H17:H18,H21:H24,H82,H89:H92,H100))</f>
        <v>70529.515939695208</v>
      </c>
      <c r="I11" s="1913">
        <f>IF(SUM(I17:I18,I21:I24,I82,I89:I92,I100)=0,"NO",SUM(I17:I18,I21:I24,I82,I89:I92,I100))</f>
        <v>25.647036115368287</v>
      </c>
      <c r="J11" s="3085">
        <f>IF(SUM(J17:J18,J21:J24,J82,J89:J92,J100)=0,"NO",SUM(J17:J18,J21:J24,J82,J89:J92,J100))</f>
        <v>5.9756316597628718</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13400</v>
      </c>
      <c r="D13" s="1909" t="s">
        <v>1814</v>
      </c>
      <c r="E13" s="1913">
        <f t="shared" si="1"/>
        <v>51.411918339265</v>
      </c>
      <c r="F13" s="1913">
        <f t="shared" si="0"/>
        <v>15.055224986484777</v>
      </c>
      <c r="G13" s="1913">
        <f t="shared" si="0"/>
        <v>0.16044776119402984</v>
      </c>
      <c r="H13" s="1913">
        <f>IF(SUM(H26,H84,H94,H102)=0,"NO",SUM(H26,H84,H94,H102))</f>
        <v>688.91970574615107</v>
      </c>
      <c r="I13" s="1913">
        <f>IF(SUM(I26,I84,I94,I102)=0,"NO",SUM(I26,I84,I94,I102))</f>
        <v>0.201740014818896</v>
      </c>
      <c r="J13" s="3085">
        <f>IF(SUM(J26,J84,J94,J102)=0,"NO",SUM(J26,J84,J94,J102))</f>
        <v>2.15E-3</v>
      </c>
    </row>
    <row r="14" spans="2:11" ht="18" customHeight="1" x14ac:dyDescent="0.2">
      <c r="B14" s="282" t="s">
        <v>175</v>
      </c>
      <c r="C14" s="1913">
        <f>IF(SUM(C28,C86,C96,C103)=0,"NO",SUM(C28,C86,C96,C103))</f>
        <v>4922.4669406947442</v>
      </c>
      <c r="D14" s="1909" t="s">
        <v>1814</v>
      </c>
      <c r="E14" s="1913">
        <f t="shared" si="1"/>
        <v>89.923778480562163</v>
      </c>
      <c r="F14" s="1913">
        <f t="shared" si="0"/>
        <v>31.853946789101176</v>
      </c>
      <c r="G14" s="1913">
        <f t="shared" si="0"/>
        <v>0.99543583715941175</v>
      </c>
      <c r="H14" s="1913">
        <f>IF(SUM(H28,H86,H96,H103)=0,"NO",SUM(H28,H86,H96,H103))</f>
        <v>442.64682675292471</v>
      </c>
      <c r="I14" s="1913">
        <f>IF(SUM(I28,I86,I96,I103)=0,"NO",SUM(I28,I86,I96,I103))</f>
        <v>0.15680000000000002</v>
      </c>
      <c r="J14" s="3085">
        <f>IF(SUM(J28,J86,J96,J103)=0,"NO",SUM(J28,J86,J96,J103))</f>
        <v>4.9000000000000007E-3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78888.075397490844</v>
      </c>
      <c r="D16" s="1909" t="s">
        <v>1814</v>
      </c>
      <c r="E16" s="628"/>
      <c r="F16" s="628"/>
      <c r="G16" s="628"/>
      <c r="H16" s="1913">
        <f>IF(SUM(H17:H18)=0,"NO",SUM(H17:H18))</f>
        <v>5482.6318948943053</v>
      </c>
      <c r="I16" s="1913">
        <f>IF(SUM(I17:I19)=0,"NO",SUM(I17:I19))</f>
        <v>3.6423007792907865E-2</v>
      </c>
      <c r="J16" s="3085">
        <f>IF(SUM(J17:J19)=0,"NO",SUM(J17:J19))</f>
        <v>4.9889800973480454E-2</v>
      </c>
    </row>
    <row r="17" spans="2:10" ht="18" customHeight="1" x14ac:dyDescent="0.2">
      <c r="B17" s="282" t="s">
        <v>177</v>
      </c>
      <c r="C17" s="691">
        <v>3068.5202965595504</v>
      </c>
      <c r="D17" s="1909" t="s">
        <v>1814</v>
      </c>
      <c r="E17" s="1913">
        <f t="shared" ref="E17:E19" si="2">IFERROR(H17*1000/$C17,"NA")</f>
        <v>66.999999999999986</v>
      </c>
      <c r="F17" s="1913">
        <f t="shared" ref="F17:G19" si="3">IFERROR(I17*1000000/$C17,"NA")</f>
        <v>0.49999999999999994</v>
      </c>
      <c r="G17" s="1913">
        <f t="shared" si="3"/>
        <v>2</v>
      </c>
      <c r="H17" s="691">
        <v>205.59085986948983</v>
      </c>
      <c r="I17" s="691">
        <v>1.5342601482797749E-3</v>
      </c>
      <c r="J17" s="2911">
        <v>6.1370405931191006E-3</v>
      </c>
    </row>
    <row r="18" spans="2:10" ht="18" customHeight="1" x14ac:dyDescent="0.2">
      <c r="B18" s="282" t="s">
        <v>178</v>
      </c>
      <c r="C18" s="691">
        <v>75819.555100931291</v>
      </c>
      <c r="D18" s="1909" t="s">
        <v>1814</v>
      </c>
      <c r="E18" s="1913">
        <f t="shared" si="2"/>
        <v>69.59999999999998</v>
      </c>
      <c r="F18" s="1913">
        <f t="shared" si="3"/>
        <v>0.46015500352361677</v>
      </c>
      <c r="G18" s="1913">
        <f t="shared" si="3"/>
        <v>0.57706432492405824</v>
      </c>
      <c r="H18" s="691">
        <v>5277.0410350248158</v>
      </c>
      <c r="I18" s="691">
        <v>3.4888747644628092E-2</v>
      </c>
      <c r="J18" s="2911">
        <v>4.3752760380361355E-2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917965.72614701989</v>
      </c>
      <c r="D20" s="1909" t="s">
        <v>1814</v>
      </c>
      <c r="E20" s="628"/>
      <c r="F20" s="628"/>
      <c r="G20" s="628"/>
      <c r="H20" s="1913">
        <f>IF(SUM(H21:H24,H26,H28)=0,"NO",SUM(H21:H24,H26,H28))</f>
        <v>62150.843622378125</v>
      </c>
      <c r="I20" s="1913">
        <f>IF(SUM(I21:I24,I26:I28)=0,"NO",SUM(I21:I24,I26:I28))</f>
        <v>21.84555786488384</v>
      </c>
      <c r="J20" s="3085">
        <f>IF(SUM(J21:J24,J26:J28)=0,"NO",SUM(J21:J24,J26:J28))</f>
        <v>5.2573223778849849</v>
      </c>
    </row>
    <row r="21" spans="2:10" ht="18" customHeight="1" x14ac:dyDescent="0.2">
      <c r="B21" s="282" t="s">
        <v>167</v>
      </c>
      <c r="C21" s="1913">
        <f>IF(SUM(C31,C41,C51,C61,C72)=0,"NO",SUM(C31,C41,C51,C61,C72))</f>
        <v>581351.90381819406</v>
      </c>
      <c r="D21" s="1909" t="s">
        <v>1814</v>
      </c>
      <c r="E21" s="1913">
        <f t="shared" ref="E21:E23" si="4">IFERROR(H21*1000/$C21,"NA")</f>
        <v>67.400000000000048</v>
      </c>
      <c r="F21" s="1913">
        <f t="shared" ref="F21:G23" si="5">IFERROR(I21*1000000/$C21,"NA")</f>
        <v>27.974245927738178</v>
      </c>
      <c r="G21" s="1913">
        <f t="shared" si="5"/>
        <v>8.195969898002236</v>
      </c>
      <c r="H21" s="1913">
        <f>IF(SUM(H31,H41,H51,H61,H72)=0,"NO",SUM(H31,H41,H51,H61,H72))</f>
        <v>39183.118317346307</v>
      </c>
      <c r="I21" s="1913">
        <f>IF(SUM(I31,I41,I51,I61,I72)=0,"NO",SUM(I31,I41,I51,I61,I72))</f>
        <v>16.262881127968953</v>
      </c>
      <c r="J21" s="3085">
        <f>IF(SUM(J31,J41,J51,J61,J72)=0,"NO",SUM(J31,J41,J51,J61,J72))</f>
        <v>4.7647427038402101</v>
      </c>
    </row>
    <row r="22" spans="2:10" ht="18" customHeight="1" x14ac:dyDescent="0.2">
      <c r="B22" s="282" t="s">
        <v>168</v>
      </c>
      <c r="C22" s="1913">
        <f t="shared" ref="C22:C29" si="6">IF(SUM(C32,C42,C52,C62,C73)=0,"NO",SUM(C32,C42,C52,C62,C73))</f>
        <v>279527.3093184398</v>
      </c>
      <c r="D22" s="1909" t="s">
        <v>1814</v>
      </c>
      <c r="E22" s="1913">
        <f t="shared" si="4"/>
        <v>69.899999999999977</v>
      </c>
      <c r="F22" s="1913">
        <f t="shared" si="5"/>
        <v>12.021077179966856</v>
      </c>
      <c r="G22" s="1913">
        <f t="shared" si="5"/>
        <v>1.5340681773495544</v>
      </c>
      <c r="H22" s="1913">
        <f t="shared" ref="H22:J29" si="7">IF(SUM(H32,H42,H52,H62,H73)=0,"NO",SUM(H32,H42,H52,H62,H73))</f>
        <v>19538.958921358935</v>
      </c>
      <c r="I22" s="1913">
        <f t="shared" si="7"/>
        <v>3.3602193592254332</v>
      </c>
      <c r="J22" s="3085">
        <f t="shared" si="7"/>
        <v>0.42881394992556404</v>
      </c>
    </row>
    <row r="23" spans="2:10" ht="18" customHeight="1" x14ac:dyDescent="0.2">
      <c r="B23" s="282" t="s">
        <v>169</v>
      </c>
      <c r="C23" s="1913">
        <f t="shared" si="6"/>
        <v>56181.354694179463</v>
      </c>
      <c r="D23" s="1909" t="s">
        <v>1814</v>
      </c>
      <c r="E23" s="1913">
        <f t="shared" si="4"/>
        <v>60.19999999999996</v>
      </c>
      <c r="F23" s="1913">
        <f t="shared" si="5"/>
        <v>37.713165428897454</v>
      </c>
      <c r="G23" s="1913">
        <f t="shared" si="5"/>
        <v>1.1189784308587449</v>
      </c>
      <c r="H23" s="1913">
        <f t="shared" si="7"/>
        <v>3382.1175525896015</v>
      </c>
      <c r="I23" s="1913">
        <f t="shared" si="7"/>
        <v>2.1187767236011545</v>
      </c>
      <c r="J23" s="3085">
        <f t="shared" si="7"/>
        <v>6.2865724119211527E-2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899.99999999999977</v>
      </c>
      <c r="D26" s="1909" t="s">
        <v>1814</v>
      </c>
      <c r="E26" s="1913">
        <f t="shared" si="8"/>
        <v>51.411918339265014</v>
      </c>
      <c r="F26" s="1913">
        <f t="shared" si="9"/>
        <v>115.20072676478044</v>
      </c>
      <c r="G26" s="1913">
        <f t="shared" si="9"/>
        <v>1.0000000000000004</v>
      </c>
      <c r="H26" s="1913">
        <f t="shared" si="7"/>
        <v>46.270726505338502</v>
      </c>
      <c r="I26" s="1913">
        <f t="shared" si="7"/>
        <v>0.10368065408830238</v>
      </c>
      <c r="J26" s="3085">
        <f t="shared" si="7"/>
        <v>9.0000000000000019E-4</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5.1583162065785606</v>
      </c>
      <c r="D28" s="1909" t="s">
        <v>1814</v>
      </c>
      <c r="E28" s="628"/>
      <c r="F28" s="628"/>
      <c r="G28" s="628"/>
      <c r="H28" s="1913">
        <f>H29</f>
        <v>0.3781045779422082</v>
      </c>
      <c r="I28" s="1913" t="str">
        <f>I29</f>
        <v>NE</v>
      </c>
      <c r="J28" s="3085" t="str">
        <f>J29</f>
        <v>NE</v>
      </c>
    </row>
    <row r="29" spans="2:10" ht="18" customHeight="1" x14ac:dyDescent="0.2">
      <c r="B29" s="3105" t="s">
        <v>252</v>
      </c>
      <c r="C29" s="1913">
        <f t="shared" si="6"/>
        <v>5.1583162065785606</v>
      </c>
      <c r="D29" s="1909" t="s">
        <v>1814</v>
      </c>
      <c r="E29" s="3103">
        <f t="shared" ref="E29" si="10">IFERROR(H29*1000/$C29,"NA")</f>
        <v>73.29999999999994</v>
      </c>
      <c r="F29" s="3103" t="str">
        <f>IFERROR(I29*1000000/$C29,"NA")</f>
        <v>NA</v>
      </c>
      <c r="G29" s="3103" t="str">
        <f>IFERROR(J29*1000000/$C29,"NA")</f>
        <v>NA</v>
      </c>
      <c r="H29" s="1913">
        <f t="shared" si="7"/>
        <v>0.3781045779422082</v>
      </c>
      <c r="I29" s="1913" t="str">
        <f>IF(SUM(I39,I49,I59,I69,I80)=0,"NE",SUM(I39,I49,I59,I69,I80))</f>
        <v>NE</v>
      </c>
      <c r="J29" s="3085" t="str">
        <f>IF(SUM(J39,J49,J59,J69,J80)=0,"NE",SUM(J39,J49,J59,J69,J80))</f>
        <v>NE</v>
      </c>
    </row>
    <row r="30" spans="2:10" ht="18" customHeight="1" x14ac:dyDescent="0.2">
      <c r="B30" s="1242" t="s">
        <v>182</v>
      </c>
      <c r="C30" s="1913">
        <f>IF(SUM(C31:C34,C36:C38)=0,"NO",SUM(C31:C34,C36:C38))</f>
        <v>562900.2946667166</v>
      </c>
      <c r="D30" s="1909" t="s">
        <v>1814</v>
      </c>
      <c r="E30" s="628"/>
      <c r="F30" s="628"/>
      <c r="G30" s="628"/>
      <c r="H30" s="1913">
        <f>IF(SUM(H31:H34,H36,H38)=0,"NO",SUM(H31:H34,H36,H38))</f>
        <v>37719.097076966813</v>
      </c>
      <c r="I30" s="1913">
        <f>IF(SUM(I31:I34,I36:I38)=0,"NO",SUM(I31:I34,I36:I38))</f>
        <v>16.162905131134867</v>
      </c>
      <c r="J30" s="3085">
        <f>IF(SUM(J31:J34,J36:J38)=0,"NO",SUM(J31:J34,J36:J38))</f>
        <v>4.5598045701887315</v>
      </c>
    </row>
    <row r="31" spans="2:10" ht="18" customHeight="1" x14ac:dyDescent="0.2">
      <c r="B31" s="282" t="s">
        <v>167</v>
      </c>
      <c r="C31" s="691">
        <v>493745.846912637</v>
      </c>
      <c r="D31" s="1909" t="s">
        <v>1814</v>
      </c>
      <c r="E31" s="1913">
        <f t="shared" ref="E31:E33" si="11">IFERROR(H31*1000/$C31,"NA")</f>
        <v>67.400000000000048</v>
      </c>
      <c r="F31" s="1913">
        <f t="shared" ref="F31:G33" si="12">IFERROR(I31*1000000/$C31,"NA")</f>
        <v>28.846895910955649</v>
      </c>
      <c r="G31" s="1913">
        <f t="shared" si="12"/>
        <v>9.1267709241804464</v>
      </c>
      <c r="H31" s="691">
        <v>33278.470081911757</v>
      </c>
      <c r="I31" s="691">
        <v>14.243035052355481</v>
      </c>
      <c r="J31" s="2911">
        <v>4.506305239537105</v>
      </c>
    </row>
    <row r="32" spans="2:10" ht="18" customHeight="1" x14ac:dyDescent="0.2">
      <c r="B32" s="282" t="s">
        <v>168</v>
      </c>
      <c r="C32" s="691">
        <v>28673.621413714201</v>
      </c>
      <c r="D32" s="1909" t="s">
        <v>1814</v>
      </c>
      <c r="E32" s="1913">
        <f t="shared" si="11"/>
        <v>69.899999999999963</v>
      </c>
      <c r="F32" s="1913">
        <f t="shared" si="12"/>
        <v>11.251843954777183</v>
      </c>
      <c r="G32" s="1913">
        <f t="shared" si="12"/>
        <v>0.26734304329668324</v>
      </c>
      <c r="H32" s="691">
        <v>2004.2861368186218</v>
      </c>
      <c r="I32" s="691">
        <v>0.32263111376546971</v>
      </c>
      <c r="J32" s="2911">
        <v>7.6656932110792993E-3</v>
      </c>
    </row>
    <row r="33" spans="2:10" ht="18" customHeight="1" x14ac:dyDescent="0.2">
      <c r="B33" s="282" t="s">
        <v>169</v>
      </c>
      <c r="C33" s="691">
        <v>40411.995908774603</v>
      </c>
      <c r="D33" s="1909" t="s">
        <v>1814</v>
      </c>
      <c r="E33" s="1913">
        <f t="shared" si="11"/>
        <v>60.199999999999932</v>
      </c>
      <c r="F33" s="1913">
        <f t="shared" si="12"/>
        <v>39.07934233027602</v>
      </c>
      <c r="G33" s="1913">
        <f t="shared" si="12"/>
        <v>1.1324559943108243</v>
      </c>
      <c r="H33" s="691">
        <v>2432.8021537082282</v>
      </c>
      <c r="I33" s="691">
        <v>1.5792742223687166</v>
      </c>
      <c r="J33" s="2911">
        <v>4.5764807008956312E-2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68.830431590813205</v>
      </c>
      <c r="D36" s="1909" t="s">
        <v>1814</v>
      </c>
      <c r="E36" s="1913">
        <f t="shared" si="13"/>
        <v>51.411918339264965</v>
      </c>
      <c r="F36" s="1913">
        <f t="shared" si="14"/>
        <v>260.99999999999983</v>
      </c>
      <c r="G36" s="1913">
        <f t="shared" si="14"/>
        <v>0.99999999999999922</v>
      </c>
      <c r="H36" s="691">
        <v>3.5387045282032519</v>
      </c>
      <c r="I36" s="691">
        <v>1.7964742645202234E-2</v>
      </c>
      <c r="J36" s="2911">
        <v>6.8830431590813154E-5</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143105.03447718409</v>
      </c>
      <c r="D40" s="1909" t="s">
        <v>1814</v>
      </c>
      <c r="E40" s="628"/>
      <c r="F40" s="628"/>
      <c r="G40" s="628"/>
      <c r="H40" s="1913">
        <f>IF(SUM(H41:H44,H46,H48)=0,"NO",SUM(H41:H44,H46,H48))</f>
        <v>9655.5081226215207</v>
      </c>
      <c r="I40" s="1913">
        <f>IF(SUM(I41:I44,I46:I48)=0,"NO",SUM(I41:I44,I46:I48))</f>
        <v>3.8711994899241438</v>
      </c>
      <c r="J40" s="3085">
        <f>IF(SUM(J41:J44,J46:J48)=0,"NO",SUM(J41:J44,J46:J48))</f>
        <v>0.28159934898275962</v>
      </c>
    </row>
    <row r="41" spans="2:10" ht="18" customHeight="1" x14ac:dyDescent="0.2">
      <c r="B41" s="282" t="s">
        <v>167</v>
      </c>
      <c r="C41" s="691">
        <v>82611.566758399</v>
      </c>
      <c r="D41" s="1909" t="s">
        <v>1814</v>
      </c>
      <c r="E41" s="1913">
        <f t="shared" ref="E41:E43" si="16">IFERROR(H41*1000/$C41,"NA")</f>
        <v>67.400000000000006</v>
      </c>
      <c r="F41" s="1913">
        <f t="shared" ref="F41:G43" si="17">IFERROR(I41*1000000/$C41,"NA")</f>
        <v>21.25756772173083</v>
      </c>
      <c r="G41" s="1913">
        <f t="shared" si="17"/>
        <v>3.0666211531591108</v>
      </c>
      <c r="H41" s="691">
        <v>5568.019599516093</v>
      </c>
      <c r="I41" s="691">
        <v>1.7561209749649542</v>
      </c>
      <c r="J41" s="2911">
        <v>0.25333837811692239</v>
      </c>
    </row>
    <row r="42" spans="2:10" ht="18" customHeight="1" x14ac:dyDescent="0.2">
      <c r="B42" s="282" t="s">
        <v>168</v>
      </c>
      <c r="C42" s="691">
        <v>45966.893085544594</v>
      </c>
      <c r="D42" s="1909" t="s">
        <v>1814</v>
      </c>
      <c r="E42" s="1913">
        <f t="shared" si="16"/>
        <v>69.900000000000048</v>
      </c>
      <c r="F42" s="1913">
        <f t="shared" si="17"/>
        <v>34.678193272263606</v>
      </c>
      <c r="G42" s="1913">
        <f t="shared" si="17"/>
        <v>0.29439567161950075</v>
      </c>
      <c r="H42" s="691">
        <v>3213.0858266795699</v>
      </c>
      <c r="I42" s="691">
        <v>1.5940488025459931</v>
      </c>
      <c r="J42" s="2911">
        <v>1.3532454362180686E-2</v>
      </c>
    </row>
    <row r="43" spans="2:10" ht="18" customHeight="1" x14ac:dyDescent="0.2">
      <c r="B43" s="282" t="s">
        <v>169</v>
      </c>
      <c r="C43" s="691">
        <v>14515.525976779401</v>
      </c>
      <c r="D43" s="1909" t="s">
        <v>1814</v>
      </c>
      <c r="E43" s="1913">
        <f t="shared" si="16"/>
        <v>60.200000000000031</v>
      </c>
      <c r="F43" s="1913">
        <f t="shared" si="17"/>
        <v>35.695986070758828</v>
      </c>
      <c r="G43" s="1913">
        <f t="shared" si="17"/>
        <v>1.0139121290361162</v>
      </c>
      <c r="H43" s="691">
        <v>873.83466380212042</v>
      </c>
      <c r="I43" s="691">
        <v>0.51814601307685537</v>
      </c>
      <c r="J43" s="2911">
        <v>1.4717467847195454E-2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11.048656461076598</v>
      </c>
      <c r="D46" s="1909" t="s">
        <v>1814</v>
      </c>
      <c r="E46" s="1913">
        <f t="shared" si="18"/>
        <v>51.411918339264972</v>
      </c>
      <c r="F46" s="1913">
        <f t="shared" si="19"/>
        <v>260.99999999999983</v>
      </c>
      <c r="G46" s="1913">
        <f t="shared" si="19"/>
        <v>0.99999999999999933</v>
      </c>
      <c r="H46" s="691">
        <v>0.56803262373546237</v>
      </c>
      <c r="I46" s="691">
        <v>2.8836993363409906E-3</v>
      </c>
      <c r="J46" s="2911">
        <v>1.1048656461076592E-5</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209154.27461789834</v>
      </c>
      <c r="D50" s="1909" t="s">
        <v>1814</v>
      </c>
      <c r="E50" s="628"/>
      <c r="F50" s="628"/>
      <c r="G50" s="628"/>
      <c r="H50" s="1913">
        <f>IF(SUM(H51:H54,H56,H58)=0,"NO",SUM(H51:H54,H56,H58))</f>
        <v>14587.075339960287</v>
      </c>
      <c r="I50" s="1913">
        <f>IF(SUM(I51:I54,I56:I58)=0,"NO",SUM(I51:I54,I56:I58))</f>
        <v>1.5959281538729735</v>
      </c>
      <c r="J50" s="3085">
        <f>IF(SUM(J51:J54,J56:J58)=0,"NO",SUM(J51:J54,J56:J58))</f>
        <v>0.41304479084747042</v>
      </c>
    </row>
    <row r="51" spans="2:10" ht="18" customHeight="1" x14ac:dyDescent="0.2">
      <c r="B51" s="282" t="s">
        <v>167</v>
      </c>
      <c r="C51" s="691">
        <v>2193.5260781437601</v>
      </c>
      <c r="D51" s="1909" t="s">
        <v>1814</v>
      </c>
      <c r="E51" s="1913">
        <f t="shared" ref="E51:E53" si="21">IFERROR(H51*1000/$C51,"NA")</f>
        <v>67.400000000000148</v>
      </c>
      <c r="F51" s="1913">
        <f t="shared" ref="F51:G53" si="22">IFERROR(I51*1000000/$C51,"NA")</f>
        <v>21.973757766969538</v>
      </c>
      <c r="G51" s="1913">
        <f t="shared" si="22"/>
        <v>1.0145392581982453</v>
      </c>
      <c r="H51" s="691">
        <v>147.84365766688975</v>
      </c>
      <c r="I51" s="691">
        <v>4.8200010696661674E-2</v>
      </c>
      <c r="J51" s="2911">
        <v>2.2254183201584764E-3</v>
      </c>
    </row>
    <row r="52" spans="2:10" ht="18" customHeight="1" x14ac:dyDescent="0.2">
      <c r="B52" s="282" t="s">
        <v>168</v>
      </c>
      <c r="C52" s="691">
        <v>204886.794819181</v>
      </c>
      <c r="D52" s="1909" t="s">
        <v>1814</v>
      </c>
      <c r="E52" s="1913">
        <f t="shared" si="21"/>
        <v>69.899999999999963</v>
      </c>
      <c r="F52" s="1913">
        <f t="shared" si="22"/>
        <v>7.0455465135658883</v>
      </c>
      <c r="G52" s="1913">
        <f t="shared" si="22"/>
        <v>1.9894683925922982</v>
      </c>
      <c r="H52" s="691">
        <v>14321.586957860745</v>
      </c>
      <c r="I52" s="691">
        <v>1.4435394429139703</v>
      </c>
      <c r="J52" s="2911">
        <v>0.40761580235230405</v>
      </c>
    </row>
    <row r="53" spans="2:10" ht="18" customHeight="1" x14ac:dyDescent="0.2">
      <c r="B53" s="282" t="s">
        <v>169</v>
      </c>
      <c r="C53" s="691">
        <v>1253.8328086254601</v>
      </c>
      <c r="D53" s="1909" t="s">
        <v>1814</v>
      </c>
      <c r="E53" s="1913">
        <f t="shared" si="21"/>
        <v>60.200000000000166</v>
      </c>
      <c r="F53" s="1913">
        <f t="shared" si="22"/>
        <v>17.032963253685431</v>
      </c>
      <c r="G53" s="1913">
        <f t="shared" si="22"/>
        <v>1.9009306876190888</v>
      </c>
      <c r="H53" s="691">
        <v>75.480735079252909</v>
      </c>
      <c r="I53" s="691">
        <v>2.1356488155582658E-2</v>
      </c>
      <c r="J53" s="2911">
        <v>2.3834492630597694E-3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820.12091194811001</v>
      </c>
      <c r="D56" s="1909" t="s">
        <v>1814</v>
      </c>
      <c r="E56" s="1913">
        <f t="shared" si="23"/>
        <v>51.411918339265014</v>
      </c>
      <c r="F56" s="1913">
        <f t="shared" si="24"/>
        <v>101.00000000000004</v>
      </c>
      <c r="G56" s="1913">
        <f t="shared" si="24"/>
        <v>1.0000000000000004</v>
      </c>
      <c r="H56" s="691">
        <v>42.163989353399785</v>
      </c>
      <c r="I56" s="691">
        <v>8.2832212106759145E-2</v>
      </c>
      <c r="J56" s="2911">
        <v>8.2012091194811048E-4</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2806.1223852209282</v>
      </c>
      <c r="D60" s="1909" t="s">
        <v>1814</v>
      </c>
      <c r="E60" s="628"/>
      <c r="F60" s="628"/>
      <c r="G60" s="628"/>
      <c r="H60" s="1913">
        <f>IF(SUM(H61:H64,H66,H68)=0,"NO",SUM(H61:H64,H66,H68))</f>
        <v>189.16308282950911</v>
      </c>
      <c r="I60" s="1913">
        <f>IF(SUM(I61:I64,I66:I68)=0,"NO",SUM(I61:I64,I66:I68))</f>
        <v>0.2155250899518579</v>
      </c>
      <c r="J60" s="3085">
        <f>IF(SUM(J61:J64,J66:J68)=0,"NO",SUM(J61:J64,J66:J68))</f>
        <v>2.8736678660247722E-3</v>
      </c>
    </row>
    <row r="61" spans="2:10" ht="18" customHeight="1" x14ac:dyDescent="0.2">
      <c r="B61" s="282" t="s">
        <v>167</v>
      </c>
      <c r="C61" s="691">
        <v>2800.9640690143497</v>
      </c>
      <c r="D61" s="1909" t="s">
        <v>1814</v>
      </c>
      <c r="E61" s="1913">
        <f t="shared" ref="E61:E63" si="26">IFERROR(H61*1000/$C61,"NA")</f>
        <v>67.399999999999906</v>
      </c>
      <c r="F61" s="1913">
        <f t="shared" ref="F61:G63" si="27">IFERROR(I61*1000000/$C61,"NA")</f>
        <v>76.946752847029728</v>
      </c>
      <c r="G61" s="1913">
        <f t="shared" si="27"/>
        <v>1.0259567046270632</v>
      </c>
      <c r="H61" s="691">
        <v>188.78497825156691</v>
      </c>
      <c r="I61" s="691">
        <v>0.2155250899518579</v>
      </c>
      <c r="J61" s="2911">
        <v>2.8736678660247722E-3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5.1583162065785606</v>
      </c>
      <c r="D68" s="1909" t="s">
        <v>1814</v>
      </c>
      <c r="E68" s="628"/>
      <c r="F68" s="628"/>
      <c r="G68" s="628"/>
      <c r="H68" s="1913">
        <f>H69</f>
        <v>0.3781045779422082</v>
      </c>
      <c r="I68" s="1913" t="str">
        <f>I69</f>
        <v>NE</v>
      </c>
      <c r="J68" s="3085" t="str">
        <f>J69</f>
        <v>NE</v>
      </c>
    </row>
    <row r="69" spans="2:10" ht="18" customHeight="1" x14ac:dyDescent="0.2">
      <c r="B69" s="3105" t="s">
        <v>252</v>
      </c>
      <c r="C69" s="691">
        <v>5.1583162065785606</v>
      </c>
      <c r="D69" s="1909" t="s">
        <v>1814</v>
      </c>
      <c r="E69" s="3103">
        <f t="shared" ref="E69" si="30">IFERROR(H69*1000/$C69,"NA")</f>
        <v>73.29999999999994</v>
      </c>
      <c r="F69" s="3103" t="str">
        <f>IFERROR(I69*1000000/$C69,"NA")</f>
        <v>NA</v>
      </c>
      <c r="G69" s="3103" t="str">
        <f>IFERROR(J69*1000000/$C69,"NA")</f>
        <v>NA</v>
      </c>
      <c r="H69" s="691">
        <v>0.3781045779422082</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21340.1</v>
      </c>
      <c r="D81" s="1909" t="s">
        <v>1814</v>
      </c>
      <c r="E81" s="628"/>
      <c r="F81" s="628"/>
      <c r="G81" s="628"/>
      <c r="H81" s="1913">
        <f>IF(SUM(H82:H84,H86)=0,"NO",SUM(H82:H84,H86))</f>
        <v>1491.67299</v>
      </c>
      <c r="I81" s="1913">
        <f>IF(SUM(I82:I86)=0,"NO",SUM(I82:I86))</f>
        <v>8.5360400000000003E-2</v>
      </c>
      <c r="J81" s="3085">
        <f>IF(SUM(J82:J86)=0,"NO",SUM(J82:J86))</f>
        <v>0.64020299999999997</v>
      </c>
    </row>
    <row r="82" spans="2:10" ht="18" customHeight="1" x14ac:dyDescent="0.2">
      <c r="B82" s="282" t="s">
        <v>132</v>
      </c>
      <c r="C82" s="691">
        <v>21340.1</v>
      </c>
      <c r="D82" s="1909" t="s">
        <v>1814</v>
      </c>
      <c r="E82" s="1913">
        <f t="shared" ref="E82:E85" si="36">IFERROR(H82*1000/$C82,"NA")</f>
        <v>69.900000000000006</v>
      </c>
      <c r="F82" s="1913">
        <f t="shared" ref="F82:G85" si="37">IFERROR(I82*1000000/$C82,"NA")</f>
        <v>4.0000000000000009</v>
      </c>
      <c r="G82" s="1913">
        <f t="shared" si="37"/>
        <v>30.000000000000004</v>
      </c>
      <c r="H82" s="691">
        <v>1491.67299</v>
      </c>
      <c r="I82" s="691">
        <v>8.5360400000000003E-2</v>
      </c>
      <c r="J82" s="2911">
        <v>0.64020299999999997</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25027.835650658089</v>
      </c>
      <c r="D88" s="1909" t="s">
        <v>1814</v>
      </c>
      <c r="E88" s="628"/>
      <c r="F88" s="628"/>
      <c r="G88" s="628"/>
      <c r="H88" s="1913">
        <f>IF(SUM(H89:H92,H94,H96)=0,"NO",SUM(H89:H92,H94,H96))</f>
        <v>1851.4191796620357</v>
      </c>
      <c r="I88" s="3334">
        <f>IF(SUM(I89:I92,I94:I96)=0,"NE",SUM(I89:I92,I94:I96))</f>
        <v>3.9099592562122059</v>
      </c>
      <c r="J88" s="3335">
        <f>IF(SUM(J89:J92,J94:J96)=0,"NE",SUM(J89:J92,J94:J96))</f>
        <v>3.3895615942135839E-2</v>
      </c>
    </row>
    <row r="89" spans="2:10" ht="18" customHeight="1" x14ac:dyDescent="0.2">
      <c r="B89" s="282" t="s">
        <v>190</v>
      </c>
      <c r="C89" s="691">
        <v>7854.0360000000001</v>
      </c>
      <c r="D89" s="1909" t="s">
        <v>1814</v>
      </c>
      <c r="E89" s="1913">
        <f t="shared" ref="E89:E91" si="39">IFERROR(H89*1000/$C89,"NA")</f>
        <v>73.599999999999994</v>
      </c>
      <c r="F89" s="1913">
        <f t="shared" ref="F89:G91" si="40">IFERROR(I89*1000000/$C89,"NA")</f>
        <v>7</v>
      </c>
      <c r="G89" s="1913">
        <f t="shared" si="40"/>
        <v>2</v>
      </c>
      <c r="H89" s="691">
        <v>578.05704959999991</v>
      </c>
      <c r="I89" s="3336">
        <v>5.4978251999999998E-2</v>
      </c>
      <c r="J89" s="3337">
        <v>1.5708072E-2</v>
      </c>
    </row>
    <row r="90" spans="2:10" ht="18" customHeight="1" x14ac:dyDescent="0.2">
      <c r="B90" s="282" t="s">
        <v>191</v>
      </c>
      <c r="C90" s="691">
        <v>2038.8859680228602</v>
      </c>
      <c r="D90" s="1909" t="s">
        <v>1814</v>
      </c>
      <c r="E90" s="1913">
        <f t="shared" si="39"/>
        <v>69.900000000000048</v>
      </c>
      <c r="F90" s="1913">
        <f t="shared" si="40"/>
        <v>7.0000000000000044</v>
      </c>
      <c r="G90" s="1913">
        <f t="shared" si="40"/>
        <v>2.0000000000000013</v>
      </c>
      <c r="H90" s="691">
        <v>142.51812916479804</v>
      </c>
      <c r="I90" s="3336">
        <v>1.427220177616003E-2</v>
      </c>
      <c r="J90" s="3337">
        <v>4.0777719360457227E-3</v>
      </c>
    </row>
    <row r="91" spans="2:10" ht="18" customHeight="1" x14ac:dyDescent="0.2">
      <c r="B91" s="282" t="s">
        <v>167</v>
      </c>
      <c r="C91" s="691">
        <v>10233.080006766801</v>
      </c>
      <c r="D91" s="1909" t="s">
        <v>1814</v>
      </c>
      <c r="E91" s="1913">
        <f t="shared" si="39"/>
        <v>67.399999999999963</v>
      </c>
      <c r="F91" s="1913">
        <f t="shared" si="40"/>
        <v>359.99999999999977</v>
      </c>
      <c r="G91" s="1913">
        <f t="shared" si="40"/>
        <v>0.89999999999999936</v>
      </c>
      <c r="H91" s="691">
        <v>689.70959245608196</v>
      </c>
      <c r="I91" s="3336">
        <v>3.6839088024360458</v>
      </c>
      <c r="J91" s="3337">
        <v>9.2097720060901143E-3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t="s">
        <v>2146</v>
      </c>
      <c r="D94" s="1909" t="s">
        <v>1814</v>
      </c>
      <c r="E94" s="1913" t="str">
        <f t="shared" ref="E94:E95" si="43">IFERROR(H94*1000/$C94,"NA")</f>
        <v>NA</v>
      </c>
      <c r="F94" s="1913" t="str">
        <f t="shared" si="42"/>
        <v>NA</v>
      </c>
      <c r="G94" s="1913" t="str">
        <f t="shared" si="42"/>
        <v>NA</v>
      </c>
      <c r="H94" s="691" t="s">
        <v>2146</v>
      </c>
      <c r="I94" s="3336" t="s">
        <v>2146</v>
      </c>
      <c r="J94" s="3337" t="s">
        <v>2146</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4901.8336758684291</v>
      </c>
      <c r="D96" s="1909" t="s">
        <v>1814</v>
      </c>
      <c r="E96" s="628"/>
      <c r="F96" s="628"/>
      <c r="G96" s="628"/>
      <c r="H96" s="1913">
        <f>IF(SUM(H97:H98)=0,"NO",SUM(H97:H98))</f>
        <v>441.13440844115587</v>
      </c>
      <c r="I96" s="3334">
        <f>IF(SUM(I97:I98)=0,"NE",SUM(I97:I98))</f>
        <v>0.15680000000000002</v>
      </c>
      <c r="J96" s="3335">
        <f>IF(SUM(J97:J98)=0,"NE",SUM(J97:J98))</f>
        <v>4.9000000000000007E-3</v>
      </c>
    </row>
    <row r="97" spans="2:10" ht="18" customHeight="1" x14ac:dyDescent="0.2">
      <c r="B97" s="2572" t="s">
        <v>2260</v>
      </c>
      <c r="C97" s="691">
        <v>4900</v>
      </c>
      <c r="D97" s="1909" t="s">
        <v>1814</v>
      </c>
      <c r="E97" s="3103">
        <f t="shared" ref="E97" si="44">IFERROR(H97*1000/$C97,"NA")</f>
        <v>90.000000000000014</v>
      </c>
      <c r="F97" s="3103">
        <f>IFERROR(I97*1000000/$C97,"NA")</f>
        <v>32.000000000000007</v>
      </c>
      <c r="G97" s="3103">
        <f>IFERROR(J97*1000000/$C97,"NA")</f>
        <v>1.0000000000000002</v>
      </c>
      <c r="H97" s="691">
        <v>441.00000000000006</v>
      </c>
      <c r="I97" s="3336">
        <v>0.15680000000000002</v>
      </c>
      <c r="J97" s="3337">
        <v>4.9000000000000007E-3</v>
      </c>
    </row>
    <row r="98" spans="2:10" ht="18" customHeight="1" x14ac:dyDescent="0.2">
      <c r="B98" s="2572" t="s">
        <v>252</v>
      </c>
      <c r="C98" s="691">
        <v>1.8336758684288699</v>
      </c>
      <c r="D98" s="1909" t="s">
        <v>1814</v>
      </c>
      <c r="E98" s="3103">
        <f t="shared" ref="E98" si="45">IFERROR(H98*1000/$C98,"NA")</f>
        <v>73.300000000000168</v>
      </c>
      <c r="F98" s="3103" t="str">
        <f>IFERROR(I98*1000000/$C98,"NA")</f>
        <v>NA</v>
      </c>
      <c r="G98" s="3103" t="str">
        <f>IFERROR(J98*1000000/$C98,"NA")</f>
        <v>NA</v>
      </c>
      <c r="H98" s="691">
        <v>0.13440844115583647</v>
      </c>
      <c r="I98" s="3336" t="s">
        <v>2154</v>
      </c>
      <c r="J98" s="3337" t="s">
        <v>2154</v>
      </c>
    </row>
    <row r="99" spans="2:10" ht="18" customHeight="1" x14ac:dyDescent="0.2">
      <c r="B99" s="1241" t="s">
        <v>193</v>
      </c>
      <c r="C99" s="1913">
        <f>IF(SUM(C100:C104)=0,"NO",SUM(C100:C104))</f>
        <v>13135.274708592102</v>
      </c>
      <c r="D99" s="1909" t="s">
        <v>1814</v>
      </c>
      <c r="E99" s="628"/>
      <c r="F99" s="628"/>
      <c r="G99" s="628"/>
      <c r="H99" s="1913">
        <f>IF(SUM(H100:H103)=0,"NO",SUM(H100:H103))</f>
        <v>684.51478525980644</v>
      </c>
      <c r="I99" s="1913">
        <f>IF(SUM(I100:I104)=0,"NO",SUM(I100:I104))</f>
        <v>0.12827560129822513</v>
      </c>
      <c r="J99" s="3085">
        <f>IF(SUM(J100:J104)=0,"NO",SUM(J100:J104))</f>
        <v>1.3708649622705259E-3</v>
      </c>
    </row>
    <row r="100" spans="2:10" ht="18" customHeight="1" x14ac:dyDescent="0.2">
      <c r="B100" s="282" t="s">
        <v>132</v>
      </c>
      <c r="C100" s="1913">
        <f>IF(SUM(C106,C113:C116)=0,"NO",SUM(C106,C113:C116))</f>
        <v>619.799759972365</v>
      </c>
      <c r="D100" s="1909" t="s">
        <v>1814</v>
      </c>
      <c r="E100" s="3103">
        <f t="shared" ref="E100:E104" si="46">IFERROR(H100*1000/$C100,"NA")</f>
        <v>65.717179830762348</v>
      </c>
      <c r="F100" s="3103">
        <f t="shared" ref="F100:G104" si="47">IFERROR(I100*1000000/$C100,"NA")</f>
        <v>48.751617085135273</v>
      </c>
      <c r="G100" s="3103">
        <f t="shared" si="47"/>
        <v>0.19500646834054106</v>
      </c>
      <c r="H100" s="1913">
        <f>IF(SUM(H106,H113:H116)=0,"NO",SUM(H106,H113:H116))</f>
        <v>40.731492285167249</v>
      </c>
      <c r="I100" s="1913">
        <f>IF(SUM(I106,I113:I116)=0,"NO",SUM(I106,I113:I116))</f>
        <v>3.0216240567631489E-2</v>
      </c>
      <c r="J100" s="3085">
        <f>IF(SUM(J106,J113:J116)=0,"NO",SUM(J106,J113:J116))</f>
        <v>1.2086496227052593E-4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12500</v>
      </c>
      <c r="D102" s="1909" t="s">
        <v>1814</v>
      </c>
      <c r="E102" s="3103">
        <f t="shared" si="46"/>
        <v>51.411918339265007</v>
      </c>
      <c r="F102" s="3103">
        <f t="shared" si="47"/>
        <v>7.8447488584474909</v>
      </c>
      <c r="G102" s="3103">
        <f t="shared" si="47"/>
        <v>0.1</v>
      </c>
      <c r="H102" s="1913">
        <f t="shared" si="48"/>
        <v>642.64897924081254</v>
      </c>
      <c r="I102" s="1913">
        <f t="shared" si="48"/>
        <v>9.8059360730593625E-2</v>
      </c>
      <c r="J102" s="3085">
        <f t="shared" si="48"/>
        <v>1.25E-3</v>
      </c>
    </row>
    <row r="103" spans="2:10" ht="18" customHeight="1" x14ac:dyDescent="0.2">
      <c r="B103" s="282" t="s">
        <v>175</v>
      </c>
      <c r="C103" s="1913">
        <f>IF(SUM(C109,C120)=0,"NO",SUM(C109,C120))</f>
        <v>15.4749486197357</v>
      </c>
      <c r="D103" s="1909" t="s">
        <v>1814</v>
      </c>
      <c r="E103" s="3103">
        <f t="shared" si="46"/>
        <v>73.299999999999841</v>
      </c>
      <c r="F103" s="3103" t="str">
        <f t="shared" si="47"/>
        <v>NA</v>
      </c>
      <c r="G103" s="3103" t="str">
        <f t="shared" si="47"/>
        <v>NA</v>
      </c>
      <c r="H103" s="1913">
        <f t="shared" si="48"/>
        <v>1.1343137338266245</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12500</v>
      </c>
      <c r="D105" s="1909" t="s">
        <v>1814</v>
      </c>
      <c r="E105" s="628"/>
      <c r="F105" s="628"/>
      <c r="G105" s="628"/>
      <c r="H105" s="1913">
        <f>IF(SUM(H106:H109)=0,"NO",SUM(H106:H109))</f>
        <v>642.64897924081254</v>
      </c>
      <c r="I105" s="1913">
        <f>IF(SUM(I106:I110)=0,"NO",SUM(I106:I110))</f>
        <v>9.8059360730593625E-2</v>
      </c>
      <c r="J105" s="3085">
        <f>IF(SUM(J106:J110)=0,"NO",SUM(J106:J110))</f>
        <v>1.25E-3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12500</v>
      </c>
      <c r="D108" s="1909" t="s">
        <v>1814</v>
      </c>
      <c r="E108" s="3103">
        <f t="shared" si="49"/>
        <v>51.411918339265007</v>
      </c>
      <c r="F108" s="3103">
        <f t="shared" si="50"/>
        <v>7.8447488584474909</v>
      </c>
      <c r="G108" s="3103">
        <f t="shared" si="50"/>
        <v>0.1</v>
      </c>
      <c r="H108" s="691">
        <v>642.64897924081254</v>
      </c>
      <c r="I108" s="691">
        <v>9.8059360730593625E-2</v>
      </c>
      <c r="J108" s="2911">
        <v>1.25E-3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635.27470859210075</v>
      </c>
      <c r="D111" s="1909" t="s">
        <v>1814</v>
      </c>
      <c r="E111" s="628"/>
      <c r="F111" s="628"/>
      <c r="G111" s="628"/>
      <c r="H111" s="1913">
        <f>H112</f>
        <v>41.865806018993872</v>
      </c>
      <c r="I111" s="1913">
        <f>I112</f>
        <v>3.0216240567631489E-2</v>
      </c>
      <c r="J111" s="3085">
        <f>J112</f>
        <v>1.2086496227052593E-4</v>
      </c>
    </row>
    <row r="112" spans="2:10" ht="18" customHeight="1" x14ac:dyDescent="0.2">
      <c r="B112" s="3089" t="s">
        <v>2148</v>
      </c>
      <c r="C112" s="3099">
        <f>IF(SUM(C113:C116,C118:C121)=0,"NO",SUM(C113:C116,C118:C121))</f>
        <v>635.27470859210075</v>
      </c>
      <c r="D112" s="3099" t="s">
        <v>1814</v>
      </c>
      <c r="E112" s="628"/>
      <c r="F112" s="628"/>
      <c r="G112" s="628"/>
      <c r="H112" s="3099">
        <f>IF(SUM(H113:H116,H118:H120)=0,"NO",SUM(H113:H116,H118:H120))</f>
        <v>41.865806018993872</v>
      </c>
      <c r="I112" s="3099">
        <f>IF(SUM(I113:I116,I118:I121)=0,"NO",SUM(I113:I116,I118:I121))</f>
        <v>3.0216240567631489E-2</v>
      </c>
      <c r="J112" s="3100">
        <f>IF(SUM(J113:J116,J118:J121)=0,"NO",SUM(J113:J116,J118:J121))</f>
        <v>1.2086496227052593E-4</v>
      </c>
    </row>
    <row r="113" spans="2:10" ht="18" customHeight="1" x14ac:dyDescent="0.2">
      <c r="B113" s="282" t="s">
        <v>167</v>
      </c>
      <c r="C113" s="691">
        <v>619.799759972365</v>
      </c>
      <c r="D113" s="1913" t="s">
        <v>1814</v>
      </c>
      <c r="E113" s="1913">
        <f t="shared" ref="E113:E115" si="51">IFERROR(H113*1000/$C113,"NA")</f>
        <v>65.717179830762348</v>
      </c>
      <c r="F113" s="1913">
        <f t="shared" ref="F113:G115" si="52">IFERROR(I113*1000000/$C113,"NA")</f>
        <v>48.751617085135273</v>
      </c>
      <c r="G113" s="1913">
        <f t="shared" si="52"/>
        <v>0.19500646834054106</v>
      </c>
      <c r="H113" s="691">
        <v>40.731492285167249</v>
      </c>
      <c r="I113" s="691">
        <v>3.0216240567631489E-2</v>
      </c>
      <c r="J113" s="2911">
        <v>1.2086496227052593E-4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15.4749486197357</v>
      </c>
      <c r="D120" s="1909" t="s">
        <v>1814</v>
      </c>
      <c r="E120" s="3103">
        <f t="shared" si="53"/>
        <v>73.299999999999841</v>
      </c>
      <c r="F120" s="3103" t="str">
        <f t="shared" si="54"/>
        <v>NA</v>
      </c>
      <c r="G120" s="3103" t="str">
        <f t="shared" si="54"/>
        <v>NA</v>
      </c>
      <c r="H120" s="691">
        <v>1.1343137338266245</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370372.01212082861</v>
      </c>
      <c r="D10" s="3109" t="s">
        <v>1814</v>
      </c>
      <c r="E10" s="2135"/>
      <c r="F10" s="2135"/>
      <c r="G10" s="2135"/>
      <c r="H10" s="3109">
        <f>IF(SUM(H11:H15)=0,"NO",SUM(H11:H15))</f>
        <v>17176.218506658799</v>
      </c>
      <c r="I10" s="3109">
        <f>IF(SUM(I11:I16)=0,"NO",SUM(I11:I16))</f>
        <v>67.737047234830726</v>
      </c>
      <c r="J10" s="3109">
        <f>IF(SUM(J11:J16)=0,"NO",SUM(J11:J16))</f>
        <v>0.64445846970012677</v>
      </c>
      <c r="K10" s="420" t="str">
        <f>IF(SUM(K11:K16)=0,"NO",SUM(K11:K16))</f>
        <v>NO</v>
      </c>
    </row>
    <row r="11" spans="2:12" ht="18" customHeight="1" x14ac:dyDescent="0.2">
      <c r="B11" s="282" t="s">
        <v>132</v>
      </c>
      <c r="C11" s="1913">
        <f>IF(SUM(C18,C39,C60)=0,"NO",SUM(C18,C39,C60))</f>
        <v>120474.86212082859</v>
      </c>
      <c r="D11" s="3109" t="s">
        <v>1814</v>
      </c>
      <c r="E11" s="1913">
        <f t="shared" ref="E11:E16" si="0">IFERROR(H11*1000/$C11,"NA")</f>
        <v>68.404742994557864</v>
      </c>
      <c r="F11" s="1913">
        <f t="shared" ref="F11:G16" si="1">IFERROR(I11*1000000/$C11,"NA")</f>
        <v>10.018230898676791</v>
      </c>
      <c r="G11" s="1913">
        <f t="shared" si="1"/>
        <v>2.7449042068524201</v>
      </c>
      <c r="H11" s="1913">
        <f>IF(SUM(H18,H39,H60)=0,"NO",SUM(H18,H39,H60))</f>
        <v>8241.0519806800748</v>
      </c>
      <c r="I11" s="1913">
        <f>IF(SUM(I18,I39,I60)=0,"NO",SUM(I18,I39,I60))</f>
        <v>1.2069449862127111</v>
      </c>
      <c r="J11" s="1913">
        <f>IF(SUM(J18,J39,J60)=0,"NO",SUM(J18,J39,J60))</f>
        <v>0.33069195585542766</v>
      </c>
      <c r="K11" s="3085" t="str">
        <f>IF(SUM(K18,K39,K60)=0,"NO",SUM(K18,K39,K60))</f>
        <v>NO</v>
      </c>
    </row>
    <row r="12" spans="2:12" ht="18" customHeight="1" x14ac:dyDescent="0.2">
      <c r="B12" s="282" t="s">
        <v>133</v>
      </c>
      <c r="C12" s="1913">
        <f t="shared" ref="C12:C16" si="2">IF(SUM(C19,C40,C61)=0,"NO",SUM(C19,C40,C61))</f>
        <v>4200</v>
      </c>
      <c r="D12" s="3109" t="s">
        <v>1814</v>
      </c>
      <c r="E12" s="1913">
        <f t="shared" si="0"/>
        <v>93.333333333333343</v>
      </c>
      <c r="F12" s="1913">
        <f t="shared" si="1"/>
        <v>0.95238095238095233</v>
      </c>
      <c r="G12" s="1913">
        <f t="shared" si="1"/>
        <v>0.66666666666666663</v>
      </c>
      <c r="H12" s="1913">
        <f t="shared" ref="H12:K16" si="3">IF(SUM(H19,H40,H61)=0,"NO",SUM(H19,H40,H61))</f>
        <v>392.00000000000006</v>
      </c>
      <c r="I12" s="1913">
        <f t="shared" si="3"/>
        <v>4.0000000000000001E-3</v>
      </c>
      <c r="J12" s="1913">
        <f t="shared" si="3"/>
        <v>2.8E-3</v>
      </c>
      <c r="K12" s="3085" t="str">
        <f t="shared" si="3"/>
        <v>NO</v>
      </c>
    </row>
    <row r="13" spans="2:12" ht="18" customHeight="1" x14ac:dyDescent="0.2">
      <c r="B13" s="282" t="s">
        <v>134</v>
      </c>
      <c r="C13" s="1913">
        <f t="shared" si="2"/>
        <v>166000</v>
      </c>
      <c r="D13" s="3109" t="s">
        <v>1814</v>
      </c>
      <c r="E13" s="1913">
        <f t="shared" si="0"/>
        <v>51.464858590233284</v>
      </c>
      <c r="F13" s="1913">
        <f t="shared" si="1"/>
        <v>0.90909090909090906</v>
      </c>
      <c r="G13" s="1913">
        <f t="shared" si="1"/>
        <v>0.90909090909090928</v>
      </c>
      <c r="H13" s="1913">
        <f t="shared" si="3"/>
        <v>8543.166525978726</v>
      </c>
      <c r="I13" s="1913">
        <f t="shared" si="3"/>
        <v>0.15090909090909091</v>
      </c>
      <c r="J13" s="1913">
        <f t="shared" si="3"/>
        <v>0.15090909090909094</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79697.149999999994</v>
      </c>
      <c r="D16" s="3109" t="s">
        <v>1814</v>
      </c>
      <c r="E16" s="1913">
        <f t="shared" si="0"/>
        <v>76.604538556272104</v>
      </c>
      <c r="F16" s="1913">
        <f t="shared" si="1"/>
        <v>832.84274478709619</v>
      </c>
      <c r="G16" s="1913">
        <f t="shared" si="1"/>
        <v>2.0083205351208684</v>
      </c>
      <c r="H16" s="1913">
        <f t="shared" si="3"/>
        <v>6105.1634000000013</v>
      </c>
      <c r="I16" s="1913">
        <f t="shared" si="3"/>
        <v>66.375193157708921</v>
      </c>
      <c r="J16" s="1913">
        <f t="shared" si="3"/>
        <v>0.1600574229356081</v>
      </c>
      <c r="K16" s="3085" t="str">
        <f t="shared" si="3"/>
        <v>NO</v>
      </c>
    </row>
    <row r="17" spans="2:11" ht="18" customHeight="1" x14ac:dyDescent="0.2">
      <c r="B17" s="1241" t="s">
        <v>1942</v>
      </c>
      <c r="C17" s="3109">
        <f>IF(SUM(C18:C23)=0,"NO",SUM(C18:C23))</f>
        <v>71514.222386058973</v>
      </c>
      <c r="D17" s="3109" t="s">
        <v>1814</v>
      </c>
      <c r="E17" s="628"/>
      <c r="F17" s="628"/>
      <c r="G17" s="628"/>
      <c r="H17" s="3078">
        <f>IF(SUM(H18:H22)=0,"NO",SUM(H18:H22))</f>
        <v>4235.6835514896384</v>
      </c>
      <c r="I17" s="3078">
        <f>IF(SUM(I18:I23)=0,"NO",SUM(I18:I23))</f>
        <v>7.6858583981813555E-2</v>
      </c>
      <c r="J17" s="3110">
        <f>IF(SUM(J18:J23)=0,"NO",SUM(J18:J23))</f>
        <v>8.2857632813678736E-2</v>
      </c>
      <c r="K17" s="3085" t="str">
        <f>IF(SUM(K18:K23)=0,"NO",SUM(K18:K23))</f>
        <v>NO</v>
      </c>
    </row>
    <row r="18" spans="2:11" ht="18" customHeight="1" x14ac:dyDescent="0.2">
      <c r="B18" s="282" t="s">
        <v>132</v>
      </c>
      <c r="C18" s="3109">
        <f>IF(SUM(C26,C33)=0,"NO",SUM(C26,C33))</f>
        <v>23817.072386058986</v>
      </c>
      <c r="D18" s="3109" t="s">
        <v>1814</v>
      </c>
      <c r="E18" s="1913">
        <f t="shared" ref="E18" si="4">IFERROR(H18*1000/$C18,"NA")</f>
        <v>68.186696545880082</v>
      </c>
      <c r="F18" s="1913">
        <f t="shared" ref="F18:G23" si="5">IFERROR(I18*1000000/$C18,"NA")</f>
        <v>1.3308267607254254</v>
      </c>
      <c r="G18" s="1913">
        <f t="shared" si="5"/>
        <v>1.6582839945521184</v>
      </c>
      <c r="H18" s="3109">
        <f>IF(SUM(H26,H33)=0,"NO",SUM(H26,H33))</f>
        <v>1624.007487399464</v>
      </c>
      <c r="I18" s="3109">
        <f>IF(SUM(I26,I33)=0,"NO",SUM(I26,I33))</f>
        <v>3.1696397293501856E-2</v>
      </c>
      <c r="J18" s="3109">
        <f>IF(SUM(J26,J33)=0,"NO",SUM(J26,J33))</f>
        <v>3.9495469934890851E-2</v>
      </c>
      <c r="K18" s="3085" t="str">
        <f>IF(SUM(K26,K33)=0,"NO",SUM(K26,K33))</f>
        <v>NO</v>
      </c>
    </row>
    <row r="19" spans="2:11" ht="18" customHeight="1" x14ac:dyDescent="0.2">
      <c r="B19" s="282" t="s">
        <v>133</v>
      </c>
      <c r="C19" s="3109">
        <f t="shared" ref="C19:C21" si="6">IF(SUM(C27,C34)=0,"NO",SUM(C27,C34))</f>
        <v>4000</v>
      </c>
      <c r="D19" s="3109" t="s">
        <v>1814</v>
      </c>
      <c r="E19" s="1913">
        <f t="shared" ref="E19:E23" si="7">IFERROR(H19*1000/$C19,"NA")</f>
        <v>93.375000000000014</v>
      </c>
      <c r="F19" s="1913">
        <f t="shared" si="5"/>
        <v>0.95238095238095244</v>
      </c>
      <c r="G19" s="1913">
        <f t="shared" si="5"/>
        <v>0.66666666666666663</v>
      </c>
      <c r="H19" s="3109">
        <f t="shared" ref="H19:K21" si="8">IF(SUM(H27,H34)=0,"NO",SUM(H27,H34))</f>
        <v>373.50000000000006</v>
      </c>
      <c r="I19" s="3109">
        <f t="shared" si="8"/>
        <v>3.8095238095238095E-3</v>
      </c>
      <c r="J19" s="3109">
        <f t="shared" si="8"/>
        <v>2.6666666666666666E-3</v>
      </c>
      <c r="K19" s="3085" t="str">
        <f t="shared" si="8"/>
        <v>NO</v>
      </c>
    </row>
    <row r="20" spans="2:11" ht="18" customHeight="1" x14ac:dyDescent="0.2">
      <c r="B20" s="282" t="s">
        <v>134</v>
      </c>
      <c r="C20" s="3109">
        <f t="shared" si="6"/>
        <v>43499.999999999993</v>
      </c>
      <c r="D20" s="3109" t="s">
        <v>1814</v>
      </c>
      <c r="E20" s="1913">
        <f t="shared" si="7"/>
        <v>51.452323312417803</v>
      </c>
      <c r="F20" s="1913">
        <f t="shared" si="5"/>
        <v>0.90909090909090917</v>
      </c>
      <c r="G20" s="1913">
        <f t="shared" si="5"/>
        <v>0.90909090909090917</v>
      </c>
      <c r="H20" s="3109">
        <f t="shared" si="8"/>
        <v>2238.1760640901743</v>
      </c>
      <c r="I20" s="3109">
        <f t="shared" si="8"/>
        <v>3.9545454545454543E-2</v>
      </c>
      <c r="J20" s="3109">
        <f t="shared" si="8"/>
        <v>3.9545454545454543E-2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197.15000000000003</v>
      </c>
      <c r="D23" s="3109" t="s">
        <v>1814</v>
      </c>
      <c r="E23" s="1913">
        <f t="shared" si="7"/>
        <v>94</v>
      </c>
      <c r="F23" s="1913">
        <f t="shared" si="5"/>
        <v>9.1666666666666679</v>
      </c>
      <c r="G23" s="1913">
        <f t="shared" si="5"/>
        <v>5.8333333333333339</v>
      </c>
      <c r="H23" s="3109">
        <f>IF(SUM(H31,H37)=0,"NO",SUM(H31,H37))</f>
        <v>18.532100000000003</v>
      </c>
      <c r="I23" s="3109">
        <f>IF(SUM(I31,I37)=0,"NO",SUM(I31,I37))</f>
        <v>1.8072083333333338E-3</v>
      </c>
      <c r="J23" s="3109">
        <f>IF(SUM(J31,J37)=0,"NO",SUM(J31,J37))</f>
        <v>1.1500416666666671E-3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71514.222386058973</v>
      </c>
      <c r="D25" s="3078" t="s">
        <v>1814</v>
      </c>
      <c r="E25" s="628"/>
      <c r="F25" s="628"/>
      <c r="G25" s="628"/>
      <c r="H25" s="3078">
        <f>IF(SUM(H26:H30)=0,"NO",SUM(H26:H30))</f>
        <v>4235.6835514896384</v>
      </c>
      <c r="I25" s="3078">
        <f>IF(SUM(I26:I31)=0,"NO",SUM(I26:I31))</f>
        <v>7.6858583981813555E-2</v>
      </c>
      <c r="J25" s="3110">
        <f>IF(SUM(J26:J31)=0,"NO",SUM(J26:J31))</f>
        <v>8.2857632813678736E-2</v>
      </c>
      <c r="K25" s="3085" t="str">
        <f>IF(SUM(K26:K31)=0,"NO",SUM(K26:K31))</f>
        <v>NO</v>
      </c>
    </row>
    <row r="26" spans="2:11" ht="18" customHeight="1" x14ac:dyDescent="0.2">
      <c r="B26" s="282" t="s">
        <v>132</v>
      </c>
      <c r="C26" s="691">
        <v>23817.072386058986</v>
      </c>
      <c r="D26" s="3078" t="s">
        <v>1814</v>
      </c>
      <c r="E26" s="1913">
        <f t="shared" ref="E26:E31" si="9">IFERROR(H26*1000/$C26,"NA")</f>
        <v>68.186696545880082</v>
      </c>
      <c r="F26" s="1913">
        <f t="shared" ref="F26:G31" si="10">IFERROR(I26*1000000/$C26,"NA")</f>
        <v>1.3308267607254254</v>
      </c>
      <c r="G26" s="1913">
        <f t="shared" si="10"/>
        <v>1.6582839945521184</v>
      </c>
      <c r="H26" s="691">
        <v>1624.007487399464</v>
      </c>
      <c r="I26" s="691">
        <v>3.1696397293501856E-2</v>
      </c>
      <c r="J26" s="691">
        <v>3.9495469934890851E-2</v>
      </c>
      <c r="K26" s="2911" t="s">
        <v>2146</v>
      </c>
    </row>
    <row r="27" spans="2:11" ht="18" customHeight="1" x14ac:dyDescent="0.2">
      <c r="B27" s="282" t="s">
        <v>133</v>
      </c>
      <c r="C27" s="691">
        <v>4000</v>
      </c>
      <c r="D27" s="3078" t="s">
        <v>1814</v>
      </c>
      <c r="E27" s="1913">
        <f t="shared" si="9"/>
        <v>93.375000000000014</v>
      </c>
      <c r="F27" s="1913">
        <f t="shared" si="10"/>
        <v>0.95238095238095244</v>
      </c>
      <c r="G27" s="1913">
        <f t="shared" si="10"/>
        <v>0.66666666666666663</v>
      </c>
      <c r="H27" s="691">
        <v>373.50000000000006</v>
      </c>
      <c r="I27" s="691">
        <v>3.8095238095238095E-3</v>
      </c>
      <c r="J27" s="691">
        <v>2.6666666666666666E-3</v>
      </c>
      <c r="K27" s="2911" t="s">
        <v>2146</v>
      </c>
    </row>
    <row r="28" spans="2:11" ht="18" customHeight="1" x14ac:dyDescent="0.2">
      <c r="B28" s="282" t="s">
        <v>134</v>
      </c>
      <c r="C28" s="691">
        <v>43499.999999999993</v>
      </c>
      <c r="D28" s="3078" t="s">
        <v>1814</v>
      </c>
      <c r="E28" s="1913">
        <f t="shared" si="9"/>
        <v>51.452323312417803</v>
      </c>
      <c r="F28" s="1913">
        <f t="shared" si="10"/>
        <v>0.90909090909090917</v>
      </c>
      <c r="G28" s="1913">
        <f t="shared" si="10"/>
        <v>0.90909090909090917</v>
      </c>
      <c r="H28" s="691">
        <v>2238.1760640901743</v>
      </c>
      <c r="I28" s="691">
        <v>3.9545454545454543E-2</v>
      </c>
      <c r="J28" s="691">
        <v>3.9545454545454543E-2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197.15000000000003</v>
      </c>
      <c r="D31" s="3078" t="s">
        <v>1814</v>
      </c>
      <c r="E31" s="1913">
        <f t="shared" si="9"/>
        <v>94</v>
      </c>
      <c r="F31" s="1913">
        <f t="shared" si="10"/>
        <v>9.1666666666666679</v>
      </c>
      <c r="G31" s="1913">
        <f t="shared" si="10"/>
        <v>5.8333333333333339</v>
      </c>
      <c r="H31" s="691">
        <v>18.532100000000003</v>
      </c>
      <c r="I31" s="691">
        <v>1.8072083333333338E-3</v>
      </c>
      <c r="J31" s="691">
        <v>1.1500416666666671E-3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221157.78973476958</v>
      </c>
      <c r="D38" s="3078" t="s">
        <v>1814</v>
      </c>
      <c r="E38" s="628"/>
      <c r="F38" s="628"/>
      <c r="G38" s="628"/>
      <c r="H38" s="1913">
        <f>IF(SUM(H39:H43)=0,"NO",SUM(H39:H43))</f>
        <v>7533.793763335234</v>
      </c>
      <c r="I38" s="1913">
        <f>IF(SUM(I39:I44)=0,"NO",SUM(I39:I44))</f>
        <v>67.182116789377048</v>
      </c>
      <c r="J38" s="1913">
        <f>IF(SUM(J39:J44)=0,"NO",SUM(J39:J44))</f>
        <v>0.28112897541458648</v>
      </c>
      <c r="K38" s="3085" t="str">
        <f>IF(SUM(K39:K44)=0,"NO",SUM(K39:K44))</f>
        <v>NO</v>
      </c>
    </row>
    <row r="39" spans="2:11" ht="18" customHeight="1" x14ac:dyDescent="0.2">
      <c r="B39" s="282" t="s">
        <v>132</v>
      </c>
      <c r="C39" s="3109">
        <f>IF(SUM(C47,C54)=0,"NO",SUM(C47,C54))</f>
        <v>19057.78973476958</v>
      </c>
      <c r="D39" s="3078" t="s">
        <v>1814</v>
      </c>
      <c r="E39" s="1913">
        <f t="shared" ref="E39:E44" si="13">IFERROR(H39*1000/$C39,"NA")</f>
        <v>63.776781578354687</v>
      </c>
      <c r="F39" s="1913">
        <f t="shared" ref="F39:G44" si="14">IFERROR(I39*1000000/$C39,"NA")</f>
        <v>36.587014876449274</v>
      </c>
      <c r="G39" s="1913">
        <f t="shared" si="14"/>
        <v>0.56751248125338782</v>
      </c>
      <c r="H39" s="1913">
        <f>IF(SUM(H47,H54)=0,"NO",SUM(H47,H54))</f>
        <v>1215.4444932806095</v>
      </c>
      <c r="I39" s="1913">
        <f>IF(SUM(I47,I54)=0,"NO",SUM(I47,I54))</f>
        <v>0.69726763653825685</v>
      </c>
      <c r="J39" s="1913">
        <f>IF(SUM(J47,J54)=0,"NO",SUM(J47,J54))</f>
        <v>1.0815533539584428E-2</v>
      </c>
      <c r="K39" s="3085" t="str">
        <f>IF(SUM(K47,K54)=0,"NO",SUM(K47,K54))</f>
        <v>NO</v>
      </c>
    </row>
    <row r="40" spans="2:11" ht="18" customHeight="1" x14ac:dyDescent="0.2">
      <c r="B40" s="282" t="s">
        <v>133</v>
      </c>
      <c r="C40" s="3109">
        <f t="shared" ref="C40:C42" si="15">IF(SUM(C48,C55)=0,"NO",SUM(C48,C55))</f>
        <v>200</v>
      </c>
      <c r="D40" s="3078" t="s">
        <v>1814</v>
      </c>
      <c r="E40" s="1913">
        <f t="shared" si="13"/>
        <v>92.5</v>
      </c>
      <c r="F40" s="1913">
        <f t="shared" si="14"/>
        <v>0.95238095238095244</v>
      </c>
      <c r="G40" s="1913">
        <f t="shared" si="14"/>
        <v>0.66666666666666652</v>
      </c>
      <c r="H40" s="1913">
        <f t="shared" ref="H40:K42" si="16">IF(SUM(H48,H55)=0,"NO",SUM(H48,H55))</f>
        <v>18.5</v>
      </c>
      <c r="I40" s="1913">
        <f t="shared" si="16"/>
        <v>1.9047619047619048E-4</v>
      </c>
      <c r="J40" s="1913">
        <f t="shared" si="16"/>
        <v>1.3333333333333331E-4</v>
      </c>
      <c r="K40" s="3085" t="str">
        <f t="shared" si="16"/>
        <v>NO</v>
      </c>
    </row>
    <row r="41" spans="2:11" ht="18" customHeight="1" x14ac:dyDescent="0.2">
      <c r="B41" s="282" t="s">
        <v>134</v>
      </c>
      <c r="C41" s="3109">
        <f t="shared" si="15"/>
        <v>122400.00000000001</v>
      </c>
      <c r="D41" s="3078" t="s">
        <v>1814</v>
      </c>
      <c r="E41" s="1913">
        <f t="shared" si="13"/>
        <v>51.469356781492024</v>
      </c>
      <c r="F41" s="1913">
        <f t="shared" si="14"/>
        <v>0.90909090909090917</v>
      </c>
      <c r="G41" s="1913">
        <f t="shared" si="14"/>
        <v>0.90909090909090917</v>
      </c>
      <c r="H41" s="1913">
        <f t="shared" si="16"/>
        <v>6299.8492700546249</v>
      </c>
      <c r="I41" s="1913">
        <f t="shared" si="16"/>
        <v>0.11127272727272729</v>
      </c>
      <c r="J41" s="1913">
        <f t="shared" si="16"/>
        <v>0.1112727272727273</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79500</v>
      </c>
      <c r="D44" s="3078" t="s">
        <v>1814</v>
      </c>
      <c r="E44" s="1913">
        <f t="shared" si="13"/>
        <v>76.561400000000006</v>
      </c>
      <c r="F44" s="1913">
        <f t="shared" si="14"/>
        <v>834.88535785378099</v>
      </c>
      <c r="G44" s="1913">
        <f t="shared" si="14"/>
        <v>1.9988349845149869</v>
      </c>
      <c r="H44" s="1913">
        <f>IF(SUM(H52,H58)=0,"NO",SUM(H52,H58))</f>
        <v>6086.6313000000009</v>
      </c>
      <c r="I44" s="1913">
        <f>IF(SUM(I52,I58)=0,"NO",SUM(I52,I58))</f>
        <v>66.373385949375589</v>
      </c>
      <c r="J44" s="1913">
        <f>IF(SUM(J52,J58)=0,"NO",SUM(J52,J58))</f>
        <v>0.15890738126894144</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217315.01340482576</v>
      </c>
      <c r="D46" s="3078" t="s">
        <v>1814</v>
      </c>
      <c r="E46" s="628"/>
      <c r="F46" s="628"/>
      <c r="G46" s="628"/>
      <c r="H46" s="1913">
        <f>IF(SUM(H47:H51)=0,"NO",SUM(H47:H51))</f>
        <v>7274.3036936471181</v>
      </c>
      <c r="I46" s="1913">
        <f>IF(SUM(I47:I52)=0,"NO",SUM(I47:I52))</f>
        <v>66.5052730006621</v>
      </c>
      <c r="J46" s="1913">
        <f>IF(SUM(J47:J52)=0,"NO",SUM(J47:J52))</f>
        <v>0.27962487810633108</v>
      </c>
      <c r="K46" s="3085" t="str">
        <f>IF(SUM(K47:K52)=0,"NO",SUM(K47:K52))</f>
        <v>NO</v>
      </c>
    </row>
    <row r="47" spans="2:11" ht="18" customHeight="1" x14ac:dyDescent="0.2">
      <c r="B47" s="282" t="s">
        <v>132</v>
      </c>
      <c r="C47" s="691">
        <v>15215.013404825741</v>
      </c>
      <c r="D47" s="3078" t="s">
        <v>1814</v>
      </c>
      <c r="E47" s="1913">
        <f t="shared" ref="E47:E52" si="17">IFERROR(H47*1000/$C47,"NA")</f>
        <v>62.829680011277134</v>
      </c>
      <c r="F47" s="1913">
        <f t="shared" ref="F47:G52" si="18">IFERROR(I47*1000000/$C47,"NA")</f>
        <v>1.3423483292386593</v>
      </c>
      <c r="G47" s="1913">
        <f t="shared" si="18"/>
        <v>0.61199001167989031</v>
      </c>
      <c r="H47" s="691">
        <v>955.95442359249353</v>
      </c>
      <c r="I47" s="691">
        <v>2.0423847823311636E-2</v>
      </c>
      <c r="J47" s="691">
        <v>9.3114362313289935E-3</v>
      </c>
      <c r="K47" s="2911" t="s">
        <v>2146</v>
      </c>
    </row>
    <row r="48" spans="2:11" ht="18" customHeight="1" x14ac:dyDescent="0.2">
      <c r="B48" s="282" t="s">
        <v>133</v>
      </c>
      <c r="C48" s="691">
        <v>200</v>
      </c>
      <c r="D48" s="3078" t="s">
        <v>1814</v>
      </c>
      <c r="E48" s="1913">
        <f t="shared" si="17"/>
        <v>92.5</v>
      </c>
      <c r="F48" s="1913">
        <f t="shared" si="18"/>
        <v>0.95238095238095244</v>
      </c>
      <c r="G48" s="1913">
        <f t="shared" si="18"/>
        <v>0.66666666666666652</v>
      </c>
      <c r="H48" s="691">
        <v>18.5</v>
      </c>
      <c r="I48" s="691">
        <v>1.9047619047619048E-4</v>
      </c>
      <c r="J48" s="691">
        <v>1.3333333333333331E-4</v>
      </c>
      <c r="K48" s="2911" t="s">
        <v>2146</v>
      </c>
    </row>
    <row r="49" spans="2:11" ht="18" customHeight="1" x14ac:dyDescent="0.2">
      <c r="B49" s="282" t="s">
        <v>134</v>
      </c>
      <c r="C49" s="691">
        <v>122400.00000000001</v>
      </c>
      <c r="D49" s="3078" t="s">
        <v>1814</v>
      </c>
      <c r="E49" s="1913">
        <f t="shared" si="17"/>
        <v>51.469356781492024</v>
      </c>
      <c r="F49" s="1913">
        <f t="shared" si="18"/>
        <v>0.90909090909090917</v>
      </c>
      <c r="G49" s="1913">
        <f t="shared" si="18"/>
        <v>0.90909090909090917</v>
      </c>
      <c r="H49" s="691">
        <v>6299.8492700546249</v>
      </c>
      <c r="I49" s="691">
        <v>0.11127272727272729</v>
      </c>
      <c r="J49" s="691">
        <v>0.1112727272727273</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79500</v>
      </c>
      <c r="D52" s="3078" t="s">
        <v>1814</v>
      </c>
      <c r="E52" s="1913">
        <f t="shared" si="17"/>
        <v>76.561400000000006</v>
      </c>
      <c r="F52" s="1913">
        <f t="shared" si="18"/>
        <v>834.88535785378099</v>
      </c>
      <c r="G52" s="1913">
        <f t="shared" si="18"/>
        <v>1.9988349845149869</v>
      </c>
      <c r="H52" s="691">
        <v>6086.6313000000009</v>
      </c>
      <c r="I52" s="691">
        <v>66.373385949375589</v>
      </c>
      <c r="J52" s="691">
        <v>0.15890738126894144</v>
      </c>
      <c r="K52" s="2911" t="s">
        <v>2146</v>
      </c>
    </row>
    <row r="53" spans="2:11" ht="18" customHeight="1" x14ac:dyDescent="0.2">
      <c r="B53" s="1242" t="s">
        <v>205</v>
      </c>
      <c r="C53" s="3078">
        <f>IF(SUM(C54:C58)=0,"NO",SUM(C54:C58))</f>
        <v>3842.7763299438402</v>
      </c>
      <c r="D53" s="3078" t="s">
        <v>1814</v>
      </c>
      <c r="E53" s="628"/>
      <c r="F53" s="628"/>
      <c r="G53" s="628"/>
      <c r="H53" s="3078">
        <f>IF(SUM(H54:H57)=0,"NO",SUM(H54:H57))</f>
        <v>259.49006968811602</v>
      </c>
      <c r="I53" s="3078">
        <f>IF(SUM(I54:I58)=0,"NO",SUM(I54:I58))</f>
        <v>0.67684378871494522</v>
      </c>
      <c r="J53" s="3078">
        <f>IF(SUM(J54:J58)=0,"NO",SUM(J54:J58))</f>
        <v>1.5040973082554344E-3</v>
      </c>
      <c r="K53" s="2921"/>
    </row>
    <row r="54" spans="2:11" ht="18" customHeight="1" x14ac:dyDescent="0.2">
      <c r="B54" s="282" t="s">
        <v>132</v>
      </c>
      <c r="C54" s="691">
        <v>3842.7763299438402</v>
      </c>
      <c r="D54" s="3078" t="s">
        <v>1814</v>
      </c>
      <c r="E54" s="1913">
        <f t="shared" ref="E54:E58" si="19">IFERROR(H54*1000/$C54,"NA")</f>
        <v>67.526716990033165</v>
      </c>
      <c r="F54" s="1913">
        <f t="shared" ref="F54:G58" si="20">IFERROR(I54*1000000/$C54,"NA")</f>
        <v>176.1340579311929</v>
      </c>
      <c r="G54" s="1913">
        <f t="shared" si="20"/>
        <v>0.39140901762487329</v>
      </c>
      <c r="H54" s="691">
        <v>259.49006968811602</v>
      </c>
      <c r="I54" s="691">
        <v>0.67684378871494522</v>
      </c>
      <c r="J54" s="691">
        <v>1.5040973082554344E-3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77700.000000000029</v>
      </c>
      <c r="D59" s="3078" t="s">
        <v>1814</v>
      </c>
      <c r="E59" s="628"/>
      <c r="F59" s="628"/>
      <c r="G59" s="628"/>
      <c r="H59" s="1913">
        <f>IF(SUM(H60:H64)=0,"NO",SUM(H60:H64))</f>
        <v>5406.7411918339276</v>
      </c>
      <c r="I59" s="1913">
        <f>IF(SUM(I60:I65)=0,"NO",SUM(I60:I65))</f>
        <v>0.47807186147186143</v>
      </c>
      <c r="J59" s="1913">
        <f>IF(SUM(J60:J65)=0,"NO",SUM(J60:J65))</f>
        <v>0.28047186147186148</v>
      </c>
      <c r="K59" s="3085" t="str">
        <f>IF(SUM(K60:K65)=0,"NO",SUM(K60:K65))</f>
        <v>NO</v>
      </c>
    </row>
    <row r="60" spans="2:11" ht="18" customHeight="1" x14ac:dyDescent="0.2">
      <c r="B60" s="282" t="s">
        <v>132</v>
      </c>
      <c r="C60" s="1913">
        <f>IF(SUM(C67,C74:C77,C84:C87)=0,"NO",SUM(C67,C74:C77,C84:C87))</f>
        <v>77600.000000000029</v>
      </c>
      <c r="D60" s="3078" t="s">
        <v>1814</v>
      </c>
      <c r="E60" s="1913">
        <f t="shared" ref="E60:E65" si="21">IFERROR(H60*1000/$C60,"NA")</f>
        <v>69.608247422680392</v>
      </c>
      <c r="F60" s="1913">
        <f t="shared" ref="F60:G65" si="22">IFERROR(I60*1000000/$C60,"NA")</f>
        <v>6.1595483554246417</v>
      </c>
      <c r="G60" s="1913">
        <f t="shared" si="22"/>
        <v>3.6131566028473237</v>
      </c>
      <c r="H60" s="1913">
        <f>IF(SUM(H67,H74:H77,H84:H87)=0,"NO",SUM(H67,H74:H77,H84:H87))</f>
        <v>5401.6000000000013</v>
      </c>
      <c r="I60" s="1913">
        <f>IF(SUM(I67,I74:I77,I84:I87)=0,"NO",SUM(I67,I74:I77,I84:I87))</f>
        <v>0.47798095238095234</v>
      </c>
      <c r="J60" s="1913">
        <f>IF(SUM(J67,J74:J77,J84:J87)=0,"NO",SUM(J67,J74:J77,J84:J87))</f>
        <v>0.2803809523809524</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100</v>
      </c>
      <c r="D62" s="3078" t="s">
        <v>1814</v>
      </c>
      <c r="E62" s="1913">
        <f t="shared" si="21"/>
        <v>51.411918339265</v>
      </c>
      <c r="F62" s="1913">
        <f t="shared" si="22"/>
        <v>0.90909090909090917</v>
      </c>
      <c r="G62" s="1913">
        <f t="shared" si="22"/>
        <v>0.90909090909090917</v>
      </c>
      <c r="H62" s="1913">
        <f>IF(SUM(H69,H79,H89)=0,"NO",SUM(H69,H79,H89))</f>
        <v>5.1411918339265004</v>
      </c>
      <c r="I62" s="1913">
        <f>IF(SUM(I69,I79,I89)=0,"NO",SUM(I69,I79,I89))</f>
        <v>9.0909090909090917E-5</v>
      </c>
      <c r="J62" s="1913">
        <f>IF(SUM(J69,J79,J89)=0,"NO",SUM(J69,J79,J89))</f>
        <v>9.0909090909090917E-5</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77700.000000000029</v>
      </c>
      <c r="D66" s="3078" t="s">
        <v>1814</v>
      </c>
      <c r="E66" s="2108"/>
      <c r="F66" s="2108"/>
      <c r="G66" s="2108"/>
      <c r="H66" s="1913">
        <f>IF(SUM(H67:H71)=0,"NO",SUM(H67:H71))</f>
        <v>5406.7411918339276</v>
      </c>
      <c r="I66" s="1913">
        <f>IF(SUM(I67:I72)=0,"NO",SUM(I67:I72))</f>
        <v>0.47807186147186143</v>
      </c>
      <c r="J66" s="1913">
        <f>IF(SUM(J67:J72)=0,"NO",SUM(J67:J72))</f>
        <v>0.28047186147186148</v>
      </c>
      <c r="K66" s="3085" t="str">
        <f>IF(SUM(K67:K72)=0,"NO",SUM(K67:K72))</f>
        <v>NO</v>
      </c>
    </row>
    <row r="67" spans="2:11" ht="18" customHeight="1" x14ac:dyDescent="0.2">
      <c r="B67" s="282" t="s">
        <v>132</v>
      </c>
      <c r="C67" s="691">
        <v>77600.000000000029</v>
      </c>
      <c r="D67" s="3078" t="s">
        <v>1814</v>
      </c>
      <c r="E67" s="1913">
        <f t="shared" ref="E67:E72" si="23">IFERROR(H67*1000/$C67,"NA")</f>
        <v>69.608247422680392</v>
      </c>
      <c r="F67" s="1913">
        <f t="shared" ref="F67:G72" si="24">IFERROR(I67*1000000/$C67,"NA")</f>
        <v>6.1595483554246417</v>
      </c>
      <c r="G67" s="1913">
        <f t="shared" si="24"/>
        <v>3.6131566028473237</v>
      </c>
      <c r="H67" s="691">
        <v>5401.6000000000013</v>
      </c>
      <c r="I67" s="691">
        <v>0.47798095238095234</v>
      </c>
      <c r="J67" s="691">
        <v>0.2803809523809524</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100</v>
      </c>
      <c r="D69" s="3078" t="s">
        <v>1814</v>
      </c>
      <c r="E69" s="1913">
        <f t="shared" si="23"/>
        <v>51.411918339265</v>
      </c>
      <c r="F69" s="1913">
        <f t="shared" si="24"/>
        <v>0.90909090909090917</v>
      </c>
      <c r="G69" s="1913">
        <f t="shared" si="24"/>
        <v>0.90909090909090917</v>
      </c>
      <c r="H69" s="691">
        <v>5.1411918339265004</v>
      </c>
      <c r="I69" s="691">
        <v>9.0909090909090917E-5</v>
      </c>
      <c r="J69" s="691">
        <v>9.0909090909090917E-5</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9099.225816435197</v>
      </c>
      <c r="D93" s="3078" t="s">
        <v>1814</v>
      </c>
      <c r="E93" s="2134"/>
      <c r="F93" s="2134"/>
      <c r="G93" s="2134"/>
      <c r="H93" s="3109">
        <f>IF(SUM(H94:H98)=0,"NO",SUM(H94:H98))</f>
        <v>633.15339529481685</v>
      </c>
      <c r="I93" s="3109">
        <f>IF(SUM(I94:I99)=0,"NO",SUM(I94:I99))</f>
        <v>2.3408247660300877E-2</v>
      </c>
      <c r="J93" s="3113">
        <f>IF(SUM(J94:J99)=0,"NO",SUM(J94:J99))</f>
        <v>1.7383234319957891E-2</v>
      </c>
      <c r="K93" s="449" t="str">
        <f>IF(SUM(K94:K99)=0,"NO",SUM(K94:K99))</f>
        <v>NO</v>
      </c>
    </row>
    <row r="94" spans="2:11" ht="18" customHeight="1" x14ac:dyDescent="0.2">
      <c r="B94" s="282" t="s">
        <v>132</v>
      </c>
      <c r="C94" s="691">
        <f>IF(SUM(C102,C110)=0,"NO",SUM(C102,C110))</f>
        <v>9099.225816435197</v>
      </c>
      <c r="D94" s="1913" t="s">
        <v>1814</v>
      </c>
      <c r="E94" s="1913">
        <f t="shared" ref="E94:E99" si="32">IFERROR(H94*1000/$C94,"NA")</f>
        <v>69.583215986485683</v>
      </c>
      <c r="F94" s="1913">
        <f t="shared" ref="F94:G99" si="33">IFERROR(I94*1000000/$C94,"NA")</f>
        <v>2.5725537680382047</v>
      </c>
      <c r="G94" s="1913">
        <f t="shared" si="33"/>
        <v>1.9104080578547635</v>
      </c>
      <c r="H94" s="691">
        <f t="shared" ref="H94:K97" si="34">IF(SUM(H102,H110)=0,"NO",SUM(H102,H110))</f>
        <v>633.15339529481685</v>
      </c>
      <c r="I94" s="691">
        <f t="shared" si="34"/>
        <v>2.3408247660300877E-2</v>
      </c>
      <c r="J94" s="691">
        <f t="shared" si="34"/>
        <v>1.7383234319957891E-2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9099.225816435197</v>
      </c>
      <c r="D108" s="1913" t="s">
        <v>1814</v>
      </c>
      <c r="E108" s="1931"/>
      <c r="F108" s="1931"/>
      <c r="G108" s="1931"/>
      <c r="H108" s="3078">
        <f>H109</f>
        <v>633.15339529481685</v>
      </c>
      <c r="I108" s="3078">
        <f>I109</f>
        <v>2.3408247660300877E-2</v>
      </c>
      <c r="J108" s="3110">
        <f>J109</f>
        <v>1.7383234319957891E-2</v>
      </c>
      <c r="K108" s="2921"/>
    </row>
    <row r="109" spans="2:11" ht="18" customHeight="1" x14ac:dyDescent="0.2">
      <c r="B109" s="3125" t="s">
        <v>2149</v>
      </c>
      <c r="C109" s="3099">
        <f>IF(SUM(C110:C114)=0,"NO",SUM(C110:C114))</f>
        <v>9099.225816435197</v>
      </c>
      <c r="D109" s="1913" t="s">
        <v>1814</v>
      </c>
      <c r="E109" s="628"/>
      <c r="F109" s="628"/>
      <c r="G109" s="628"/>
      <c r="H109" s="3099">
        <f>IF(SUM(H110:H113)=0,"NO",SUM(H110:H113))</f>
        <v>633.15339529481685</v>
      </c>
      <c r="I109" s="3099">
        <f>IF(SUM(I110:I114)=0,"NO",SUM(I110:I114))</f>
        <v>2.3408247660300877E-2</v>
      </c>
      <c r="J109" s="3099">
        <f>IF(SUM(J110:J114)=0,"NO",SUM(J110:J114))</f>
        <v>1.7383234319957891E-2</v>
      </c>
      <c r="K109" s="2921"/>
    </row>
    <row r="110" spans="2:11" ht="18" customHeight="1" x14ac:dyDescent="0.2">
      <c r="B110" s="282" t="s">
        <v>132</v>
      </c>
      <c r="C110" s="691">
        <v>9099.225816435197</v>
      </c>
      <c r="D110" s="1913" t="s">
        <v>1814</v>
      </c>
      <c r="E110" s="1913">
        <f t="shared" ref="E110:E114" si="37">IFERROR(H110*1000/$C110,"NA")</f>
        <v>69.583215986485683</v>
      </c>
      <c r="F110" s="1913">
        <f t="shared" ref="F110:G114" si="38">IFERROR(I110*1000000/$C110,"NA")</f>
        <v>2.5725537680382047</v>
      </c>
      <c r="G110" s="1913">
        <f t="shared" si="38"/>
        <v>1.9104080578547635</v>
      </c>
      <c r="H110" s="691">
        <v>633.15339529481685</v>
      </c>
      <c r="I110" s="691">
        <v>2.3408247660300877E-2</v>
      </c>
      <c r="J110" s="691">
        <v>1.7383234319957891E-2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1474043</v>
      </c>
      <c r="G11" s="3361">
        <v>1025133.9900930002</v>
      </c>
      <c r="H11" s="3361">
        <v>889627.99999999988</v>
      </c>
      <c r="I11" s="3381"/>
      <c r="J11" s="3361">
        <v>31.429999999991828</v>
      </c>
      <c r="K11" s="3369">
        <f t="shared" ref="K11:K28" si="0">IF((SUM(F11:G11)-SUM(H11:J11))=0,"NO",(SUM(F11:G11)-SUM(H11:J11)))</f>
        <v>1609517.5600930005</v>
      </c>
      <c r="L11" s="2577">
        <f>IF(K11="NO","NA",1)</f>
        <v>1</v>
      </c>
      <c r="M11" s="5" t="s">
        <v>1814</v>
      </c>
      <c r="N11" s="3369">
        <f>K11</f>
        <v>1609517.5600930005</v>
      </c>
      <c r="O11" s="3342">
        <v>18.980716253443529</v>
      </c>
      <c r="P11" s="3369">
        <f>IFERROR(N11*O11/1000,"NA")</f>
        <v>30549.796113059987</v>
      </c>
      <c r="Q11" s="3369" t="str">
        <f>'Table1.A(d)'!G11</f>
        <v>NA</v>
      </c>
      <c r="R11" s="3369">
        <f>IF(SUM(P11,-SUM(Q11))=0,"NO",SUM(P11,-SUM(Q11)))</f>
        <v>30549.796113059987</v>
      </c>
      <c r="S11" s="2577">
        <f>IF(R11="NO","NA",1)</f>
        <v>1</v>
      </c>
      <c r="T11" s="3375">
        <f>IF(R11="NO","NO",R11*S11*44/12)</f>
        <v>112015.91908121995</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135037.1</v>
      </c>
      <c r="G13" s="3361" t="s">
        <v>2146</v>
      </c>
      <c r="H13" s="3361" t="s">
        <v>2146</v>
      </c>
      <c r="I13" s="3381"/>
      <c r="J13" s="3361" t="s">
        <v>2146</v>
      </c>
      <c r="K13" s="3369">
        <f t="shared" si="0"/>
        <v>135037.1</v>
      </c>
      <c r="L13" s="2577">
        <f t="shared" si="1"/>
        <v>1</v>
      </c>
      <c r="M13" s="5" t="s">
        <v>1814</v>
      </c>
      <c r="N13" s="3369">
        <f t="shared" si="2"/>
        <v>135037.1</v>
      </c>
      <c r="O13" s="3342">
        <v>16.212365147328871</v>
      </c>
      <c r="P13" s="3369">
        <f t="shared" si="3"/>
        <v>2189.2707736363636</v>
      </c>
      <c r="Q13" s="3369" t="str">
        <f>'Table1.A(d)'!G13</f>
        <v>NA</v>
      </c>
      <c r="R13" s="3369">
        <f>IF(SUM(P13,-SUM(Q13))=0,"NO",SUM(P13,-SUM(Q13)))</f>
        <v>2189.2707736363636</v>
      </c>
      <c r="S13" s="2577">
        <f t="shared" si="4"/>
        <v>1</v>
      </c>
      <c r="T13" s="3375">
        <f t="shared" si="5"/>
        <v>8027.3261700000003</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40653.54</v>
      </c>
      <c r="H15" s="3361">
        <v>44989.64</v>
      </c>
      <c r="I15" s="3361" t="s">
        <v>2146</v>
      </c>
      <c r="J15" s="3361">
        <v>-1735.6800000000007</v>
      </c>
      <c r="K15" s="3369">
        <f t="shared" si="0"/>
        <v>-2600.4199999999983</v>
      </c>
      <c r="L15" s="2577">
        <f>IF(K15="NO","NA",1)</f>
        <v>1</v>
      </c>
      <c r="M15" s="5" t="s">
        <v>1814</v>
      </c>
      <c r="N15" s="3369">
        <f t="shared" si="2"/>
        <v>-2600.4199999999983</v>
      </c>
      <c r="O15" s="3342">
        <v>18.343952969834941</v>
      </c>
      <c r="P15" s="3369">
        <f t="shared" si="3"/>
        <v>-47.701982181818146</v>
      </c>
      <c r="Q15" s="3369" t="str">
        <f>'Table1.A(d)'!G15</f>
        <v>NA</v>
      </c>
      <c r="R15" s="3369">
        <f>IF(SUM(P15,-SUM(Q15))=0,"NO",SUM(P15,-SUM(Q15)))</f>
        <v>-47.701982181818146</v>
      </c>
      <c r="S15" s="2577">
        <f>IF(R15="NO","NA",1)</f>
        <v>1</v>
      </c>
      <c r="T15" s="3375">
        <f>IF(R15="NO","NO",R15*S15*44/12)</f>
        <v>-174.90726799999985</v>
      </c>
    </row>
    <row r="16" spans="2:20" ht="18" customHeight="1" x14ac:dyDescent="0.2">
      <c r="B16" s="1727"/>
      <c r="C16" s="1567"/>
      <c r="D16" s="36" t="s">
        <v>178</v>
      </c>
      <c r="E16" s="2575" t="s">
        <v>2150</v>
      </c>
      <c r="F16" s="3382"/>
      <c r="G16" s="3361">
        <v>14267.36</v>
      </c>
      <c r="H16" s="3361">
        <v>27798.720000000001</v>
      </c>
      <c r="I16" s="3361">
        <v>112950</v>
      </c>
      <c r="J16" s="3361">
        <v>1299.1999999999998</v>
      </c>
      <c r="K16" s="3369">
        <f t="shared" si="0"/>
        <v>-127780.56000000001</v>
      </c>
      <c r="L16" s="2577">
        <f t="shared" ref="L16:L28" si="6">IF(K16="NO","NA",1)</f>
        <v>1</v>
      </c>
      <c r="M16" s="5" t="s">
        <v>1814</v>
      </c>
      <c r="N16" s="3369">
        <f t="shared" si="2"/>
        <v>-127780.56000000001</v>
      </c>
      <c r="O16" s="3342">
        <v>18.981818181818181</v>
      </c>
      <c r="P16" s="3369">
        <f t="shared" si="3"/>
        <v>-2425.507357090909</v>
      </c>
      <c r="Q16" s="3369" t="str">
        <f>'Table1.A(d)'!G16</f>
        <v>NA</v>
      </c>
      <c r="R16" s="3369">
        <f t="shared" ref="R16:R44" si="7">IF(SUM(P16,-SUM(Q16))=0,"NO",SUM(P16,-SUM(Q16)))</f>
        <v>-2425.507357090909</v>
      </c>
      <c r="S16" s="2577">
        <f t="shared" ref="S16:S28" si="8">IF(R16="NO","NA",1)</f>
        <v>1</v>
      </c>
      <c r="T16" s="3375">
        <f t="shared" ref="T16:T28" si="9">IF(R16="NO","NO",R16*S16*44/12)</f>
        <v>-8893.5269759999992</v>
      </c>
    </row>
    <row r="17" spans="2:20" ht="18" customHeight="1" x14ac:dyDescent="0.2">
      <c r="B17" s="1727"/>
      <c r="C17" s="1567"/>
      <c r="D17" s="36" t="s">
        <v>247</v>
      </c>
      <c r="E17" s="2575" t="s">
        <v>2150</v>
      </c>
      <c r="F17" s="3381"/>
      <c r="G17" s="3361">
        <v>3.66</v>
      </c>
      <c r="H17" s="3361">
        <v>373.32</v>
      </c>
      <c r="I17" s="3361" t="s">
        <v>2146</v>
      </c>
      <c r="J17" s="3361">
        <v>223.20000000000005</v>
      </c>
      <c r="K17" s="3369">
        <f t="shared" si="0"/>
        <v>-592.86</v>
      </c>
      <c r="L17" s="2577">
        <f t="shared" si="6"/>
        <v>1</v>
      </c>
      <c r="M17" s="5" t="s">
        <v>1814</v>
      </c>
      <c r="N17" s="3369">
        <f t="shared" si="2"/>
        <v>-592.86</v>
      </c>
      <c r="O17" s="3342">
        <v>18.790909090909089</v>
      </c>
      <c r="P17" s="3369">
        <f t="shared" si="3"/>
        <v>-11.140378363636362</v>
      </c>
      <c r="Q17" s="3369" t="str">
        <f>'Table1.A(d)'!G17</f>
        <v>NA</v>
      </c>
      <c r="R17" s="3369">
        <f t="shared" si="7"/>
        <v>-11.140378363636362</v>
      </c>
      <c r="S17" s="2577">
        <f t="shared" si="8"/>
        <v>1</v>
      </c>
      <c r="T17" s="3375">
        <f t="shared" si="9"/>
        <v>-40.848053999999998</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43583.259999999995</v>
      </c>
      <c r="H19" s="3361">
        <v>49253.600000000006</v>
      </c>
      <c r="I19" s="3361">
        <v>4750</v>
      </c>
      <c r="J19" s="3361">
        <v>-16928.640000000003</v>
      </c>
      <c r="K19" s="3369">
        <f t="shared" si="0"/>
        <v>6508.2999999999884</v>
      </c>
      <c r="L19" s="2577">
        <f t="shared" si="6"/>
        <v>1</v>
      </c>
      <c r="M19" s="5" t="s">
        <v>1814</v>
      </c>
      <c r="N19" s="3369">
        <f t="shared" si="2"/>
        <v>6508.2999999999884</v>
      </c>
      <c r="O19" s="3342">
        <v>19.06363636363637</v>
      </c>
      <c r="P19" s="3369">
        <f t="shared" si="3"/>
        <v>124.07186454545436</v>
      </c>
      <c r="Q19" s="3369" t="str">
        <f>'Table1.A(d)'!G19</f>
        <v>NA</v>
      </c>
      <c r="R19" s="3369">
        <f t="shared" si="7"/>
        <v>124.07186454545436</v>
      </c>
      <c r="S19" s="2577">
        <f t="shared" si="8"/>
        <v>1</v>
      </c>
      <c r="T19" s="3375">
        <f t="shared" si="9"/>
        <v>454.93016999999935</v>
      </c>
    </row>
    <row r="20" spans="2:20" ht="18" customHeight="1" x14ac:dyDescent="0.2">
      <c r="B20" s="1727"/>
      <c r="C20" s="1567"/>
      <c r="D20" s="36" t="s">
        <v>190</v>
      </c>
      <c r="E20" s="2575" t="s">
        <v>2150</v>
      </c>
      <c r="F20" s="3381"/>
      <c r="G20" s="3361">
        <v>33207.119999999995</v>
      </c>
      <c r="H20" s="3361">
        <v>28742.799999999999</v>
      </c>
      <c r="I20" s="3361">
        <v>31200</v>
      </c>
      <c r="J20" s="3361">
        <v>-20383.45</v>
      </c>
      <c r="K20" s="3369">
        <f t="shared" si="0"/>
        <v>-6352.2300000000105</v>
      </c>
      <c r="L20" s="2577">
        <f t="shared" si="6"/>
        <v>1</v>
      </c>
      <c r="M20" s="5" t="s">
        <v>1814</v>
      </c>
      <c r="N20" s="3369">
        <f t="shared" si="2"/>
        <v>-6352.2300000000105</v>
      </c>
      <c r="O20" s="3342">
        <v>20.072727272727271</v>
      </c>
      <c r="P20" s="3369">
        <f t="shared" si="3"/>
        <v>-127.50658036363656</v>
      </c>
      <c r="Q20" s="3369" t="str">
        <f>'Table1.A(d)'!G20</f>
        <v>NA</v>
      </c>
      <c r="R20" s="3369">
        <f t="shared" si="7"/>
        <v>-127.50658036363656</v>
      </c>
      <c r="S20" s="2577">
        <f t="shared" si="8"/>
        <v>1</v>
      </c>
      <c r="T20" s="3375">
        <f t="shared" si="9"/>
        <v>-467.5241280000007</v>
      </c>
    </row>
    <row r="21" spans="2:20" ht="18" customHeight="1" x14ac:dyDescent="0.2">
      <c r="B21" s="1727"/>
      <c r="C21" s="1567"/>
      <c r="D21" s="36" t="s">
        <v>169</v>
      </c>
      <c r="E21" s="2575" t="s">
        <v>2150</v>
      </c>
      <c r="F21" s="3381"/>
      <c r="G21" s="3361">
        <v>16785.099999999999</v>
      </c>
      <c r="H21" s="3361">
        <v>73802.5</v>
      </c>
      <c r="I21" s="3381"/>
      <c r="J21" s="3361">
        <v>7406.8799999999992</v>
      </c>
      <c r="K21" s="3369">
        <f t="shared" si="0"/>
        <v>-64424.280000000006</v>
      </c>
      <c r="L21" s="2577">
        <f t="shared" si="6"/>
        <v>1</v>
      </c>
      <c r="M21" s="5" t="s">
        <v>1814</v>
      </c>
      <c r="N21" s="3369">
        <f t="shared" si="2"/>
        <v>-64424.280000000006</v>
      </c>
      <c r="O21" s="3342">
        <v>16.418181818181822</v>
      </c>
      <c r="P21" s="3369">
        <f t="shared" si="3"/>
        <v>-1057.7295425454547</v>
      </c>
      <c r="Q21" s="3369" t="str">
        <f>'Table1.A(d)'!G21</f>
        <v>NA</v>
      </c>
      <c r="R21" s="3369">
        <f t="shared" si="7"/>
        <v>-1057.7295425454547</v>
      </c>
      <c r="S21" s="2577">
        <f t="shared" si="8"/>
        <v>1</v>
      </c>
      <c r="T21" s="3375">
        <f t="shared" si="9"/>
        <v>-3878.3416560000005</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1496</v>
      </c>
      <c r="H24" s="3361">
        <v>109.99999999999999</v>
      </c>
      <c r="I24" s="3381"/>
      <c r="J24" s="3361">
        <v>-166.52999999999994</v>
      </c>
      <c r="K24" s="3369">
        <f t="shared" si="0"/>
        <v>1552.53</v>
      </c>
      <c r="L24" s="2577">
        <f t="shared" si="6"/>
        <v>1</v>
      </c>
      <c r="M24" s="5" t="s">
        <v>1814</v>
      </c>
      <c r="N24" s="3369">
        <f t="shared" si="2"/>
        <v>1552.53</v>
      </c>
      <c r="O24" s="3342">
        <v>22.009090909090911</v>
      </c>
      <c r="P24" s="3369">
        <f t="shared" si="3"/>
        <v>34.169773909090907</v>
      </c>
      <c r="Q24" s="3369">
        <f>'Table1.A(d)'!G24</f>
        <v>693.28636363636372</v>
      </c>
      <c r="R24" s="3369">
        <f t="shared" si="7"/>
        <v>-659.11658972727287</v>
      </c>
      <c r="S24" s="2577">
        <f t="shared" si="8"/>
        <v>1</v>
      </c>
      <c r="T24" s="3375">
        <f t="shared" si="9"/>
        <v>-2416.7608290000003</v>
      </c>
    </row>
    <row r="25" spans="2:20" ht="18" customHeight="1" x14ac:dyDescent="0.2">
      <c r="B25" s="1727"/>
      <c r="C25" s="1567"/>
      <c r="D25" s="36" t="s">
        <v>252</v>
      </c>
      <c r="E25" s="2575" t="s">
        <v>2150</v>
      </c>
      <c r="F25" s="3381"/>
      <c r="G25" s="3361">
        <v>2634.8785895999999</v>
      </c>
      <c r="H25" s="3361">
        <v>10798.039999999999</v>
      </c>
      <c r="I25" s="3361" t="s">
        <v>2146</v>
      </c>
      <c r="J25" s="3361">
        <v>-238.7</v>
      </c>
      <c r="K25" s="3369">
        <f t="shared" si="0"/>
        <v>-7924.4614103999984</v>
      </c>
      <c r="L25" s="2577">
        <f t="shared" si="6"/>
        <v>1</v>
      </c>
      <c r="M25" s="5" t="s">
        <v>1814</v>
      </c>
      <c r="N25" s="3369">
        <f t="shared" si="2"/>
        <v>-7924.4614103999984</v>
      </c>
      <c r="O25" s="3342">
        <v>18.991363636363641</v>
      </c>
      <c r="P25" s="3369">
        <f t="shared" si="3"/>
        <v>-150.49632826723746</v>
      </c>
      <c r="Q25" s="3369">
        <f>'Table1.A(d)'!G25</f>
        <v>400.7177727272728</v>
      </c>
      <c r="R25" s="3369">
        <f t="shared" si="7"/>
        <v>-551.21410099451032</v>
      </c>
      <c r="S25" s="2577">
        <f t="shared" si="8"/>
        <v>1</v>
      </c>
      <c r="T25" s="3375">
        <f t="shared" si="9"/>
        <v>-2021.1183703132047</v>
      </c>
    </row>
    <row r="26" spans="2:20" ht="18" customHeight="1" x14ac:dyDescent="0.2">
      <c r="B26" s="1727"/>
      <c r="C26" s="1567"/>
      <c r="D26" s="36" t="s">
        <v>253</v>
      </c>
      <c r="E26" s="2575" t="s">
        <v>2150</v>
      </c>
      <c r="F26" s="3381"/>
      <c r="G26" s="3361">
        <v>13691.162254470417</v>
      </c>
      <c r="H26" s="3361" t="s">
        <v>2146</v>
      </c>
      <c r="I26" s="3381"/>
      <c r="J26" s="3361" t="s">
        <v>2146</v>
      </c>
      <c r="K26" s="3369">
        <f t="shared" si="0"/>
        <v>13691.162254470417</v>
      </c>
      <c r="L26" s="2577">
        <f t="shared" si="6"/>
        <v>1</v>
      </c>
      <c r="M26" s="5" t="s">
        <v>1814</v>
      </c>
      <c r="N26" s="3369">
        <f t="shared" si="2"/>
        <v>13691.162254470417</v>
      </c>
      <c r="O26" s="3342">
        <v>25.26136363636364</v>
      </c>
      <c r="P26" s="3369">
        <f t="shared" si="3"/>
        <v>345.85742831463341</v>
      </c>
      <c r="Q26" s="3369">
        <f>'Table1.A(d)'!G26</f>
        <v>345.85742831463335</v>
      </c>
      <c r="R26" s="3369">
        <f t="shared" si="7"/>
        <v>5.6843418860808015E-14</v>
      </c>
      <c r="S26" s="2577">
        <f t="shared" si="8"/>
        <v>1</v>
      </c>
      <c r="T26" s="3375">
        <f t="shared" si="9"/>
        <v>2.0842586915629605E-13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17273.9700056</v>
      </c>
      <c r="H28" s="3361">
        <v>6231.9999999999982</v>
      </c>
      <c r="I28" s="3381"/>
      <c r="J28" s="3361">
        <v>3541.8200000000011</v>
      </c>
      <c r="K28" s="3369">
        <f t="shared" si="0"/>
        <v>7500.1500056000004</v>
      </c>
      <c r="L28" s="2577">
        <f t="shared" si="6"/>
        <v>1</v>
      </c>
      <c r="M28" s="5" t="s">
        <v>1814</v>
      </c>
      <c r="N28" s="3369">
        <f t="shared" si="2"/>
        <v>7500.1500056000004</v>
      </c>
      <c r="O28" s="3342">
        <v>19.036346836699639</v>
      </c>
      <c r="P28" s="3369">
        <f t="shared" si="3"/>
        <v>142.77545683387635</v>
      </c>
      <c r="Q28" s="3369">
        <f>'Table1.A(d)'!G28</f>
        <v>664.32666351978253</v>
      </c>
      <c r="R28" s="3369">
        <f t="shared" si="7"/>
        <v>-521.55120668590621</v>
      </c>
      <c r="S28" s="2577">
        <f t="shared" si="8"/>
        <v>1</v>
      </c>
      <c r="T28" s="3375">
        <f t="shared" si="9"/>
        <v>-1912.3544245149894</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1564131.990942671</v>
      </c>
      <c r="O31" s="3364"/>
      <c r="P31" s="3371">
        <f>SUM(P11:P29)</f>
        <v>29565.859241486716</v>
      </c>
      <c r="Q31" s="3371">
        <f>SUM(Q11:Q29)</f>
        <v>2364.5422496551382</v>
      </c>
      <c r="R31" s="3369">
        <f t="shared" si="7"/>
        <v>27201.316991831576</v>
      </c>
      <c r="S31" s="2578"/>
      <c r="T31" s="3377">
        <f>SUM(T11:T29)</f>
        <v>99738.162303382443</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6866538.1301705716</v>
      </c>
      <c r="G35" s="3361" t="s">
        <v>2146</v>
      </c>
      <c r="H35" s="3361">
        <v>5517600</v>
      </c>
      <c r="I35" s="3361" t="s">
        <v>2146</v>
      </c>
      <c r="J35" s="3361">
        <v>-51000</v>
      </c>
      <c r="K35" s="3369">
        <f t="shared" si="10"/>
        <v>1399938.1301705716</v>
      </c>
      <c r="L35" s="2577">
        <f t="shared" si="11"/>
        <v>1</v>
      </c>
      <c r="M35" s="55" t="s">
        <v>1814</v>
      </c>
      <c r="N35" s="3369">
        <f t="shared" si="12"/>
        <v>1399938.1301705716</v>
      </c>
      <c r="O35" s="3342">
        <v>23.765862052458029</v>
      </c>
      <c r="P35" s="3369">
        <f t="shared" si="13"/>
        <v>33270.736483609835</v>
      </c>
      <c r="Q35" s="3369">
        <f>'Table1.A(d)'!G35</f>
        <v>304.74351815192421</v>
      </c>
      <c r="R35" s="3369">
        <f t="shared" si="7"/>
        <v>32965.99296545791</v>
      </c>
      <c r="S35" s="2577">
        <f t="shared" si="14"/>
        <v>1</v>
      </c>
      <c r="T35" s="3375">
        <f t="shared" si="15"/>
        <v>120875.30754001233</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667430.00000000023</v>
      </c>
      <c r="G37" s="3361" t="s">
        <v>2146</v>
      </c>
      <c r="H37" s="3361" t="s">
        <v>2146</v>
      </c>
      <c r="I37" s="3381"/>
      <c r="J37" s="3361" t="s">
        <v>2146</v>
      </c>
      <c r="K37" s="3369">
        <f t="shared" si="10"/>
        <v>667430.00000000023</v>
      </c>
      <c r="L37" s="2577">
        <f t="shared" si="11"/>
        <v>1</v>
      </c>
      <c r="M37" s="55" t="s">
        <v>1814</v>
      </c>
      <c r="N37" s="3369">
        <f t="shared" si="12"/>
        <v>667430.00000000023</v>
      </c>
      <c r="O37" s="3342">
        <v>27.014740439688161</v>
      </c>
      <c r="P37" s="3369">
        <f t="shared" si="13"/>
        <v>18030.448211661074</v>
      </c>
      <c r="Q37" s="3369" t="str">
        <f>'Table1.A(d)'!G37</f>
        <v>NO</v>
      </c>
      <c r="R37" s="3369">
        <f t="shared" si="7"/>
        <v>18030.448211661074</v>
      </c>
      <c r="S37" s="2577">
        <f t="shared" si="14"/>
        <v>1</v>
      </c>
      <c r="T37" s="3375">
        <f t="shared" si="15"/>
        <v>66111.643442757268</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v>20</v>
      </c>
      <c r="I40" s="3381"/>
      <c r="J40" s="3361">
        <v>-1500</v>
      </c>
      <c r="K40" s="3369">
        <f t="shared" ref="K40:K42" si="16">IF((SUM(F40:G40)-SUM(H40:J40))=0,"NO",(SUM(F40:G40)-SUM(H40:J40)))</f>
        <v>1480</v>
      </c>
      <c r="L40" s="2577">
        <f t="shared" ref="L40:L42" si="17">IF(K40="NO","NA",1)</f>
        <v>1</v>
      </c>
      <c r="M40" s="55" t="s">
        <v>1814</v>
      </c>
      <c r="N40" s="3369">
        <f t="shared" ref="N40:N42" si="18">K40</f>
        <v>1480</v>
      </c>
      <c r="O40" s="3342">
        <v>25.90909090909091</v>
      </c>
      <c r="P40" s="3369">
        <f t="shared" ref="P40:P42" si="19">IFERROR(N40*O40/1000,"NA")</f>
        <v>38.345454545454544</v>
      </c>
      <c r="Q40" s="3369" t="str">
        <f>'Table1.A(d)'!G40</f>
        <v>NA</v>
      </c>
      <c r="R40" s="3369">
        <f t="shared" si="7"/>
        <v>38.345454545454544</v>
      </c>
      <c r="S40" s="2577">
        <f t="shared" ref="S40:S42" si="20">IF(R40="NO","NA",1)</f>
        <v>1</v>
      </c>
      <c r="T40" s="3375">
        <f t="shared" ref="T40:T42" si="21">IF(R40="NO","NO",R40*S40*44/12)</f>
        <v>140.6</v>
      </c>
    </row>
    <row r="41" spans="2:20" ht="18" customHeight="1" x14ac:dyDescent="0.2">
      <c r="B41" s="1727"/>
      <c r="C41" s="1567"/>
      <c r="D41" s="31" t="s">
        <v>266</v>
      </c>
      <c r="E41" s="2575" t="s">
        <v>2150</v>
      </c>
      <c r="F41" s="3381"/>
      <c r="G41" s="3361" t="s">
        <v>2146</v>
      </c>
      <c r="H41" s="3361">
        <v>500</v>
      </c>
      <c r="I41" s="3381"/>
      <c r="J41" s="3361">
        <v>6800</v>
      </c>
      <c r="K41" s="3369">
        <f t="shared" si="16"/>
        <v>-7300</v>
      </c>
      <c r="L41" s="2577">
        <f t="shared" si="17"/>
        <v>1</v>
      </c>
      <c r="M41" s="55" t="s">
        <v>1814</v>
      </c>
      <c r="N41" s="3369">
        <f t="shared" si="18"/>
        <v>-7300</v>
      </c>
      <c r="O41" s="3342">
        <v>28.892154723319901</v>
      </c>
      <c r="P41" s="3369">
        <f t="shared" si="19"/>
        <v>-210.91272948023527</v>
      </c>
      <c r="Q41" s="3369">
        <f>'Table1.A(d)'!G41</f>
        <v>2253.1557348139781</v>
      </c>
      <c r="R41" s="3369">
        <f t="shared" si="7"/>
        <v>-2464.0684642942133</v>
      </c>
      <c r="S41" s="2577">
        <f t="shared" si="20"/>
        <v>1</v>
      </c>
      <c r="T41" s="3375">
        <f t="shared" si="21"/>
        <v>-9034.9177024121145</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116.19964588920324</v>
      </c>
      <c r="R42" s="3369">
        <f t="shared" si="7"/>
        <v>-116.19964588920324</v>
      </c>
      <c r="S42" s="2577">
        <f t="shared" si="20"/>
        <v>1</v>
      </c>
      <c r="T42" s="3375">
        <f t="shared" si="21"/>
        <v>-426.06536826041184</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2061548.1301705719</v>
      </c>
      <c r="O45" s="3364"/>
      <c r="P45" s="3371">
        <f>SUM(P33:P43)</f>
        <v>51128.617420336122</v>
      </c>
      <c r="Q45" s="3371">
        <f>SUM(Q33:Q43)</f>
        <v>2674.0988988551053</v>
      </c>
      <c r="R45" s="3371">
        <f>SUM(R33:R43)</f>
        <v>48454.518521481019</v>
      </c>
      <c r="S45" s="41"/>
      <c r="T45" s="3377">
        <f>SUM(T33:T43)</f>
        <v>177666.56791209709</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1344848.7483146067</v>
      </c>
      <c r="G47" s="3361" t="s">
        <v>2146</v>
      </c>
      <c r="H47" s="3361">
        <v>409600</v>
      </c>
      <c r="I47" s="3361" t="s">
        <v>2146</v>
      </c>
      <c r="J47" s="3361">
        <v>5299.9999999999545</v>
      </c>
      <c r="K47" s="3369">
        <f t="shared" ref="K47" si="22">IF((SUM(F47:G47)-SUM(H47:J47))=0,"NO",(SUM(F47:G47)-SUM(H47:J47)))</f>
        <v>929948.74831460672</v>
      </c>
      <c r="L47" s="2577">
        <f t="shared" ref="L47" si="23">IF(K47="NO","NA",1)</f>
        <v>1</v>
      </c>
      <c r="M47" s="55" t="s">
        <v>1814</v>
      </c>
      <c r="N47" s="3369">
        <f t="shared" ref="N47" si="24">K47</f>
        <v>929948.74831460672</v>
      </c>
      <c r="O47" s="3342">
        <v>14.036109449599509</v>
      </c>
      <c r="P47" s="3369">
        <f t="shared" ref="P47" si="25">IFERROR(N47*O47/1000,"NA")</f>
        <v>13052.862413861887</v>
      </c>
      <c r="Q47" s="3369">
        <f>'Table1.A(d)'!G47</f>
        <v>331.31376814557609</v>
      </c>
      <c r="R47" s="3369">
        <f t="shared" ref="R47" si="26">IF(SUM(P47,-SUM(Q47))=0,"NO",SUM(P47,-SUM(Q47)))</f>
        <v>12721.548645716312</v>
      </c>
      <c r="S47" s="2577">
        <f t="shared" ref="S47" si="27">IF(R47="NO","NA",1)</f>
        <v>1</v>
      </c>
      <c r="T47" s="3375">
        <f t="shared" ref="T47" si="28">IF(R47="NO","NO",R47*S47*44/12)</f>
        <v>46645.678367626475</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929948.74831460672</v>
      </c>
      <c r="O50" s="3366"/>
      <c r="P50" s="3371">
        <f>SUM(P47:P48)</f>
        <v>13052.862413861887</v>
      </c>
      <c r="Q50" s="3371">
        <f>SUM(Q47:Q48)</f>
        <v>331.31376814557609</v>
      </c>
      <c r="R50" s="3371">
        <f>SUM(R47:R48)</f>
        <v>12721.548645716312</v>
      </c>
      <c r="S50" s="2354"/>
      <c r="T50" s="3377">
        <f>SUM(T47:T48)</f>
        <v>46645.678367626475</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4555628.8694278495</v>
      </c>
      <c r="O55" s="3367"/>
      <c r="P55" s="3373">
        <f>SUM(P31,P45,P50,P54)</f>
        <v>93747.339075684737</v>
      </c>
      <c r="Q55" s="3373">
        <f>SUM(Q31,Q45,Q50,Q54)</f>
        <v>5369.9549166558199</v>
      </c>
      <c r="R55" s="3373">
        <f>SUM(R31,R45,R50,R54)</f>
        <v>88377.384159028908</v>
      </c>
      <c r="S55" s="2374"/>
      <c r="T55" s="3379">
        <f>SUM(T31,T45,T50,T54)</f>
        <v>324050.40858310601</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1564.1319909426709</v>
      </c>
      <c r="D10" s="4136">
        <f>C10-'Table1.A(d)'!E31/1000</f>
        <v>1442.8376707181567</v>
      </c>
      <c r="E10" s="4135">
        <f>'Table1.A(b)'!T31</f>
        <v>99738.162303382443</v>
      </c>
      <c r="F10" s="4135">
        <f>'Table1.A(a)s1'!C11/1000</f>
        <v>1464.6710439474102</v>
      </c>
      <c r="G10" s="4135">
        <f>'Table1.A(a)s1'!H11</f>
        <v>99648.73562712103</v>
      </c>
      <c r="H10" s="4135">
        <f>100*((D10-F10)/F10)</f>
        <v>-1.4906673631241307</v>
      </c>
      <c r="I10" s="4137">
        <f>100*((E10-G10)/G10)</f>
        <v>8.9741907610390637E-2</v>
      </c>
      <c r="L10"/>
    </row>
    <row r="11" spans="2:12" ht="18" customHeight="1" x14ac:dyDescent="0.2">
      <c r="B11" s="50" t="s">
        <v>299</v>
      </c>
      <c r="C11" s="4135">
        <f>'Table1.A(b)'!N45/1000</f>
        <v>2061.5481301705718</v>
      </c>
      <c r="D11" s="4135">
        <f>C11-'Table1.A(d)'!E45/1000</f>
        <v>1965.9621469236549</v>
      </c>
      <c r="E11" s="4135">
        <f>'Table1.A(b)'!T45</f>
        <v>177666.56791209709</v>
      </c>
      <c r="F11" s="4135">
        <f>'Table1.A(a)s1'!C12/1000</f>
        <v>1977.7140418101071</v>
      </c>
      <c r="G11" s="4135">
        <f>'Table1.A(a)s1'!H12</f>
        <v>179401.89247165289</v>
      </c>
      <c r="H11" s="4135">
        <f t="shared" ref="H11:H13" si="0">100*((D11-F11)/F11)</f>
        <v>-0.59421608169886098</v>
      </c>
      <c r="I11" s="4137">
        <f t="shared" ref="I11:I13" si="1">100*((E11-G11)/G11)</f>
        <v>-0.96728330768862614</v>
      </c>
      <c r="L11"/>
    </row>
    <row r="12" spans="2:12" ht="18" customHeight="1" x14ac:dyDescent="0.2">
      <c r="B12" s="50" t="s">
        <v>300</v>
      </c>
      <c r="C12" s="4135">
        <f>'Table1.A(b)'!N50/1000</f>
        <v>929.94874831460675</v>
      </c>
      <c r="D12" s="4135">
        <f>C12-'Table1.A(d)'!E50/1000</f>
        <v>906.31965239465706</v>
      </c>
      <c r="E12" s="4135">
        <f>'Table1.A(b)'!T50</f>
        <v>46645.678367626475</v>
      </c>
      <c r="F12" s="4135">
        <f>'Table1.A(a)s1'!C13/1000</f>
        <v>913.62639894684355</v>
      </c>
      <c r="G12" s="4135">
        <f>'Table1.A(a)s1'!H13</f>
        <v>47029.301132778499</v>
      </c>
      <c r="H12" s="4135">
        <f t="shared" si="0"/>
        <v>-0.79975212631871595</v>
      </c>
      <c r="I12" s="4137">
        <f t="shared" si="1"/>
        <v>-0.81571011244444458</v>
      </c>
      <c r="L12"/>
    </row>
    <row r="13" spans="2:12" ht="18" customHeight="1" x14ac:dyDescent="0.2">
      <c r="B13" s="50" t="s">
        <v>275</v>
      </c>
      <c r="C13" s="4135">
        <f>'Table1.A(b)'!N54/1000</f>
        <v>0</v>
      </c>
      <c r="D13" s="4135">
        <f>C13-SUM('Table1.A(d)'!E54)/1000</f>
        <v>0</v>
      </c>
      <c r="E13" s="4135">
        <f>'Table1.A(b)'!T54</f>
        <v>0</v>
      </c>
      <c r="F13" s="4135">
        <f>'Table1.A(a)s1'!C14/1000</f>
        <v>4.9224669406947443</v>
      </c>
      <c r="G13" s="4135">
        <f>'Table1.A(a)s1'!H14</f>
        <v>442.64682675292471</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4555.6288694278492</v>
      </c>
      <c r="D15" s="4138">
        <f>SUM(D10:D14)</f>
        <v>4315.1194700364686</v>
      </c>
      <c r="E15" s="4138">
        <f>SUM(E10:E14)</f>
        <v>324050.40858310601</v>
      </c>
      <c r="F15" s="4138">
        <f>SUM(F10:F14)</f>
        <v>4360.9339516450555</v>
      </c>
      <c r="G15" s="4138">
        <f>SUM(G10:G14)</f>
        <v>326522.57605830533</v>
      </c>
      <c r="H15" s="4139">
        <f t="shared" ref="H15" si="2">100*((D15-F15)/F15)</f>
        <v>-1.0505658218305396</v>
      </c>
      <c r="I15" s="4140">
        <f t="shared" ref="I15" si="3">100*((E15-G15)/G15)</f>
        <v>-0.75711992262301808</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D6B9A814-F931-47CE-997B-D00F5145AFBD}"/>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