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15E9F4DD-51BD-411A-A2CD-BD0E93CCAA3E}" xr6:coauthVersionLast="47" xr6:coauthVersionMax="47" xr10:uidLastSave="{00000000-0000-0000-0000-000000000000}"/>
  <bookViews>
    <workbookView xWindow="1560" yWindow="156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I33" i="34"/>
  <c r="G37" i="34"/>
  <c r="G59" i="34"/>
  <c r="I72" i="34"/>
  <c r="G36" i="34"/>
  <c r="H37" i="34"/>
  <c r="H36" i="34"/>
  <c r="I37" i="34"/>
  <c r="G88" i="34"/>
  <c r="G26" i="34"/>
  <c r="H27" i="34"/>
  <c r="I28" i="34"/>
  <c r="G34" i="34"/>
  <c r="H35" i="34"/>
  <c r="I36" i="34"/>
  <c r="G62" i="34"/>
  <c r="I75" i="34"/>
  <c r="I88" i="34"/>
  <c r="H26" i="34"/>
  <c r="I27" i="34"/>
  <c r="G33" i="34"/>
  <c r="H34" i="34"/>
  <c r="I35" i="34"/>
  <c r="I76" i="34"/>
  <c r="G85" i="34"/>
  <c r="G89" i="34"/>
  <c r="I26" i="34"/>
  <c r="G32" i="34"/>
  <c r="H33" i="34"/>
  <c r="I34" i="34"/>
  <c r="I85" i="34"/>
  <c r="I89" i="34"/>
  <c r="G128" i="34"/>
  <c r="G135" i="34"/>
  <c r="G143" i="34"/>
  <c r="G138" i="34"/>
  <c r="I45" i="59"/>
  <c r="G133" i="34"/>
  <c r="G141" i="34"/>
  <c r="I15" i="59"/>
  <c r="G129" i="34"/>
  <c r="G136" i="34"/>
  <c r="I154" i="34"/>
  <c r="H16" i="59"/>
  <c r="G139" i="34"/>
  <c r="H15" i="59"/>
  <c r="H45" i="59"/>
  <c r="G125" i="34"/>
  <c r="G134" i="34"/>
  <c r="G142" i="34"/>
  <c r="D16" i="57"/>
  <c r="I22" i="59"/>
  <c r="G137" i="34"/>
  <c r="I157" i="34"/>
  <c r="D18" i="57"/>
  <c r="G132" i="34"/>
  <c r="G140" i="34"/>
  <c r="H22" i="59"/>
  <c r="H154" i="34"/>
  <c r="H157" i="34"/>
  <c r="H158" i="34"/>
  <c r="H139" i="34"/>
  <c r="H142" i="34"/>
  <c r="H143" i="34"/>
  <c r="H118" i="34"/>
  <c r="H119" i="34"/>
  <c r="H120" i="34"/>
  <c r="H121" i="34"/>
  <c r="H122" i="34"/>
  <c r="H123" i="34"/>
  <c r="H124" i="34"/>
  <c r="H125" i="34"/>
  <c r="H126" i="34"/>
  <c r="H128" i="34"/>
  <c r="H129" i="34"/>
  <c r="I118" i="34"/>
  <c r="I119" i="34"/>
  <c r="I120" i="34"/>
  <c r="I121" i="34"/>
  <c r="I122" i="34"/>
  <c r="I123" i="34"/>
  <c r="I124" i="34"/>
  <c r="I125" i="34"/>
  <c r="I126" i="34"/>
  <c r="I127" i="34"/>
  <c r="I128" i="34"/>
  <c r="I129" i="34"/>
  <c r="D29" i="25"/>
  <c r="F29" i="25"/>
  <c r="G29" i="25"/>
  <c r="H29" i="25"/>
  <c r="I29" i="25"/>
  <c r="K29" i="25"/>
  <c r="M29" i="25"/>
  <c r="O29" i="25"/>
  <c r="I99"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85" i="34"/>
  <c r="H88" i="34"/>
  <c r="H89" i="34"/>
  <c r="G65" i="34"/>
  <c r="G66" i="34"/>
  <c r="G67" i="34"/>
  <c r="G68" i="34"/>
  <c r="G69" i="34"/>
  <c r="G72" i="34"/>
  <c r="G75" i="34"/>
  <c r="G76" i="34"/>
  <c r="H72" i="34"/>
  <c r="H75" i="34"/>
  <c r="H76" i="34"/>
  <c r="H59" i="34"/>
  <c r="H62" i="34"/>
  <c r="H63" i="34"/>
  <c r="I59" i="34"/>
  <c r="I62" i="34"/>
  <c r="I63" i="34"/>
  <c r="G63" i="34"/>
  <c r="M51" i="34" l="1"/>
  <c r="L51" i="34"/>
  <c r="K51" i="34"/>
  <c r="J51" i="34"/>
  <c r="I61" i="34"/>
  <c r="I60" i="34"/>
  <c r="I58" i="34"/>
  <c r="I57" i="34"/>
  <c r="I56" i="34"/>
  <c r="I55" i="34"/>
  <c r="I54" i="34"/>
  <c r="I53" i="34"/>
  <c r="I52" i="34"/>
  <c r="H61" i="34"/>
  <c r="H60" i="34"/>
  <c r="H58" i="34"/>
  <c r="H57" i="34"/>
  <c r="H56" i="34"/>
  <c r="H55" i="34"/>
  <c r="H54" i="34"/>
  <c r="H53" i="34"/>
  <c r="H52" i="34"/>
  <c r="I70" i="34"/>
  <c r="L64" i="34"/>
  <c r="K64" i="34"/>
  <c r="H74" i="34"/>
  <c r="H73" i="34"/>
  <c r="G74" i="34"/>
  <c r="G73" i="34"/>
  <c r="G71" i="34"/>
  <c r="G70" i="34"/>
  <c r="M77" i="34"/>
  <c r="L77" i="34"/>
  <c r="K77" i="34"/>
  <c r="J77" i="34"/>
  <c r="H87" i="34"/>
  <c r="H86" i="34"/>
  <c r="H84" i="34"/>
  <c r="H83" i="34"/>
  <c r="H82" i="34"/>
  <c r="H81" i="34"/>
  <c r="H80"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1" i="34"/>
  <c r="I100" i="34"/>
  <c r="I98" i="34"/>
  <c r="I97" i="34"/>
  <c r="I96" i="34"/>
  <c r="I95" i="34"/>
  <c r="I94"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7" i="34"/>
  <c r="K131" i="34"/>
  <c r="K130" i="34" s="1"/>
  <c r="U30" i="25"/>
  <c r="T30" i="25"/>
  <c r="R30" i="25"/>
  <c r="O30" i="25"/>
  <c r="M30" i="25"/>
  <c r="K30" i="25"/>
  <c r="I30" i="25"/>
  <c r="H30" i="25"/>
  <c r="G30" i="25"/>
  <c r="F30" i="25"/>
  <c r="D30" i="25"/>
  <c r="J131" i="34"/>
  <c r="J130" i="34" s="1"/>
  <c r="C30" i="25"/>
  <c r="F49" i="22" s="1"/>
  <c r="H141" i="34"/>
  <c r="H140" i="34"/>
  <c r="H138" i="34"/>
  <c r="H137" i="34"/>
  <c r="H136" i="34"/>
  <c r="H135" i="34"/>
  <c r="H134" i="34"/>
  <c r="H133" i="34"/>
  <c r="H132" i="34"/>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6" i="34"/>
  <c r="H155" i="34"/>
  <c r="H153" i="34"/>
  <c r="H152" i="34"/>
  <c r="H151" i="34"/>
  <c r="H150" i="34"/>
  <c r="H149"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49" i="34"/>
  <c r="D111" i="34"/>
  <c r="G111" i="34" s="1"/>
  <c r="G98" i="34"/>
  <c r="K13" i="59"/>
  <c r="H14" i="59"/>
  <c r="I15" i="57"/>
  <c r="G13" i="57"/>
  <c r="E15" i="57"/>
  <c r="I156" i="34"/>
  <c r="I148" i="34"/>
  <c r="G127"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20" i="34"/>
  <c r="G118" i="34"/>
  <c r="G101" i="34"/>
  <c r="D114" i="34"/>
  <c r="G114" i="34" s="1"/>
  <c r="D106" i="34"/>
  <c r="G106" i="34" s="1"/>
  <c r="G93" i="34"/>
  <c r="I16" i="57"/>
  <c r="E16" i="57"/>
  <c r="I18" i="57"/>
  <c r="E18" i="57"/>
  <c r="I151" i="34"/>
  <c r="G100" i="34"/>
  <c r="D113" i="34"/>
  <c r="G113" i="34" s="1"/>
  <c r="D105" i="34"/>
  <c r="G105" i="34" s="1"/>
  <c r="G92" i="34"/>
  <c r="I81" i="34"/>
  <c r="I68" i="34"/>
  <c r="I66" i="34"/>
  <c r="G81" i="34"/>
  <c r="H70" i="34"/>
  <c r="H68" i="34"/>
  <c r="H66" i="34"/>
  <c r="G55" i="34"/>
  <c r="I84" i="34"/>
  <c r="I80" i="34"/>
  <c r="M64" i="34"/>
  <c r="G54" i="34"/>
  <c r="G84" i="34"/>
  <c r="G80" i="34"/>
  <c r="I74" i="34"/>
  <c r="J64" i="34"/>
  <c r="G61" i="34"/>
  <c r="G53" i="34"/>
  <c r="G35" i="34"/>
  <c r="I29" i="34"/>
  <c r="H28" i="34"/>
  <c r="G27" i="34"/>
  <c r="I73" i="34"/>
  <c r="I69" i="34"/>
  <c r="I67" i="34"/>
  <c r="I65" i="34"/>
  <c r="I30" i="34"/>
  <c r="H29" i="34"/>
  <c r="G28" i="34"/>
  <c r="M25" i="34"/>
  <c r="G87" i="34"/>
  <c r="G83" i="34"/>
  <c r="G79" i="34"/>
  <c r="H69" i="34"/>
  <c r="H67" i="34"/>
  <c r="H65" i="34"/>
  <c r="I31" i="34"/>
  <c r="H30" i="34"/>
  <c r="G29" i="34"/>
  <c r="L25" i="34"/>
  <c r="I71" i="34"/>
  <c r="I32" i="34"/>
  <c r="H31" i="34"/>
  <c r="G30" i="34"/>
  <c r="K25" i="34"/>
  <c r="H71"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F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49" i="70" l="1"/>
  <c r="I34" i="73"/>
  <c r="J34" i="73" s="1"/>
  <c r="G35" i="73"/>
  <c r="H45" i="70"/>
  <c r="H22" i="73"/>
  <c r="H23" i="73"/>
  <c r="H24"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<sst xmlns="http://schemas.openxmlformats.org/spreadsheetml/2006/main" count="19307" uniqueCount="2523">
  <si>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</si>
  <si>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</si>
  <si>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</si>
  <si>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</si>
  <si>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</si>
  <si>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</si>
  <si>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</si>
  <si>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</si>
  <si>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</si>
  <si>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</si>
  <si>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</si>
  <si>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</si>
  <si>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</si>
  <si>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</si>
  <si>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</si>
  <si>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</si>
  <si>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</si>
  <si>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</si>
  <si>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</si>
  <si>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</si>
  <si>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</si>
  <si>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</si>
  <si>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</si>
  <si>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</si>
  <si>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</si>
  <si>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</si>
  <si>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</si>
  <si>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</si>
  <si>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</si>
  <si>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</si>
  <si>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</si>
  <si>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</si>
  <si>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</si>
  <si>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</si>
  <si>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</si>
  <si>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</si>
  <si>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</si>
  <si>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</si>
  <si>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</si>
  <si>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</si>
  <si>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</si>
  <si>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</si>
  <si>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</si>
  <si>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</si>
  <si>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</si>
  <si>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</si>
  <si>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</si>
  <si>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</si>
  <si>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</si>
  <si>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</si>
  <si>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</si>
  <si>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</si>
  <si>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</si>
  <si>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</si>
  <si>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</si>
  <si>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</si>
  <si>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</si>
  <si>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</si>
  <si>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</si>
  <si>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</si>
  <si>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</si>
  <si>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</si>
  <si>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</si>
  <si>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</si>
  <si>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</si>
  <si>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</si>
  <si>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</si>
  <si>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</si>
  <si>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</si>
  <si>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</si>
  <si>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</si>
  <si>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</si>
  <si>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</si>
  <si>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</si>
  <si>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</si>
  <si>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</si>
  <si>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</si>
  <si>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</si>
  <si>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</si>
  <si>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</si>
  <si>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</si>
  <si>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</si>
  <si>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</si>
  <si>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</si>
  <si>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</si>
  <si>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</si>
  <si>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</si>
  <si>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</si>
  <si>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</si>
  <si>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</si>
  <si>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</si>
  <si>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</si>
  <si>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</si>
  <si>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</si>
  <si>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</si>
  <si>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</si>
  <si>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</si>
  <si>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</si>
  <si>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</si>
  <si>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</si>
  <si>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</si>
  <si>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</si>
  <si>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</si>
  <si>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</si>
  <si>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</si>
  <si>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</si>
  <si>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</si>
  <si>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</si>
  <si>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</si>
  <si>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</si>
  <si>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</si>
  <si>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</si>
  <si>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</si>
  <si>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</si>
  <si>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</si>
  <si>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</si>
  <si>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</si>
  <si>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</si>
  <si>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</si>
  <si>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</si>
  <si>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</si>
  <si>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</si>
  <si>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</si>
  <si>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</si>
  <si>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</si>
  <si>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</si>
  <si>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</si>
  <si>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</si>
  <si>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</si>
  <si>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</si>
  <si>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</si>
  <si>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</si>
  <si>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</si>
  <si>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</si>
  <si>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</si>
  <si>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</si>
  <si>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</si>
  <si>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</si>
  <si>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</si>
  <si>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</si>
  <si>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</si>
  <si>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</si>
  <si>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</si>
  <si>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</si>
  <si>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</si>
  <si>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</si>
  <si>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</si>
  <si>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</si>
  <si>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</si>
  <si>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</si>
  <si>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</si>
  <si>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</si>
  <si>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</si>
  <si>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</si>
  <si>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</si>
  <si>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</si>
  <si>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</si>
  <si>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</si>
  <si>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</si>
  <si>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</si>
  <si>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</si>
  <si>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</si>
  <si>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</si>
  <si>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</si>
  <si>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</si>
  <si>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</si>
  <si>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</si>
  <si>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</si>
  <si>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</si>
  <si>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</si>
  <si>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</si>
  <si>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</si>
  <si>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</si>
  <si>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</si>
  <si>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</si>
  <si>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</si>
  <si>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</si>
  <si>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</si>
  <si>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</si>
  <si>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</si>
  <si>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</si>
  <si>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</si>
  <si>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</si>
  <si>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</si>
  <si>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</si>
  <si>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</si>
  <si>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</si>
  <si>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</si>
  <si>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</si>
  <si>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</si>
  <si>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</si>
  <si>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</si>
  <si>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</si>
  <si>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</si>
  <si>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</si>
  <si>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</si>
  <si>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</si>
  <si>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</si>
  <si>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</si>
  <si>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</si>
  <si>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</si>
  <si>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</si>
  <si>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</si>
  <si>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</si>
  <si>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</si>
  <si>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</si>
  <si>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</si>
  <si>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</si>
  <si>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</si>
  <si>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</si>
  <si>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</si>
  <si>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</si>
  <si>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</si>
  <si>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</si>
  <si>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</si>
  <si>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</si>
  <si>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</si>
  <si>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</si>
  <si>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</si>
  <si>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</si>
  <si>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</si>
  <si>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</si>
  <si>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</si>
  <si>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</si>
  <si>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</si>
  <si>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</si>
  <si>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</si>
  <si>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</si>
  <si>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</si>
  <si>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</si>
  <si>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</si>
  <si>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</si>
  <si>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</si>
  <si>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</si>
  <si>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</si>
  <si>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</si>
  <si>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</si>
  <si>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</si>
  <si>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</si>
  <si>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</si>
  <si>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</si>
  <si>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</si>
  <si>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</si>
  <si>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</si>
  <si>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</si>
  <si>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</si>
  <si>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</si>
  <si>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</si>
  <si>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</si>
  <si>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</si>
  <si>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</si>
  <si>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</si>
  <si>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</si>
  <si>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</si>
  <si>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</si>
  <si>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</si>
  <si>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</si>
  <si>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</si>
  <si>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</si>
  <si>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</si>
  <si>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</si>
  <si>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</si>
  <si>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</si>
  <si>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</si>
  <si>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</si>
  <si>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</si>
  <si>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</si>
  <si>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</si>
  <si>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</si>
  <si>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</si>
  <si>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</si>
  <si>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</si>
  <si>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</si>
  <si>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</si>
  <si>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</si>
  <si>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</si>
  <si>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</si>
  <si>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</si>
  <si>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</si>
  <si>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</si>
  <si>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</si>
  <si>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</si>
  <si>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</si>
  <si>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</si>
  <si>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</si>
  <si>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</si>
  <si>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</si>
  <si>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</si>
  <si>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</si>
  <si>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</si>
  <si>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</si>
  <si>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</si>
  <si>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</si>
  <si>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</si>
  <si>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</si>
  <si>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</si>
  <si>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</si>
  <si>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</si>
  <si>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</si>
  <si>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</si>
  <si>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</si>
  <si>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</si>
  <si>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</si>
  <si>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</si>
  <si>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</si>
  <si>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</si>
  <si>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</si>
  <si>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</si>
  <si>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</si>
  <si>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</si>
  <si>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</si>
  <si>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</si>
  <si>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</si>
  <si>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</si>
  <si>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</si>
  <si>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</si>
  <si>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</si>
  <si>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</si>
  <si>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</si>
  <si>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</si>
  <si>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</si>
  <si>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</si>
  <si>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</si>
  <si>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</si>
  <si>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</si>
  <si>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</si>
  <si>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</si>
  <si>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</si>
  <si>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</si>
  <si>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</si>
  <si>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</si>
  <si>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</si>
  <si>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</si>
  <si>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</si>
  <si>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</si>
  <si>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</si>
  <si>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</si>
  <si>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</si>
  <si>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</si>
  <si>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</si>
  <si>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</si>
  <si>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</si>
  <si>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</si>
  <si>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</si>
  <si>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</si>
  <si>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</si>
  <si>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</si>
  <si>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</si>
  <si>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</si>
  <si>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</si>
  <si>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</si>
  <si>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</si>
  <si>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</si>
  <si>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</si>
  <si>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</si>
  <si>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</si>
  <si>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</si>
  <si>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</si>
  <si>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</si>
  <si>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</si>
  <si>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</si>
  <si>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</si>
  <si>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</si>
  <si>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</si>
  <si>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</si>
  <si>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</si>
  <si>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</si>
  <si>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</si>
  <si>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</si>
  <si>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</si>
  <si>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</si>
  <si>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</si>
  <si>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</si>
  <si>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</si>
  <si>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</si>
  <si>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</si>
  <si>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</si>
  <si>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</si>
  <si>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</si>
  <si>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</si>
  <si>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</si>
  <si>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</si>
  <si>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</si>
  <si>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</si>
  <si>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</si>
  <si>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</si>
  <si>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</si>
  <si>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</si>
  <si>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</si>
  <si>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</si>
  <si>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</si>
  <si>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</si>
  <si>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</si>
  <si>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</si>
  <si>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</si>
  <si>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</si>
  <si>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</si>
  <si>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</si>
  <si>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</si>
  <si>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</si>
  <si>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</si>
  <si>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</si>
  <si>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</si>
  <si>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</si>
  <si>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</si>
  <si>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</si>
  <si>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</si>
  <si>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</si>
  <si>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</si>
  <si>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</si>
  <si>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</si>
  <si>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</si>
  <si>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</si>
  <si>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</si>
  <si>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</si>
  <si>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</si>
  <si>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</si>
  <si>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</si>
  <si>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</si>
  <si>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</si>
  <si>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</si>
  <si>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</si>
  <si>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</si>
  <si>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</si>
  <si>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</si>
  <si>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</si>
  <si>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</si>
  <si>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</si>
  <si>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</si>
  <si>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</si>
  <si>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</si>
  <si>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</si>
  <si>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</si>
  <si>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</si>
  <si>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</si>
  <si>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</si>
  <si>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</si>
  <si>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</si>
  <si>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</si>
  <si>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</si>
  <si>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</si>
  <si>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</si>
  <si>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</si>
  <si>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</si>
  <si>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</si>
  <si>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</si>
  <si>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</si>
  <si>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</si>
  <si>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</si>
  <si>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</si>
  <si>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</si>
  <si>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</si>
  <si>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</si>
  <si>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</si>
  <si>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</si>
  <si>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</si>
  <si>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</si>
  <si>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</si>
  <si>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</si>
  <si>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</si>
  <si>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</si>
  <si>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</si>
  <si>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</si>
  <si>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</si>
  <si>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</si>
  <si>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</si>
  <si>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</si>
  <si>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</si>
  <si>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</si>
  <si>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</si>
  <si>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</si>
  <si>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</si>
  <si>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</si>
  <si>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</si>
  <si>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</si>
  <si>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</si>
  <si>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</si>
  <si>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</si>
  <si>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</si>
  <si>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</si>
  <si>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</si>
  <si>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</si>
  <si>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</si>
  <si>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</si>
  <si>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</si>
  <si>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</si>
  <si>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</si>
  <si>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</si>
  <si>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</si>
  <si>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</si>
  <si>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</si>
  <si>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</si>
  <si>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</si>
  <si>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</si>
  <si>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</si>
  <si>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</si>
  <si>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</si>
  <si>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</si>
  <si>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</si>
  <si>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</si>
  <si>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</si>
  <si>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</si>
  <si>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</si>
  <si>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</si>
  <si>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</si>
  <si>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</si>
  <si>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</si>
  <si>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</si>
  <si>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</si>
  <si>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</si>
  <si>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</si>
  <si>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</si>
  <si>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</si>
  <si>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</si>
  <si>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</si>
  <si>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</si>
  <si>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</si>
  <si>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</si>
  <si>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</si>
  <si>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</si>
  <si>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</si>
  <si>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</si>
  <si>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</si>
  <si>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</si>
  <si>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</si>
  <si>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</si>
  <si>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</si>
  <si>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</si>
  <si>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</si>
  <si>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</si>
  <si>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</si>
  <si>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</si>
  <si>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</si>
  <si>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</si>
  <si>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</si>
  <si>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</si>
  <si>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</si>
  <si>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</si>
  <si>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</si>
  <si>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</si>
  <si>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</si>
  <si>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</si>
  <si>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</si>
  <si>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</si>
  <si>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</si>
  <si>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</si>
  <si>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</si>
  <si>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</si>
  <si>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</si>
  <si>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</si>
  <si>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</si>
  <si>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</si>
  <si>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</si>
  <si>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</si>
  <si>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</si>
  <si>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</si>
  <si>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</si>
  <si>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</si>
  <si>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</si>
  <si>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</si>
  <si>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</si>
  <si>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</si>
  <si>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</si>
  <si>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</si>
  <si>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</si>
  <si>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</si>
  <si>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</si>
  <si>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</si>
  <si>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</si>
  <si>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</si>
  <si>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</si>
  <si>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</si>
  <si>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</si>
  <si>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</si>
  <si>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</si>
  <si>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</si>
  <si>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</si>
  <si>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</si>
  <si>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</si>
  <si>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</si>
  <si>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</si>
  <si>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</si>
  <si>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</si>
  <si>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</si>
  <si>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</si>
  <si>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</si>
  <si>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</si>
  <si>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</si>
  <si>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</si>
  <si>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</si>
  <si>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</si>
  <si>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</si>
  <si>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</si>
  <si>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</si>
  <si>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</si>
  <si>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</si>
  <si>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</si>
  <si>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</si>
  <si>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</si>
  <si>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</si>
  <si>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</si>
  <si>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</si>
  <si>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</si>
  <si>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</si>
  <si>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</si>
  <si>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</si>
  <si>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</si>
  <si>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</si>
  <si>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</si>
  <si>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</si>
  <si>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</si>
  <si>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</si>
  <si>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</si>
  <si>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</si>
  <si>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</si>
  <si>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</si>
  <si>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</si>
  <si>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</si>
  <si>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</si>
  <si>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</si>
  <si>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</si>
  <si>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</si>
  <si>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</si>
  <si>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</si>
  <si>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</si>
  <si>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</si>
  <si>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</si>
  <si>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</si>
  <si>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</si>
  <si>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</si>
  <si>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</si>
  <si>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</si>
  <si>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</si>
  <si>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</si>
  <si>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</si>
  <si>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</si>
  <si>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</si>
  <si>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</si>
  <si>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</si>
  <si>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</si>
  <si>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</si>
  <si>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</si>
  <si>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</si>
  <si>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</si>
  <si>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</si>
  <si>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</si>
  <si>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</si>
  <si>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</si>
  <si>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</si>
  <si>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</si>
  <si>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</si>
  <si>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</si>
  <si>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</si>
  <si>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</si>
  <si>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</si>
  <si>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</si>
  <si>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</si>
  <si>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</si>
  <si>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</si>
  <si>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</si>
  <si>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</si>
  <si>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</si>
  <si>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</si>
  <si>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</si>
  <si>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</si>
  <si>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</si>
  <si>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</si>
  <si>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</si>
  <si>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</si>
  <si>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</si>
  <si>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</si>
  <si>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</si>
  <si>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</si>
  <si>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</si>
  <si>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</si>
  <si>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</si>
  <si>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</si>
  <si>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</si>
  <si>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</si>
  <si>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</si>
  <si>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</si>
  <si>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</si>
  <si>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</si>
  <si>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</si>
  <si>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</si>
  <si>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</si>
  <si>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</si>
  <si>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</si>
  <si>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</si>
  <si>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</si>
  <si>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</si>
  <si>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</si>
  <si>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</si>
  <si>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</si>
  <si>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</si>
  <si>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</si>
  <si>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</si>
  <si>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</si>
  <si>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</si>
  <si>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</si>
  <si>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</si>
  <si>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</si>
  <si>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</si>
  <si>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</si>
  <si>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</si>
  <si>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</si>
  <si>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</si>
  <si>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</si>
  <si>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</si>
  <si>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</si>
  <si>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</si>
  <si>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</si>
  <si>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</si>
  <si>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</si>
  <si>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</si>
  <si>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</si>
  <si>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</si>
  <si>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</si>
  <si>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</si>
  <si>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</si>
  <si>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</si>
  <si>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</si>
  <si>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</si>
  <si>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</si>
  <si>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</si>
  <si>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</si>
  <si>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</si>
  <si>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</si>
  <si>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</si>
  <si>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</si>
  <si>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</si>
  <si>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</si>
  <si>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</si>
  <si>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</si>
  <si>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</si>
  <si>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</si>
  <si>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</si>
  <si>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</si>
  <si>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</si>
  <si>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</si>
  <si>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</si>
  <si>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</si>
  <si>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</si>
  <si>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</si>
  <si>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</si>
  <si>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</si>
  <si>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</si>
  <si>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</si>
  <si>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</si>
  <si>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</si>
  <si>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</si>
  <si>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</si>
  <si>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</si>
  <si>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</si>
  <si>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</si>
  <si>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</si>
  <si>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</si>
  <si>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</si>
  <si>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</si>
  <si>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</si>
  <si>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</si>
  <si>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</si>
  <si>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</si>
  <si>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</si>
  <si>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</si>
  <si>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</si>
  <si>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</si>
  <si>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</si>
  <si>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</si>
  <si>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</si>
  <si>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</si>
  <si>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</si>
  <si>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</si>
  <si>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</si>
  <si>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</si>
  <si>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</si>
  <si>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</si>
  <si>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</si>
  <si>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</si>
  <si>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</si>
  <si>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</si>
  <si>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</si>
  <si>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</si>
  <si>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</si>
  <si>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</si>
  <si>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</si>
  <si>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</si>
  <si>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</si>
  <si>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</si>
  <si>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</si>
  <si>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</si>
  <si>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</si>
  <si>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</si>
  <si>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</si>
  <si>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</si>
  <si>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</si>
  <si>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</si>
  <si>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</si>
  <si>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</si>
  <si>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</si>
  <si>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</si>
  <si>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</si>
  <si>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</si>
  <si>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</si>
  <si>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</si>
  <si>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</si>
  <si>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</si>
  <si>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</si>
  <si>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</si>
  <si>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</si>
  <si>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</si>
  <si>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</si>
  <si>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</si>
  <si>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</si>
  <si>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</si>
  <si>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</si>
  <si>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</si>
  <si>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</si>
  <si>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</si>
  <si>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</si>
  <si>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</si>
  <si>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</si>
  <si>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</si>
  <si>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</si>
  <si>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</si>
  <si>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</si>
  <si>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</si>
  <si>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</si>
  <si>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</si>
  <si>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</si>
  <si>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</si>
  <si>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</si>
  <si>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</si>
  <si>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</si>
  <si>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</si>
  <si>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</si>
  <si>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</si>
  <si>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</si>
  <si>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</si>
  <si>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</si>
  <si>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</si>
  <si>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</si>
  <si>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</si>
  <si>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</si>
  <si>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</si>
  <si>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</si>
  <si>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</si>
  <si>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</si>
  <si>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</si>
  <si>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</si>
  <si>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</si>
  <si>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</si>
  <si>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</si>
  <si>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</si>
  <si>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</si>
  <si>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</si>
  <si>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</si>
  <si>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</si>
  <si>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</si>
  <si>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</si>
  <si>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</si>
  <si>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</si>
  <si>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</si>
  <si>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</si>
  <si>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</si>
  <si>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</si>
  <si>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</si>
  <si>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</si>
  <si>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</si>
  <si>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</si>
  <si>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</si>
  <si>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</si>
  <si>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</si>
  <si>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</si>
  <si>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</si>
  <si>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</si>
  <si>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</si>
  <si>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</si>
  <si>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</si>
  <si>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</si>
  <si>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</si>
  <si>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</si>
  <si>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</si>
  <si>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</si>
  <si>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</si>
  <si>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</si>
  <si>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</si>
  <si>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</si>
  <si>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</si>
  <si>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</si>
  <si>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</si>
  <si>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</si>
  <si>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</si>
  <si>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</si>
  <si>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</si>
  <si>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</si>
  <si>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</si>
  <si>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</si>
  <si>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</si>
  <si>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</si>
  <si>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</si>
  <si>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</si>
  <si>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</si>
  <si>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</si>
  <si>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</si>
  <si>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</si>
  <si>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</si>
  <si>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</si>
  <si>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</si>
  <si>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</si>
  <si>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</si>
  <si>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</si>
  <si>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</si>
  <si>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</si>
  <si>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</si>
  <si>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</si>
  <si>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</si>
  <si>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</si>
  <si>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</si>
  <si>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</si>
  <si>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</si>
  <si>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</si>
  <si>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</si>
  <si>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</si>
  <si>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</si>
  <si>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</si>
  <si>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</si>
  <si>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</si>
  <si>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</si>
  <si>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</si>
  <si>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</si>
  <si>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</si>
  <si>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</si>
  <si>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</si>
  <si>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</si>
  <si>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</si>
  <si>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</si>
  <si>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</si>
  <si>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</si>
  <si>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</si>
  <si>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</si>
  <si>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</si>
  <si>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</si>
  <si>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</si>
  <si>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</si>
  <si>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</si>
  <si>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</si>
  <si>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</si>
  <si>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</si>
  <si>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</si>
  <si>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</si>
  <si>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</si>
  <si>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</si>
  <si>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</si>
  <si>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</si>
  <si>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</si>
  <si>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</si>
  <si>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</si>
  <si>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</si>
  <si>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</si>
  <si>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</si>
  <si>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</si>
  <si>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</si>
  <si>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</si>
  <si>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</si>
  <si>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</si>
  <si>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</si>
  <si>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</si>
  <si>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</si>
  <si>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</si>
  <si>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</si>
  <si>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</si>
  <si>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</si>
  <si>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</si>
  <si>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</si>
  <si>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</si>
  <si>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</si>
  <si>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</si>
  <si>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</si>
  <si>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</si>
  <si>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</si>
  <si>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</si>
  <si>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</si>
  <si>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</si>
  <si>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</si>
  <si>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</si>
  <si>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</si>
  <si>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</si>
  <si>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</si>
  <si>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</si>
  <si>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</si>
  <si>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</si>
  <si>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</si>
  <si>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</si>
  <si>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</si>
  <si>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</si>
  <si>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</si>
  <si>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</si>
  <si>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</si>
  <si>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</si>
  <si>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</si>
  <si>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</si>
  <si>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</si>
  <si>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</si>
  <si>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</si>
  <si>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</si>
  <si>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</si>
  <si>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</si>
  <si>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</si>
  <si>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</si>
  <si>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</si>
  <si>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</si>
  <si>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</si>
  <si>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</si>
  <si>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</si>
  <si>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</si>
  <si>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</si>
  <si>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</si>
  <si>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</si>
  <si>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</si>
  <si>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</si>
  <si>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</si>
  <si>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</si>
  <si>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</si>
  <si>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</si>
  <si>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</si>
  <si>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</si>
  <si>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</si>
  <si>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</si>
  <si>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</si>
  <si>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</si>
  <si>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</si>
  <si>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</si>
  <si>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</si>
  <si>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</si>
  <si>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</si>
  <si>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</si>
  <si>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</si>
  <si>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</si>
  <si>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</si>
  <si>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</si>
  <si>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</si>
  <si>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</si>
  <si>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</si>
  <si>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</si>
  <si>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</si>
  <si>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</si>
  <si>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</si>
  <si>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</si>
  <si>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</si>
  <si>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</si>
  <si>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</si>
  <si>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</si>
  <si>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</si>
  <si>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</si>
  <si>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</si>
  <si>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</si>
  <si>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</si>
  <si>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</si>
  <si>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</si>
  <si>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</si>
  <si>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</si>
  <si>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</si>
  <si>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</si>
  <si>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</si>
  <si>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</si>
  <si>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</si>
  <si>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</si>
  <si>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</si>
  <si>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</si>
  <si>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</si>
  <si>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</si>
  <si>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</si>
  <si>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</si>
  <si>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</si>
  <si>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</si>
  <si>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</si>
  <si>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</si>
  <si>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</si>
  <si>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</si>
  <si>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</si>
  <si>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</si>
  <si>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</si>
  <si>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</si>
  <si>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</si>
  <si>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</si>
  <si>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</si>
  <si>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</si>
  <si>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</si>
  <si>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</si>
  <si>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</si>
  <si>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</si>
  <si>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</si>
  <si>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</si>
  <si>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</si>
  <si>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</si>
  <si>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</si>
  <si>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</si>
  <si>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</si>
  <si>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</si>
  <si>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</si>
  <si>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</si>
  <si>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</si>
  <si>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</si>
  <si>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</si>
  <si>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</si>
  <si>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</si>
  <si>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</si>
  <si>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</si>
  <si>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</si>
  <si>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</si>
  <si>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</si>
  <si>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</si>
  <si>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</si>
  <si>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</si>
  <si>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</si>
  <si>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</si>
  <si>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</si>
  <si>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</si>
  <si>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</si>
  <si>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</si>
  <si>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</si>
  <si>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</si>
  <si>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</si>
  <si>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</si>
  <si>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</si>
  <si>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</si>
  <si>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</si>
  <si>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</si>
  <si>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</si>
  <si>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</si>
  <si>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</si>
  <si>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</si>
  <si>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</si>
  <si>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</si>
  <si>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</si>
  <si>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</si>
  <si>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</si>
  <si>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</si>
  <si>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</si>
  <si>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</si>
  <si>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</si>
  <si>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</si>
  <si>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</si>
  <si>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</si>
  <si>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</si>
  <si>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</si>
  <si>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</si>
  <si>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</si>
  <si>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</si>
  <si>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</si>
  <si>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</si>
  <si>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</si>
  <si>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</si>
  <si>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</si>
  <si>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</si>
  <si>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</si>
  <si>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</si>
  <si>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</si>
  <si>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</si>
  <si>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</si>
  <si>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</si>
  <si>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</si>
  <si>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</si>
  <si>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</si>
  <si>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</si>
  <si>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</si>
  <si>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</si>
  <si>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</si>
  <si>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</si>
  <si>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</si>
  <si>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</si>
  <si>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</si>
  <si>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</si>
  <si>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</si>
  <si>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</si>
  <si>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</si>
  <si>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</si>
  <si>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</si>
  <si>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</si>
  <si>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</si>
  <si>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</si>
  <si>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</si>
  <si>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</si>
  <si>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</si>
  <si>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</si>
  <si>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</si>
  <si>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</si>
  <si>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</si>
  <si>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</si>
  <si>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</si>
  <si>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</si>
  <si>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</si>
  <si>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</si>
  <si>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</si>
  <si>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</si>
  <si>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</si>
  <si>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</si>
  <si>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</si>
  <si>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</si>
  <si>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</si>
  <si>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</si>
  <si>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</si>
  <si>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</si>
  <si>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</si>
  <si>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</si>
  <si>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</si>
  <si>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</si>
  <si>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</si>
  <si>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</si>
  <si>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</si>
  <si>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</si>
  <si>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</si>
  <si>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</si>
  <si>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</si>
  <si>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</si>
  <si>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</si>
  <si>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</si>
  <si>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</si>
  <si>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</si>
  <si>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</si>
  <si>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</si>
  <si>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</si>
  <si>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</si>
  <si>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</si>
  <si>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</si>
  <si>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</si>
  <si>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</si>
  <si>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</si>
  <si>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</si>
  <si>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</si>
  <si>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</si>
  <si>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</si>
  <si>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</si>
  <si>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</si>
  <si>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</si>
  <si>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</si>
  <si>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</si>
  <si>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</si>
  <si>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</si>
  <si>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</si>
  <si>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</si>
  <si>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</si>
  <si>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</si>
  <si>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</si>
  <si>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</si>
  <si>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</si>
  <si>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</si>
  <si>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</si>
  <si>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</si>
  <si>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</si>
  <si>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</si>
  <si>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</si>
  <si>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</si>
  <si>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</si>
  <si>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</si>
  <si>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</si>
  <si>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</si>
  <si>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</si>
  <si>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</si>
  <si>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</si>
  <si>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</si>
  <si>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</si>
  <si>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</si>
  <si>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</si>
  <si>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</si>
  <si>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</si>
  <si>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</si>
  <si>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</si>
  <si>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</si>
  <si>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</si>
  <si>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</si>
  <si>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</si>
  <si>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</si>
  <si>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</si>
  <si>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</si>
  <si>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</si>
  <si>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</si>
  <si>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</si>
  <si>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</si>
  <si>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</si>
  <si>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</si>
  <si>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</si>
  <si>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</si>
  <si>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</si>
  <si>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</si>
  <si>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</si>
  <si>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</si>
  <si>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</si>
  <si>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</si>
  <si>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</si>
  <si>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</si>
  <si>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</si>
  <si>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</si>
  <si>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</si>
  <si>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</si>
  <si>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</si>
  <si>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</si>
  <si>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</si>
  <si>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</si>
  <si>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</si>
  <si>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</si>
  <si>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</si>
  <si>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</si>
  <si>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</si>
  <si>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</si>
  <si>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</si>
  <si>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</si>
  <si>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</si>
  <si>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</si>
  <si>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</si>
  <si>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</si>
  <si>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</si>
  <si>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</si>
  <si>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</si>
  <si>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</si>
  <si>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</si>
  <si>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</si>
  <si>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</si>
  <si>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</si>
  <si>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</si>
  <si>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</si>
  <si>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</si>
  <si>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</si>
  <si>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</si>
  <si>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</si>
  <si>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</si>
  <si>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</si>
  <si>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</si>
  <si>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</si>
  <si>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</si>
  <si>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</si>
  <si>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</si>
  <si>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</si>
  <si>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</si>
  <si>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</si>
  <si>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</si>
  <si>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</si>
  <si>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</si>
  <si>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</si>
  <si>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</si>
  <si>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</si>
  <si>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</si>
  <si>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</si>
  <si>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</si>
  <si>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</si>
  <si>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</si>
  <si>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</si>
  <si>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</si>
  <si>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</si>
  <si>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</si>
  <si>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</si>
  <si>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</si>
  <si>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</si>
  <si>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</si>
  <si>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</si>
  <si>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</si>
  <si>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</si>
  <si>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</si>
  <si>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</si>
  <si>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</si>
  <si>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</si>
  <si>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</si>
  <si>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</si>
  <si>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</si>
  <si>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</si>
  <si>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</si>
  <si>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</si>
  <si>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</si>
  <si>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</si>
  <si>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</si>
  <si>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</si>
  <si>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</si>
  <si>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</si>
  <si>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</si>
  <si>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</si>
  <si>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</si>
  <si>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</si>
  <si>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</si>
  <si>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</si>
  <si>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</si>
  <si>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</si>
  <si>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</si>
  <si>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</si>
  <si>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</si>
  <si>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</si>
  <si>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</si>
  <si>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</si>
  <si>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</si>
  <si>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</si>
  <si>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</si>
  <si>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</si>
  <si>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</si>
  <si>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</si>
  <si>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</si>
  <si>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</si>
  <si>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</si>
  <si>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</si>
  <si>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</si>
  <si>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</si>
  <si>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</si>
  <si>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</si>
  <si>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</si>
  <si>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</si>
  <si>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</si>
  <si>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</si>
  <si>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</si>
  <si>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</si>
  <si>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</si>
  <si>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</si>
  <si>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</si>
  <si>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</si>
  <si>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</si>
  <si>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</si>
  <si>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</si>
  <si>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</si>
  <si>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</si>
  <si>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</si>
  <si>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</si>
  <si>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</si>
  <si>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</si>
  <si>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</si>
  <si>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</si>
  <si>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</si>
  <si>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</si>
  <si>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</si>
  <si>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</si>
  <si>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</si>
  <si>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</si>
  <si>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</si>
  <si>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</si>
  <si>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</si>
  <si>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</si>
  <si>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</si>
  <si>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</si>
  <si>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</si>
  <si>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</si>
  <si>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</si>
  <si>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</si>
  <si>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</si>
  <si>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</si>
  <si>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</si>
  <si>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</si>
  <si>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</si>
  <si>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</si>
  <si>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</si>
  <si>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</si>
  <si>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</si>
  <si>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</si>
  <si>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</si>
  <si>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</si>
  <si>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</si>
  <si>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</si>
  <si>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</si>
  <si>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</si>
  <si>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</si>
  <si>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</si>
  <si>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</si>
  <si>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</si>
  <si>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</si>
  <si>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</si>
  <si>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</si>
  <si>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</si>
  <si>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</si>
  <si>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</si>
  <si>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</si>
  <si>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</si>
  <si>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</si>
  <si>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</si>
  <si>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</si>
  <si>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</si>
  <si>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</si>
  <si>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</si>
  <si>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</si>
  <si>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</si>
  <si>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</si>
  <si>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</si>
  <si>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</si>
  <si>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</si>
  <si>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</si>
  <si>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</si>
  <si>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</si>
  <si>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</si>
  <si>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</si>
  <si>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</si>
  <si>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</si>
  <si>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</si>
  <si>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</si>
  <si>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</si>
  <si>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</si>
  <si>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</si>
  <si>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</si>
  <si>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</si>
  <si>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</si>
  <si>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</si>
  <si>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</si>
  <si>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</si>
  <si>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</si>
  <si>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</si>
  <si>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</si>
  <si>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</si>
  <si>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</si>
  <si>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</si>
  <si>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</si>
  <si>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</si>
  <si>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</si>
  <si>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</si>
  <si>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</si>
  <si>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</si>
  <si>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</si>
  <si>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</si>
  <si>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</si>
  <si>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</si>
  <si>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</si>
  <si>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</si>
  <si>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</si>
  <si>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</si>
  <si>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</si>
  <si>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</si>
  <si>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</si>
  <si>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</si>
  <si>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</si>
  <si>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</si>
  <si>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</si>
  <si>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</si>
  <si>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</si>
  <si>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</si>
  <si>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</si>
  <si>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</si>
  <si>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</si>
  <si>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</si>
  <si>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</si>
  <si>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</si>
  <si>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</si>
  <si>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</si>
  <si>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</si>
  <si>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</si>
  <si>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</si>
  <si>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</si>
  <si>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</si>
  <si>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</si>
  <si>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</si>
  <si>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</si>
  <si>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</si>
  <si>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</si>
  <si>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</si>
  <si>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</si>
  <si>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</si>
  <si>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</si>
  <si>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</si>
  <si>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</si>
  <si>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</si>
  <si>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</si>
  <si>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</si>
  <si>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</si>
  <si>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</si>
  <si>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</si>
  <si>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</si>
  <si>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</si>
  <si>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</si>
  <si>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</si>
  <si>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</si>
  <si>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</si>
  <si>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</si>
  <si>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</si>
  <si>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</si>
  <si>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</si>
  <si>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</si>
  <si>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</si>
  <si>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</si>
  <si>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</si>
  <si>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</si>
  <si>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</si>
  <si>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</si>
  <si>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</si>
  <si>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</si>
  <si>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</si>
  <si>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</si>
  <si>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</si>
  <si>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</si>
  <si>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</si>
  <si>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</si>
  <si>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</si>
  <si>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</si>
  <si>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</si>
  <si>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</si>
  <si>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</si>
  <si>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</si>
  <si>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</si>
  <si>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</si>
  <si>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</si>
  <si>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</si>
  <si>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</si>
  <si>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</si>
  <si>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</si>
  <si>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</si>
  <si>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</si>
  <si>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</si>
  <si>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</si>
  <si>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</si>
  <si>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</si>
  <si>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</si>
  <si>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</si>
  <si>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</si>
  <si>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</si>
  <si>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</si>
  <si>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</si>
  <si>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</si>
  <si>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</si>
  <si>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</si>
  <si>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</si>
  <si>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</si>
  <si>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</si>
  <si>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</si>
  <si>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</si>
  <si>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</si>
  <si>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</si>
  <si>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</si>
  <si>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</si>
  <si>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</si>
  <si>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</si>
  <si>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</si>
  <si>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</si>
  <si>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</si>
  <si>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</si>
  <si>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</si>
  <si>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</si>
  <si>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</si>
  <si>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</si>
  <si>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</si>
  <si>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</si>
  <si>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</si>
  <si>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</si>
  <si>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</si>
  <si>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</si>
  <si>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</si>
  <si>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</si>
  <si>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</si>
  <si>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</si>
  <si>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</si>
  <si>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</si>
  <si>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</si>
  <si>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</si>
  <si>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</si>
  <si>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</si>
  <si>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</si>
  <si>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</si>
  <si>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</si>
  <si>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</si>
  <si>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</si>
  <si>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</si>
  <si>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</si>
  <si>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</si>
  <si>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</si>
  <si>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</si>
  <si>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</si>
  <si>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</si>
  <si>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</si>
  <si>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</si>
  <si>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</si>
  <si>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</si>
  <si>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</si>
  <si>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</si>
  <si>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</si>
  <si>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</si>
  <si>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</si>
  <si>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</si>
  <si>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</si>
  <si>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</si>
  <si>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</si>
  <si>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</si>
  <si>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</si>
  <si>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</si>
  <si>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</si>
  <si>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</si>
  <si>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</si>
  <si>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</si>
  <si>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</si>
  <si>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</si>
  <si>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</si>
  <si>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</si>
  <si>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</si>
  <si>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</si>
  <si>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</si>
  <si>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</si>
  <si>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</si>
  <si>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</si>
  <si>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</si>
  <si>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</si>
  <si>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</si>
  <si>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</si>
  <si>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</si>
  <si>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</si>
  <si>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</si>
  <si>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</si>
  <si>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</si>
  <si>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</si>
  <si>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</si>
  <si>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</si>
  <si>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</si>
  <si>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</si>
  <si>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</si>
  <si>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</si>
  <si>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</si>
  <si>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</si>
  <si>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</si>
  <si>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</si>
  <si>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</si>
  <si>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</si>
  <si>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</si>
  <si>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</si>
  <si>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</si>
  <si>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</si>
  <si>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</si>
  <si>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</si>
  <si>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</si>
  <si>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</si>
  <si>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</si>
  <si>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</si>
  <si>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</si>
  <si>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</si>
  <si>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</si>
  <si>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</si>
  <si>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</si>
  <si>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</si>
  <si>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</si>
  <si>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</si>
  <si>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</si>
  <si>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</si>
  <si>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</si>
  <si>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</si>
  <si>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</si>
  <si>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</si>
  <si>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</si>
  <si>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</si>
  <si>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</si>
  <si>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</si>
  <si>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</si>
  <si>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</si>
  <si>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</si>
  <si>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</si>
  <si>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</si>
  <si>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</si>
  <si>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</si>
  <si>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</si>
  <si>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</si>
  <si>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</si>
  <si>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</si>
  <si>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</si>
  <si>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</si>
  <si>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</si>
  <si>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</si>
  <si>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</si>
  <si>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</si>
  <si>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</si>
  <si>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</si>
  <si>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</si>
  <si>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</si>
  <si>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</si>
  <si>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</si>
  <si>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</si>
  <si>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</si>
  <si>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</si>
  <si>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</si>
  <si>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</si>
  <si>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</si>
  <si>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</si>
  <si>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</si>
  <si>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</si>
  <si>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</si>
  <si>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</si>
  <si>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</si>
  <si>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</si>
  <si>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</si>
  <si>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</si>
  <si>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</si>
  <si>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</si>
  <si>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</si>
  <si>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</si>
  <si>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</si>
  <si>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</si>
  <si>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</si>
  <si>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</si>
  <si>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</si>
  <si>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</si>
  <si>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</si>
  <si>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</si>
  <si>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</si>
  <si>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</si>
  <si>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</si>
  <si>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</si>
  <si>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</si>
  <si>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</si>
  <si>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</si>
  <si>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</si>
  <si>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</si>
  <si>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</si>
  <si>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</si>
  <si>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</si>
  <si>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</si>
  <si>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</si>
  <si>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</si>
  <si>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</si>
  <si>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</si>
  <si>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</si>
  <si>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</si>
  <si>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</si>
  <si>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</si>
  <si>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</si>
  <si>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</si>
  <si>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</si>
  <si>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</si>
  <si>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</si>
  <si>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</si>
  <si>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</si>
  <si>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</si>
  <si>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</si>
  <si>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</si>
  <si>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</si>
  <si>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</si>
  <si>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</si>
  <si>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</si>
  <si>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</si>
  <si>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</si>
  <si>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</si>
  <si>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</si>
  <si>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</si>
  <si>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</si>
  <si>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</si>
  <si>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</si>
  <si>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</si>
  <si>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</si>
  <si>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</si>
  <si>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</si>
  <si>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</si>
  <si>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</si>
  <si>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</si>
  <si>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</si>
  <si>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</si>
  <si>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</si>
  <si>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</si>
  <si>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</si>
  <si>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</si>
  <si>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</si>
  <si>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</si>
  <si>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</si>
  <si>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</si>
  <si>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</si>
  <si>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</si>
  <si>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</si>
  <si>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</si>
  <si>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</si>
  <si>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</si>
  <si>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</si>
  <si>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</si>
  <si>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</si>
  <si>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</si>
  <si>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</si>
  <si>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</si>
  <si>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</si>
  <si>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</si>
  <si>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</si>
  <si>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</si>
  <si>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</si>
  <si>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</si>
  <si>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</si>
  <si>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</si>
  <si>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</si>
  <si>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</si>
  <si>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</si>
  <si>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</si>
  <si>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</si>
  <si>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</si>
  <si>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</si>
  <si>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</si>
  <si>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</si>
  <si>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</si>
  <si>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</si>
  <si>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</si>
  <si>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</si>
  <si>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</si>
  <si>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</si>
  <si>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</si>
  <si>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</si>
  <si>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</si>
  <si>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</si>
  <si>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</si>
  <si>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</si>
  <si>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</si>
  <si>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</si>
  <si>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</si>
  <si>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</si>
  <si>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</si>
  <si>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</si>
  <si>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</si>
  <si>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</si>
  <si>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</si>
  <si>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</si>
  <si>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</si>
  <si>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</si>
  <si>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</si>
  <si>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</si>
  <si>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</si>
  <si>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</si>
  <si>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</si>
  <si>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</si>
  <si>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</si>
  <si>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</si>
  <si>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</si>
  <si>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</si>
  <si>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</si>
  <si>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</si>
  <si>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</si>
  <si>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</si>
  <si>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</si>
  <si>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</si>
  <si>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</si>
  <si>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</si>
  <si>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</si>
  <si>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</si>
  <si>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</si>
  <si>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</si>
  <si>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</si>
  <si>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</si>
  <si>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</si>
  <si>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</si>
  <si>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</si>
  <si>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</si>
  <si>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</si>
  <si>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</si>
  <si>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</si>
  <si>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</si>
  <si>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</si>
  <si>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</si>
  <si>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</si>
  <si>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</si>
  <si>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</si>
  <si>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</si>
  <si>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</si>
  <si>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</si>
  <si>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</si>
  <si>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</si>
  <si>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</si>
  <si>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</si>
  <si>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</si>
  <si>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</si>
  <si>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</si>
  <si>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</si>
  <si>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</si>
  <si>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</si>
  <si>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</si>
  <si>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</si>
  <si>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</si>
  <si>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</si>
  <si>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</si>
  <si>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</si>
  <si>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</si>
  <si>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</si>
  <si>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</si>
  <si>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</si>
  <si>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</si>
  <si>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</si>
  <si>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</si>
  <si>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</si>
  <si>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</si>
  <si>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</si>
  <si>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</si>
  <si>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</si>
  <si>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</si>
  <si>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</si>
  <si>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</si>
  <si>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</si>
  <si>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</si>
  <si>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</si>
  <si>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</si>
  <si>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</si>
  <si>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</si>
  <si>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</si>
  <si>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</si>
  <si>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</si>
  <si>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</si>
  <si>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</si>
  <si>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</si>
  <si>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</si>
  <si>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</si>
  <si>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</si>
  <si>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</si>
  <si>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</si>
  <si>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</si>
  <si>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</si>
  <si>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</si>
  <si>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</si>
  <si>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</si>
  <si>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</si>
  <si>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</si>
  <si>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</si>
  <si>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</si>
  <si>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</si>
  <si>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</si>
  <si>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</si>
  <si>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</si>
  <si>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</si>
  <si>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</si>
  <si>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</si>
  <si>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</si>
  <si>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</si>
  <si>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</si>
  <si>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</si>
  <si>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</si>
  <si>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</si>
  <si>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</si>
  <si>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</si>
  <si>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</si>
  <si>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</si>
  <si>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</si>
  <si>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</si>
  <si>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</si>
  <si>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</si>
  <si>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</si>
  <si>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</si>
  <si>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</si>
  <si>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</si>
  <si>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</si>
  <si>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</si>
  <si>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</si>
  <si>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</si>
  <si>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</si>
  <si>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</si>
  <si>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</si>
  <si>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</si>
  <si>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</si>
  <si>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</si>
  <si>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</si>
  <si>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</si>
  <si>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</si>
  <si>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</si>
  <si>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</si>
  <si>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</si>
  <si>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</si>
  <si>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</si>
  <si>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</si>
  <si>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</si>
  <si>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</si>
  <si>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</si>
  <si>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</si>
  <si>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</si>
  <si>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</si>
  <si>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</si>
  <si>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</si>
  <si>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</si>
  <si>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</si>
  <si>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</si>
  <si>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</si>
  <si>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</si>
  <si>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</si>
  <si>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</si>
  <si>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</si>
  <si>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</si>
  <si>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</si>
  <si>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</si>
  <si>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</si>
  <si>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</si>
  <si>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</si>
  <si>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</si>
  <si>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</si>
  <si>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</si>
  <si>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</si>
  <si>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</si>
  <si>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</si>
  <si>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</si>
  <si>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</si>
  <si>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</si>
  <si>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</si>
  <si>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</si>
  <si>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</si>
  <si>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</si>
  <si>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</si>
  <si>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</si>
  <si>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</si>
  <si>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</si>
  <si>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</si>
  <si>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</si>
  <si>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</si>
  <si>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</si>
  <si>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</si>
  <si>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</si>
  <si>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</si>
  <si>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</si>
  <si>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</si>
  <si>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</si>
  <si>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</si>
  <si>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</si>
  <si>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</si>
  <si>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</si>
  <si>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</si>
  <si>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</si>
  <si>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</si>
  <si>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</si>
  <si>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</si>
  <si>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</si>
  <si>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</si>
  <si>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</si>
  <si>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</si>
  <si>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</si>
  <si>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</si>
  <si>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</si>
  <si>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</si>
  <si>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</si>
  <si>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</si>
  <si>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</si>
  <si>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</si>
  <si>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</si>
  <si>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</si>
  <si>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</si>
  <si>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</si>
  <si>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</si>
  <si>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</si>
  <si>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</si>
  <si>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</si>
  <si>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</si>
  <si>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</si>
  <si>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</si>
  <si>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</si>
  <si>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</si>
  <si>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</si>
  <si>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</si>
  <si>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</si>
  <si>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</si>
  <si>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</si>
  <si>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</si>
  <si>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</si>
  <si>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</si>
  <si>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</si>
  <si>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</si>
  <si>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</si>
  <si>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</si>
  <si>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</si>
  <si>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</si>
  <si>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</si>
  <si>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</si>
  <si>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</si>
  <si>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</si>
  <si>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</si>
  <si>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</si>
  <si>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</si>
  <si>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</si>
  <si>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</si>
  <si>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</si>
  <si>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</si>
  <si>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</si>
  <si>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</si>
  <si>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</si>
  <si>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</si>
  <si>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</si>
  <si>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</si>
  <si>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</si>
  <si>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</si>
  <si>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</si>
  <si>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</si>
  <si>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</si>
  <si>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</si>
  <si>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</si>
  <si>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</si>
  <si>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</si>
  <si>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</si>
  <si>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</si>
  <si>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</si>
  <si>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</si>
  <si>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</si>
  <si>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</si>
  <si>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</si>
  <si>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</si>
  <si>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</si>
  <si>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</si>
  <si>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</si>
  <si>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</si>
  <si>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</si>
  <si>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</si>
  <si>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</si>
  <si>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</si>
  <si>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</si>
  <si>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</si>
  <si>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</si>
  <si>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</si>
  <si>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</si>
  <si>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</si>
  <si>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</si>
  <si>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</si>
  <si>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</si>
  <si>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</si>
  <si>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</si>
  <si>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</si>
  <si>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</si>
  <si>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</si>
  <si>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</si>
  <si>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</si>
  <si>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</si>
  <si>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</si>
  <si>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</si>
  <si>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</si>
  <si>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</si>
  <si>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</si>
  <si>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</si>
  <si>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</si>
  <si>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</si>
  <si>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</si>
  <si>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</si>
  <si>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</si>
  <si>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</si>
  <si>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</si>
  <si>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</si>
  <si>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</si>
  <si>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</si>
  <si>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</si>
  <si>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</si>
  <si>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</si>
  <si>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</si>
  <si>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</si>
  <si>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</si>
  <si>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</si>
  <si>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</si>
  <si>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</si>
  <si>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</si>
  <si>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</si>
  <si>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</si>
  <si>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</si>
  <si>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</si>
  <si>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</si>
  <si>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</si>
  <si>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</si>
  <si>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</si>
  <si>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</si>
  <si>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</si>
  <si>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</si>
  <si>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</si>
  <si>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</si>
  <si>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</si>
  <si>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</si>
  <si>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</si>
  <si>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</si>
  <si>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</si>
  <si>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</si>
  <si>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</si>
  <si>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</si>
  <si>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</si>
  <si>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</si>
  <si>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</si>
  <si>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</si>
  <si>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</si>
  <si>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</si>
  <si>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</si>
  <si>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</si>
  <si>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</si>
  <si>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</si>
  <si>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</si>
  <si>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</si>
  <si>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</si>
  <si>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</si>
  <si>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</si>
  <si>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</si>
  <si>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</si>
  <si>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</si>
  <si>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</si>
  <si>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</si>
  <si>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</si>
  <si>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</si>
  <si>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</si>
  <si>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</si>
  <si>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</si>
  <si>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</si>
  <si>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</si>
  <si>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</si>
  <si>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</si>
  <si>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</si>
  <si>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</si>
  <si>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</si>
  <si>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</si>
  <si>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</si>
  <si>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</si>
  <si>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</si>
  <si>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</si>
  <si>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</si>
  <si>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</si>
  <si>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</si>
  <si>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</si>
  <si>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</si>
  <si>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</si>
  <si>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</si>
  <si>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</si>
  <si>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</si>
  <si>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</si>
  <si>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</si>
  <si>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</si>
  <si>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</si>
  <si>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</si>
  <si>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</si>
  <si>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</si>
  <si>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</si>
  <si>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</si>
  <si>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</si>
  <si>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</si>
  <si>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</si>
  <si>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</si>
  <si>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</si>
  <si>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</si>
  <si>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</si>
  <si>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</si>
  <si>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</si>
  <si>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</si>
  <si>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</si>
  <si>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</si>
  <si>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</si>
  <si>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</si>
  <si>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</si>
  <si>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</si>
  <si>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</si>
  <si>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</si>
  <si>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</si>
  <si>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</si>
  <si>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</si>
  <si>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</si>
  <si>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</si>
  <si>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</si>
  <si>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</si>
  <si>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</si>
  <si>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</si>
  <si>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</si>
  <si>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</si>
  <si>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</si>
  <si>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</si>
  <si>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</si>
  <si>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</si>
  <si>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</si>
  <si>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</si>
  <si>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</si>
  <si>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</si>
  <si>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</si>
  <si>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</si>
  <si>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</si>
  <si>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</si>
  <si>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</si>
  <si>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</si>
  <si>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</si>
  <si>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</si>
  <si>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</si>
  <si>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</si>
  <si>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</si>
  <si>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</si>
  <si>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</si>
  <si>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</si>
  <si>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</si>
  <si>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</si>
  <si>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</si>
  <si>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</si>
  <si>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</si>
  <si>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</si>
  <si>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</si>
  <si>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</si>
  <si>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</si>
  <si>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</si>
  <si>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</si>
  <si>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</si>
  <si>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</si>
  <si>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</si>
  <si>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</si>
  <si>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</si>
  <si>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</si>
  <si>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</si>
  <si>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</si>
  <si>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</si>
  <si>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</si>
  <si>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</si>
  <si>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</si>
  <si>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</si>
  <si>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</si>
  <si>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</si>
  <si>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</si>
  <si>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</si>
  <si>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</si>
  <si>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</si>
  <si>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</si>
  <si>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</si>
  <si>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</si>
  <si>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</si>
  <si>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</si>
  <si>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</si>
  <si>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</si>
  <si>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</si>
  <si>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</si>
  <si>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</si>
  <si>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</si>
  <si>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</si>
  <si>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</si>
  <si>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</si>
  <si>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</si>
  <si>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</si>
  <si>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</si>
  <si>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</si>
  <si>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</si>
  <si>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</si>
  <si>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</si>
  <si>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</si>
  <si>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</si>
  <si>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</si>
  <si>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</si>
  <si>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</si>
  <si>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</si>
  <si>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</si>
  <si>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</si>
  <si>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</si>
  <si>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</si>
  <si>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</si>
  <si>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</si>
  <si>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</si>
  <si>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</si>
  <si>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</si>
  <si>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</si>
  <si>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</si>
  <si>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</si>
  <si>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</si>
  <si>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</si>
  <si>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</si>
  <si>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</si>
  <si>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</si>
  <si>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</si>
  <si>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</si>
  <si>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</si>
  <si>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</si>
  <si>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</si>
  <si>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</si>
  <si>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</si>
  <si>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</si>
  <si>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</si>
  <si>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</si>
  <si>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</si>
  <si>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</si>
  <si>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</si>
  <si>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</si>
  <si>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</si>
  <si>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</si>
  <si>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</si>
  <si>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</si>
  <si>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</si>
  <si>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</si>
  <si>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</si>
  <si>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</si>
  <si>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</si>
  <si>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</si>
  <si>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</si>
  <si>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</si>
  <si>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</si>
  <si>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</si>
  <si>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</si>
  <si>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</si>
  <si>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</si>
  <si>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</si>
  <si>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</si>
  <si>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</si>
  <si>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</si>
  <si>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</si>
  <si>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</si>
  <si>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</si>
  <si>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</si>
  <si>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</si>
  <si>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</si>
  <si>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</si>
  <si>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</si>
  <si>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</si>
  <si>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</si>
  <si>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</si>
  <si>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</si>
  <si>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</si>
  <si>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</si>
  <si>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</si>
  <si>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</si>
  <si>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</si>
  <si>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</si>
  <si>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</si>
  <si>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</si>
  <si>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</si>
  <si>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</si>
  <si>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</si>
  <si>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</si>
  <si>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</si>
  <si>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</si>
  <si>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</si>
  <si>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</si>
  <si>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</si>
  <si>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</si>
  <si>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</si>
  <si>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</si>
  <si>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</si>
  <si>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</si>
  <si>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</si>
  <si>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</si>
  <si>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</si>
  <si>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</si>
  <si>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</si>
  <si>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</si>
  <si>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</si>
  <si>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</si>
  <si>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</si>
  <si>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</si>
  <si>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</si>
  <si>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</si>
  <si>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</si>
  <si>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</si>
  <si>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</si>
  <si>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</si>
  <si>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</si>
  <si>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</si>
  <si>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</si>
  <si>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</si>
  <si>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</si>
  <si>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</si>
  <si>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</si>
  <si>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</si>
  <si>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</si>
  <si>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</si>
  <si>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</si>
  <si>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</si>
  <si>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2002</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</si>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</sst>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33200</v>
      </c>
      <c r="F24" s="3419" t="str">
        <f t="shared" si="0"/>
        <v>NA</v>
      </c>
      <c r="G24" s="3395">
        <v>730.70181818181834</v>
      </c>
      <c r="H24" s="3374">
        <f t="shared" si="1"/>
        <v>2679.2400000000007</v>
      </c>
      <c r="I24" s="2579" t="s">
        <v>2147</v>
      </c>
      <c r="J24" s="2580"/>
      <c r="M24" s="125"/>
    </row>
    <row r="25" spans="2:13" ht="18" customHeight="1" x14ac:dyDescent="0.2">
      <c r="B25" s="165"/>
      <c r="C25" s="1563"/>
      <c r="D25" s="1452" t="s">
        <v>1789</v>
      </c>
      <c r="E25" s="3414">
        <v>21500</v>
      </c>
      <c r="F25" s="3419" t="str">
        <f t="shared" si="0"/>
        <v>NA</v>
      </c>
      <c r="G25" s="3395">
        <v>408.31431818181824</v>
      </c>
      <c r="H25" s="3374">
        <f t="shared" si="1"/>
        <v>1497.1525000000001</v>
      </c>
      <c r="I25" s="2579" t="s">
        <v>2147</v>
      </c>
      <c r="J25" s="2580"/>
      <c r="M25" s="125"/>
    </row>
    <row r="26" spans="2:13" ht="18" customHeight="1" x14ac:dyDescent="0.2">
      <c r="B26" s="165"/>
      <c r="C26" s="1563"/>
      <c r="D26" s="1452" t="s">
        <v>1790</v>
      </c>
      <c r="E26" s="3418">
        <v>14419.653290218332</v>
      </c>
      <c r="F26" s="3419">
        <f t="shared" si="0"/>
        <v>25.261363636363637</v>
      </c>
      <c r="G26" s="3395">
        <v>364.26010527449256</v>
      </c>
      <c r="H26" s="3374">
        <f t="shared" si="1"/>
        <v>1335.6203860064727</v>
      </c>
      <c r="I26" s="3395">
        <v>1335.6203860064729</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38747.75910908285</v>
      </c>
      <c r="F28" s="3419">
        <f>IF(I28="NA","NA",I28/(44/12)*1000/E28)</f>
        <v>0.92100817066812191</v>
      </c>
      <c r="G28" s="3395">
        <v>677.49705001130201</v>
      </c>
      <c r="H28" s="3374">
        <f>IF(G28="NA","NA",IF(G28="NO","NO",G28*44/12))</f>
        <v>2484.1558500414408</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124763.54358530675</v>
      </c>
      <c r="F31" s="3359">
        <f t="shared" ref="F31" si="3">IF(I31="NA","NA",I31/(44/12)*1000/E31)</f>
        <v>3.2056408187506742</v>
      </c>
      <c r="G31" s="3423">
        <f>SUM(G11:G29)</f>
        <v>2441.1273131065172</v>
      </c>
      <c r="H31" s="3371">
        <f t="shared" ref="H31" si="4">IF(G31="NA","NA",IF(G31="NO","NO",G31*44/12))</f>
        <v>8950.8001480572293</v>
      </c>
      <c r="I31" s="3423">
        <f>SUM(I11:I29)</f>
        <v>1466.472729366473</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11461.082166146434</v>
      </c>
      <c r="F35" s="3419">
        <f>IF(I35="NA","NA",I35/(44/12)*1000/E35)</f>
        <v>24.595039391960459</v>
      </c>
      <c r="G35" s="3399">
        <v>281.88576735086701</v>
      </c>
      <c r="H35" s="3396">
        <f t="shared" si="5"/>
        <v>1033.5811469531791</v>
      </c>
      <c r="I35" s="3395">
        <v>1033.5811469531791</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74580.5715968</v>
      </c>
      <c r="F41" s="3419">
        <f t="shared" ref="F41" si="8">IF(I41="NA","NA",I41/(44/12)*1000/E41)</f>
        <v>28.733931100108027</v>
      </c>
      <c r="G41" s="3395">
        <v>2168.597602316795</v>
      </c>
      <c r="H41" s="3396">
        <f t="shared" si="5"/>
        <v>7951.5245418282475</v>
      </c>
      <c r="I41" s="3395">
        <v>7857.6410207867912</v>
      </c>
      <c r="J41" s="3416" t="s">
        <v>2274</v>
      </c>
      <c r="M41" s="125"/>
    </row>
    <row r="42" spans="2:13" ht="18" customHeight="1" x14ac:dyDescent="0.2">
      <c r="B42" s="1434"/>
      <c r="C42" s="1564"/>
      <c r="D42" s="1452" t="s">
        <v>1792</v>
      </c>
      <c r="E42" s="3414">
        <v>5466.095667160499</v>
      </c>
      <c r="F42" s="3419">
        <f>IF(I42="NA","NA",I42/(44/12)*1000/E42)</f>
        <v>22.309090909090912</v>
      </c>
      <c r="G42" s="3395">
        <v>121.9436251564715</v>
      </c>
      <c r="H42" s="3396">
        <f t="shared" si="5"/>
        <v>447.12662557372886</v>
      </c>
      <c r="I42" s="3395">
        <v>447.12662557372886</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91507.749430106924</v>
      </c>
      <c r="F45" s="3343">
        <f>IF(I45="NA","NA",I45/(44/12)*1000/E45)</f>
        <v>27.831767408089423</v>
      </c>
      <c r="G45" s="3423">
        <f>SUM(G33:G43)</f>
        <v>2572.4269948241335</v>
      </c>
      <c r="H45" s="3371">
        <f t="shared" ref="H45" si="9">IF(G45="NA","NA",IF(G45="NO","NO",G45*44/12))</f>
        <v>9432.2323143551566</v>
      </c>
      <c r="I45" s="3423">
        <f>SUM(I33:I43)</f>
        <v>9338.3487933136985</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25753.109397680531</v>
      </c>
      <c r="F47" s="3419">
        <f t="shared" ref="F47" si="10">IF(I47="NA","NA",I47/(44/12)*1000/E47)</f>
        <v>14.021432274344994</v>
      </c>
      <c r="G47" s="3395">
        <v>361.09547927337513</v>
      </c>
      <c r="H47" s="3374">
        <f t="shared" ref="H47" si="11">IF(G47="NA","NA",IF(G47="NO","NO",G47*44/12))</f>
        <v>1324.0167573357087</v>
      </c>
      <c r="I47" s="3395">
        <v>1324.0167573357089</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25753.109397680531</v>
      </c>
      <c r="F50" s="3343">
        <f>IF(I50="NA","NA",I50/(44/12)*1000/E50)</f>
        <v>14.021432274344994</v>
      </c>
      <c r="G50" s="3423">
        <f>SUM(G47:G48)</f>
        <v>361.09547927337513</v>
      </c>
      <c r="H50" s="3397">
        <f t="shared" ref="H50" si="13">IF(G50="NA","NA",IF(G50="NO","NO",G50*44/12))</f>
        <v>1324.0167573357087</v>
      </c>
      <c r="I50" s="3423">
        <f>SUM(I47:I48)</f>
        <v>1324.0167573357089</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242024.40241309421</v>
      </c>
      <c r="F55" s="3354">
        <f t="shared" si="14"/>
        <v>13.667485396009438</v>
      </c>
      <c r="G55" s="3423">
        <f>SUM(G31,G45,G50,G54)</f>
        <v>5374.6497872040263</v>
      </c>
      <c r="H55" s="3398">
        <f t="shared" si="15"/>
        <v>19707.049219748096</v>
      </c>
      <c r="I55" s="3423">
        <f>SUM(I31,I45,I50,I54)</f>
        <v>12128.83828001588</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411.801491</v>
      </c>
      <c r="D10" s="3127"/>
      <c r="E10" s="3127"/>
      <c r="F10" s="3078">
        <f>SUM(F11,F18)</f>
        <v>985.62411126047175</v>
      </c>
      <c r="G10" s="3078">
        <f>SUM(G11,G18)</f>
        <v>1239.4846044535864</v>
      </c>
      <c r="H10" s="3078">
        <f>H11</f>
        <v>-2.7663645905499998</v>
      </c>
      <c r="I10" s="3128" t="s">
        <v>2146</v>
      </c>
      <c r="L10" s="3750"/>
    </row>
    <row r="11" spans="2:12" ht="18" customHeight="1" x14ac:dyDescent="0.2">
      <c r="B11" s="1252" t="s">
        <v>334</v>
      </c>
      <c r="C11" s="3033">
        <v>91.367572999999993</v>
      </c>
      <c r="D11" s="3078">
        <f>IFERROR(SUM(F11,H11)/$C$11,"NA")</f>
        <v>7.9247868370637109</v>
      </c>
      <c r="E11" s="3078">
        <f>IFERROR(SUM(G11,I11)/$C$11,"NA")</f>
        <v>12.516420551095875</v>
      </c>
      <c r="F11" s="3078">
        <f>SUM(F12:F16)</f>
        <v>726.83490443540768</v>
      </c>
      <c r="G11" s="3078">
        <f>SUM(G12:G16)</f>
        <v>1143.5949684009524</v>
      </c>
      <c r="H11" s="3078">
        <f>H12</f>
        <v>-2.7663645905499998</v>
      </c>
      <c r="I11" s="3128" t="s">
        <v>2146</v>
      </c>
    </row>
    <row r="12" spans="2:12" ht="18" customHeight="1" x14ac:dyDescent="0.2">
      <c r="B12" s="160" t="s">
        <v>335</v>
      </c>
      <c r="C12" s="3046"/>
      <c r="D12" s="3078">
        <f t="shared" ref="D12:D14" si="0">IFERROR(SUM(F12,H12)/$C$11,"NA")</f>
        <v>6.9460189984473795</v>
      </c>
      <c r="E12" s="3078">
        <f>IFERROR(SUM(G12,I12)/$C$11,"NA")</f>
        <v>12.430908595767264</v>
      </c>
      <c r="F12" s="3126">
        <v>637.40726249057775</v>
      </c>
      <c r="G12" s="3126">
        <v>1135.7819485800928</v>
      </c>
      <c r="H12" s="3126">
        <v>-2.7663645905499998</v>
      </c>
      <c r="I12" s="3034" t="s">
        <v>2146</v>
      </c>
    </row>
    <row r="13" spans="2:12" ht="18" customHeight="1" x14ac:dyDescent="0.2">
      <c r="B13" s="160" t="s">
        <v>336</v>
      </c>
      <c r="C13" s="3046"/>
      <c r="D13" s="3078">
        <f t="shared" si="0"/>
        <v>0.35083492540231698</v>
      </c>
      <c r="E13" s="3078" t="s">
        <v>2147</v>
      </c>
      <c r="F13" s="3126">
        <v>32.05493565764575</v>
      </c>
      <c r="G13" s="3126" t="s">
        <v>2154</v>
      </c>
      <c r="H13" s="3126" t="s">
        <v>2146</v>
      </c>
      <c r="I13" s="3034" t="s">
        <v>2146</v>
      </c>
    </row>
    <row r="14" spans="2:12" ht="18" customHeight="1" x14ac:dyDescent="0.2">
      <c r="B14" s="160" t="s">
        <v>337</v>
      </c>
      <c r="C14" s="3046"/>
      <c r="D14" s="3078">
        <f t="shared" si="0"/>
        <v>0.62766113103041332</v>
      </c>
      <c r="E14" s="3078" t="s">
        <v>2147</v>
      </c>
      <c r="F14" s="3126">
        <v>57.347874208683848</v>
      </c>
      <c r="G14" s="3126" t="s">
        <v>2147</v>
      </c>
      <c r="H14" s="3126" t="s">
        <v>2146</v>
      </c>
      <c r="I14" s="3034" t="s">
        <v>2146</v>
      </c>
    </row>
    <row r="15" spans="2:12" ht="18" customHeight="1" x14ac:dyDescent="0.2">
      <c r="B15" s="160" t="s">
        <v>338</v>
      </c>
      <c r="C15" s="3033">
        <v>2.7663645905499998E-3</v>
      </c>
      <c r="D15" s="3078">
        <f>IFERROR(SUM(F15,H15)/$C15,"NA")</f>
        <v>8.976430144180453</v>
      </c>
      <c r="E15" s="3078">
        <f>IFERROR(SUM(G15,I15)/$C15,"NA")</f>
        <v>2824.2914356079968</v>
      </c>
      <c r="F15" s="3126">
        <v>2.4832078500406436E-2</v>
      </c>
      <c r="G15" s="3126">
        <v>7.8130198208595871</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320.43391800000001</v>
      </c>
      <c r="D18" s="3078">
        <f>IFERROR(SUM(F18,H18)/$C$18,"NA")</f>
        <v>0.80762114210725988</v>
      </c>
      <c r="E18" s="3078">
        <f>IFERROR(SUM(G18,I18)/$C$18,"NA")</f>
        <v>0.29924933244000101</v>
      </c>
      <c r="F18" s="3078">
        <f>SUM(F19:F21)</f>
        <v>258.78920682506407</v>
      </c>
      <c r="G18" s="3131">
        <f t="shared" ref="G18" si="2">SUM(G19:G21)</f>
        <v>95.889636052634032</v>
      </c>
      <c r="H18" s="3078" t="s">
        <v>2146</v>
      </c>
      <c r="I18" s="3128" t="s">
        <v>2146</v>
      </c>
    </row>
    <row r="19" spans="2:9" ht="18" customHeight="1" x14ac:dyDescent="0.2">
      <c r="B19" s="160" t="s">
        <v>341</v>
      </c>
      <c r="C19" s="3046"/>
      <c r="D19" s="3078">
        <f>IFERROR(SUM(F19,H19)/$C$18,"NA")</f>
        <v>0.80762114210725988</v>
      </c>
      <c r="E19" s="3078">
        <f>IFERROR(SUM(G19,I19)/$C$18,"NA")</f>
        <v>0.29924933244000101</v>
      </c>
      <c r="F19" s="3126">
        <v>258.78920682506407</v>
      </c>
      <c r="G19" s="3126">
        <v>95.889636052634032</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476.74708878590155</v>
      </c>
      <c r="J10" s="3145">
        <f>IF(SUM(J11:J16)=0,"NO",SUM(J11:J16))</f>
        <v>4.4585342841606055</v>
      </c>
      <c r="K10" s="1913">
        <f>IF(SUM(K11:K16)=0,"NO",SUM(K11:K16))</f>
        <v>1.4543676991657485E-2</v>
      </c>
      <c r="L10" s="3146" t="s">
        <v>2146</v>
      </c>
    </row>
    <row r="11" spans="2:12" ht="18" customHeight="1" x14ac:dyDescent="0.2">
      <c r="B11" s="1252" t="s">
        <v>363</v>
      </c>
      <c r="C11" s="2165" t="s">
        <v>2159</v>
      </c>
      <c r="D11" s="2165" t="s">
        <v>2275</v>
      </c>
      <c r="E11" s="691">
        <v>1656.4991344831501</v>
      </c>
      <c r="F11" s="1913">
        <f>I11*1000000/$E11</f>
        <v>3199.9999999999914</v>
      </c>
      <c r="G11" s="1913">
        <f>J11*1000000/$E11</f>
        <v>0.33333333333333237</v>
      </c>
      <c r="H11" s="1913">
        <f>K11*1000000/$E11</f>
        <v>0.22580645161290258</v>
      </c>
      <c r="I11" s="3141">
        <v>5.300797230346066</v>
      </c>
      <c r="J11" s="691">
        <v>5.5216637816104847E-4</v>
      </c>
      <c r="K11" s="3142">
        <v>3.7404819165748446E-4</v>
      </c>
      <c r="L11" s="3093" t="s">
        <v>2146</v>
      </c>
    </row>
    <row r="12" spans="2:12" ht="18" customHeight="1" x14ac:dyDescent="0.2">
      <c r="B12" s="1252" t="s">
        <v>364</v>
      </c>
      <c r="C12" s="2165" t="s">
        <v>2160</v>
      </c>
      <c r="D12" s="2165" t="s">
        <v>2161</v>
      </c>
      <c r="E12" s="691">
        <v>1335.7</v>
      </c>
      <c r="F12" s="1913" t="s">
        <v>2147</v>
      </c>
      <c r="G12" s="1913">
        <f>J12*1000000/$E12</f>
        <v>1060.4926255895784</v>
      </c>
      <c r="H12" s="3096"/>
      <c r="I12" s="3147" t="s">
        <v>2147</v>
      </c>
      <c r="J12" s="691">
        <v>1.4165000000000001</v>
      </c>
      <c r="K12" s="3046"/>
      <c r="L12" s="3093" t="s">
        <v>2146</v>
      </c>
    </row>
    <row r="13" spans="2:12" ht="18" customHeight="1" x14ac:dyDescent="0.2">
      <c r="B13" s="1252" t="s">
        <v>365</v>
      </c>
      <c r="C13" s="2165" t="s">
        <v>2162</v>
      </c>
      <c r="D13" s="2165" t="s">
        <v>2161</v>
      </c>
      <c r="E13" s="691">
        <v>1132.0015424000001</v>
      </c>
      <c r="F13" s="1913" t="s">
        <v>2147</v>
      </c>
      <c r="G13" s="1913">
        <f>J13*1000000/$E13</f>
        <v>183.68406870467518</v>
      </c>
      <c r="H13" s="3096"/>
      <c r="I13" s="3147" t="s">
        <v>2147</v>
      </c>
      <c r="J13" s="691">
        <v>0.20793064908799988</v>
      </c>
      <c r="K13" s="3046"/>
      <c r="L13" s="3093" t="s">
        <v>2146</v>
      </c>
    </row>
    <row r="14" spans="2:12" ht="18" customHeight="1" x14ac:dyDescent="0.2">
      <c r="B14" s="1252" t="s">
        <v>366</v>
      </c>
      <c r="C14" s="2165" t="s">
        <v>2163</v>
      </c>
      <c r="D14" s="2165" t="s">
        <v>2161</v>
      </c>
      <c r="E14" s="691">
        <v>1667.8</v>
      </c>
      <c r="F14" s="1913">
        <f>I14*1000000/$E14</f>
        <v>282675.5555555555</v>
      </c>
      <c r="G14" s="1913">
        <f>J14*1000000/$E14</f>
        <v>1667.7423620604657</v>
      </c>
      <c r="H14" s="1913">
        <f>K14*1000000/$E14</f>
        <v>8.4960000000000004</v>
      </c>
      <c r="I14" s="3147">
        <v>471.44629155555549</v>
      </c>
      <c r="J14" s="691">
        <v>2.7814607114444443</v>
      </c>
      <c r="K14" s="3142">
        <v>1.41696288E-2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5.2090757250000001E-2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2107</v>
      </c>
      <c r="F18" s="1913" t="s">
        <v>2147</v>
      </c>
      <c r="G18" s="1913">
        <f>J18*1000000/$E18</f>
        <v>24.722713455149503</v>
      </c>
      <c r="H18" s="3148"/>
      <c r="I18" s="3150" t="s">
        <v>2147</v>
      </c>
      <c r="J18" s="2190">
        <v>5.2090757250000001E-2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202.01053298878887</v>
      </c>
      <c r="J21" s="3155">
        <f>IF(SUM(J22:J27)=0,"NO",SUM(J22:J27))</f>
        <v>134.65829857770746</v>
      </c>
      <c r="K21" s="3067">
        <f>IF(SUM(K22:K27)=0,"NO",SUM(K22:K27))</f>
        <v>5.6954820609795669E-3</v>
      </c>
      <c r="L21" s="3068" t="str">
        <f>IF(SUM(L22:L27)=0,"NO",SUM(L22:L27))</f>
        <v>NO</v>
      </c>
    </row>
    <row r="22" spans="2:12" ht="18" customHeight="1" x14ac:dyDescent="0.2">
      <c r="B22" s="1469" t="s">
        <v>371</v>
      </c>
      <c r="C22" s="2165" t="s">
        <v>2164</v>
      </c>
      <c r="D22" s="2165" t="s">
        <v>2147</v>
      </c>
      <c r="E22" s="691">
        <v>282.15650361692553</v>
      </c>
      <c r="F22" s="1913">
        <f>I22*1000000/$E22</f>
        <v>685351.65624040004</v>
      </c>
      <c r="G22" s="1913">
        <f>J22*1000000/$E22</f>
        <v>10555.907563757633</v>
      </c>
      <c r="H22" s="1913">
        <f>K22*1000000/$E22</f>
        <v>20.185542377970961</v>
      </c>
      <c r="I22" s="3141">
        <v>193.37642707286034</v>
      </c>
      <c r="J22" s="692">
        <v>2.9784179706933123</v>
      </c>
      <c r="K22" s="4141">
        <v>5.6954820609795669E-3</v>
      </c>
      <c r="L22" s="3156" t="s">
        <v>2146</v>
      </c>
    </row>
    <row r="23" spans="2:12" ht="18" customHeight="1" x14ac:dyDescent="0.2">
      <c r="B23" s="1252" t="s">
        <v>372</v>
      </c>
      <c r="C23" s="2165" t="s">
        <v>2165</v>
      </c>
      <c r="D23" s="2165" t="s">
        <v>2161</v>
      </c>
      <c r="E23" s="691">
        <v>2731.5369661841601</v>
      </c>
      <c r="F23" s="1913">
        <f>I23*1000000/$E23</f>
        <v>181.94125556494606</v>
      </c>
      <c r="G23" s="1913">
        <f>J23*1000000/$E23</f>
        <v>2629.3727082926239</v>
      </c>
      <c r="H23" s="3096"/>
      <c r="I23" s="3147">
        <v>0.49697926524960967</v>
      </c>
      <c r="J23" s="691">
        <v>7.1822287505770621</v>
      </c>
      <c r="K23" s="3046"/>
      <c r="L23" s="3156" t="s">
        <v>2146</v>
      </c>
    </row>
    <row r="24" spans="2:12" ht="18" customHeight="1" x14ac:dyDescent="0.2">
      <c r="B24" s="1252" t="s">
        <v>373</v>
      </c>
      <c r="C24" s="2165" t="s">
        <v>2165</v>
      </c>
      <c r="D24" s="2165" t="s">
        <v>2161</v>
      </c>
      <c r="E24" s="691">
        <v>2731.5369661841601</v>
      </c>
      <c r="F24" s="1913">
        <f t="shared" ref="F24:F26" si="0">I24*1000000/$E24</f>
        <v>888.15065239893261</v>
      </c>
      <c r="G24" s="1913">
        <f t="shared" ref="G24:G26" si="1">J24*1000000/$E24</f>
        <v>4989.7659344144431</v>
      </c>
      <c r="H24" s="1879"/>
      <c r="I24" s="691">
        <v>2.4260163385682629</v>
      </c>
      <c r="J24" s="691">
        <v>13.629730102459499</v>
      </c>
      <c r="K24" s="1914"/>
      <c r="L24" s="3093" t="str">
        <f>IF(Table1.C!E21="NO","NO",-Table1.C!E21)</f>
        <v>NO</v>
      </c>
    </row>
    <row r="25" spans="2:12" ht="18" customHeight="1" x14ac:dyDescent="0.2">
      <c r="B25" s="1252" t="s">
        <v>374</v>
      </c>
      <c r="C25" s="2165" t="s">
        <v>2276</v>
      </c>
      <c r="D25" s="2165" t="s">
        <v>2171</v>
      </c>
      <c r="E25" s="691">
        <v>20109</v>
      </c>
      <c r="F25" s="1913">
        <f t="shared" si="0"/>
        <v>20</v>
      </c>
      <c r="G25" s="1913">
        <f t="shared" si="1"/>
        <v>414.28571428571422</v>
      </c>
      <c r="H25" s="3096"/>
      <c r="I25" s="3147">
        <v>0.40217999999999998</v>
      </c>
      <c r="J25" s="691">
        <v>8.3308714285714274</v>
      </c>
      <c r="K25" s="3046"/>
      <c r="L25" s="3093" t="s">
        <v>2146</v>
      </c>
    </row>
    <row r="26" spans="2:12" ht="18" customHeight="1" x14ac:dyDescent="0.2">
      <c r="B26" s="1252" t="s">
        <v>375</v>
      </c>
      <c r="C26" s="2165" t="s">
        <v>2166</v>
      </c>
      <c r="D26" s="2165" t="s">
        <v>2161</v>
      </c>
      <c r="E26" s="691">
        <v>357.32356130555502</v>
      </c>
      <c r="F26" s="1913">
        <f t="shared" si="0"/>
        <v>13588.119449534299</v>
      </c>
      <c r="G26" s="1913">
        <f t="shared" si="1"/>
        <v>247467.21686192183</v>
      </c>
      <c r="H26" s="3096"/>
      <c r="I26" s="3147">
        <v>4.8553552331528742</v>
      </c>
      <c r="J26" s="691">
        <v>88.425867235476005</v>
      </c>
      <c r="K26" s="3046"/>
      <c r="L26" s="3093" t="s">
        <v>2146</v>
      </c>
    </row>
    <row r="27" spans="2:12" ht="18" customHeight="1" x14ac:dyDescent="0.2">
      <c r="B27" s="2414" t="s">
        <v>376</v>
      </c>
      <c r="C27" s="621"/>
      <c r="D27" s="621"/>
      <c r="E27" s="628"/>
      <c r="F27" s="628"/>
      <c r="G27" s="628"/>
      <c r="H27" s="3148"/>
      <c r="I27" s="1913">
        <f>IF(SUM(I29:I31)=0,"NO",SUM(I29:I31))</f>
        <v>0.45357507895778582</v>
      </c>
      <c r="J27" s="1913">
        <f>IF(SUM(J29:J31)=0,"NO",SUM(J29:J31))</f>
        <v>14.111183089930153</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0.45357507895778582</v>
      </c>
      <c r="J29" s="3150">
        <v>8.7701295821301528</v>
      </c>
      <c r="K29" s="3132"/>
      <c r="L29" s="3102" t="s">
        <v>2146</v>
      </c>
    </row>
    <row r="30" spans="2:12" ht="18" customHeight="1" x14ac:dyDescent="0.2">
      <c r="B30" s="2415" t="s">
        <v>378</v>
      </c>
      <c r="C30" s="2165" t="s">
        <v>2156</v>
      </c>
      <c r="D30" s="2165" t="s">
        <v>2155</v>
      </c>
      <c r="E30" s="691">
        <v>7134</v>
      </c>
      <c r="F30" s="1913" t="s">
        <v>2147</v>
      </c>
      <c r="G30" s="1913">
        <f t="shared" ref="G30" si="2">J30*1000000/$E30</f>
        <v>23.837049032800671</v>
      </c>
      <c r="H30" s="3148"/>
      <c r="I30" s="3150" t="s">
        <v>2147</v>
      </c>
      <c r="J30" s="3150">
        <v>0.1700535078</v>
      </c>
      <c r="K30" s="3132"/>
      <c r="L30" s="3102" t="s">
        <v>2146</v>
      </c>
    </row>
    <row r="31" spans="2:12" ht="18" customHeight="1" x14ac:dyDescent="0.2">
      <c r="B31" s="1242" t="s">
        <v>379</v>
      </c>
      <c r="C31" s="621"/>
      <c r="D31" s="621"/>
      <c r="E31" s="628"/>
      <c r="F31" s="628"/>
      <c r="G31" s="628"/>
      <c r="H31" s="3148"/>
      <c r="I31" s="1913" t="s">
        <v>2147</v>
      </c>
      <c r="J31" s="1913">
        <f>IF(SUM(J32:J34)=0,"NO",SUM(J32:J34))</f>
        <v>5.1709999999999994</v>
      </c>
      <c r="K31" s="3132"/>
      <c r="L31" s="3149" t="str">
        <f>IF(SUM(L32:L34)=0,"NO",SUM(L32:L34))</f>
        <v>NO</v>
      </c>
    </row>
    <row r="32" spans="2:12" ht="18" customHeight="1" x14ac:dyDescent="0.2">
      <c r="B32" s="2592" t="s">
        <v>2173</v>
      </c>
      <c r="C32" s="310" t="s">
        <v>2172</v>
      </c>
      <c r="D32" s="310" t="s">
        <v>2172</v>
      </c>
      <c r="E32" s="2190">
        <v>6</v>
      </c>
      <c r="F32" s="3095" t="s">
        <v>2147</v>
      </c>
      <c r="G32" s="3095">
        <f t="shared" ref="G32:G33" si="3">J32*1000000/$E32</f>
        <v>184833.33333333334</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2219999.9999999995</v>
      </c>
      <c r="H34" s="3158"/>
      <c r="I34" s="3159" t="s">
        <v>2147</v>
      </c>
      <c r="J34" s="3159">
        <v>2.2199999999999998</v>
      </c>
      <c r="K34" s="3160"/>
      <c r="L34" s="3161" t="s">
        <v>2146</v>
      </c>
    </row>
    <row r="35" spans="2:12" ht="18" customHeight="1" x14ac:dyDescent="0.2">
      <c r="B35" s="1255" t="s">
        <v>380</v>
      </c>
      <c r="C35" s="2167"/>
      <c r="D35" s="2167"/>
      <c r="E35" s="3216"/>
      <c r="F35" s="3216"/>
      <c r="G35" s="3216"/>
      <c r="H35" s="3216"/>
      <c r="I35" s="3155">
        <f>IF(SUM(I36,I40)=0,"NO",SUM(I36,I40))</f>
        <v>6089.2533558756368</v>
      </c>
      <c r="J35" s="3067">
        <f>IF(SUM(J36,J40)=0,"NO",SUM(J36,J40))</f>
        <v>116.69643289391176</v>
      </c>
      <c r="K35" s="3067">
        <f>IF(SUM(K36,K40)=0,"NO",SUM(K36,K40))</f>
        <v>7.869101121748534E-2</v>
      </c>
      <c r="L35" s="3068" t="str">
        <f>IF(SUM(L36,L40)=0,"NO",SUM(L36,L40))</f>
        <v>NO</v>
      </c>
    </row>
    <row r="36" spans="2:12" ht="18" customHeight="1" x14ac:dyDescent="0.2">
      <c r="B36" s="1468" t="s">
        <v>381</v>
      </c>
      <c r="C36" s="2170"/>
      <c r="D36" s="2170"/>
      <c r="E36" s="3025"/>
      <c r="F36" s="3025"/>
      <c r="G36" s="3025"/>
      <c r="H36" s="3025"/>
      <c r="I36" s="3162">
        <f>IF(SUM(I37:I39)=0,"NO",SUM(I37:I39))</f>
        <v>3581.4765850614563</v>
      </c>
      <c r="J36" s="1913">
        <f>IF(SUM(J37:J39)=0,"NO",SUM(J37:J39))</f>
        <v>97.692815930666157</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4067.2369661841603</v>
      </c>
      <c r="F39" s="1913">
        <f t="shared" ref="F39" si="5">SUM(I39,L39)*1000000/$E39</f>
        <v>880567.47488247789</v>
      </c>
      <c r="G39" s="1913">
        <f t="shared" ref="G39" si="6">J39*1000000/$E39</f>
        <v>24019.455159093068</v>
      </c>
      <c r="H39" s="1913">
        <f t="shared" ref="H39" si="7">K39*1000000/$E39</f>
        <v>0</v>
      </c>
      <c r="I39" s="691">
        <v>3581.4765850614563</v>
      </c>
      <c r="J39" s="691">
        <v>97.692815930666157</v>
      </c>
      <c r="K39" s="3132"/>
      <c r="L39" s="3093" t="s">
        <v>2146</v>
      </c>
    </row>
    <row r="40" spans="2:12" ht="18" customHeight="1" x14ac:dyDescent="0.2">
      <c r="B40" s="1468" t="s">
        <v>385</v>
      </c>
      <c r="C40" s="2170"/>
      <c r="D40" s="2170"/>
      <c r="E40" s="3025"/>
      <c r="F40" s="3025"/>
      <c r="G40" s="3025"/>
      <c r="H40" s="3025"/>
      <c r="I40" s="3162">
        <f>IF(SUM(I41:I43)=0,"NO",SUM(I41:I43))</f>
        <v>2507.776770814181</v>
      </c>
      <c r="J40" s="3162">
        <f>IF(SUM(J41:J43)=0,"NO",SUM(J41:J43))</f>
        <v>19.003616963245605</v>
      </c>
      <c r="K40" s="1913">
        <f>IF(SUM(K41:K43)=0,"NO",SUM(K41:K43))</f>
        <v>7.869101121748534E-2</v>
      </c>
      <c r="L40" s="3065" t="str">
        <f>IF(SUM(L41:L43)=0,"NO",SUM(L41:L43))</f>
        <v>NO</v>
      </c>
    </row>
    <row r="41" spans="2:12" ht="18" customHeight="1" x14ac:dyDescent="0.2">
      <c r="B41" s="1470" t="s">
        <v>386</v>
      </c>
      <c r="C41" s="277" t="s">
        <v>2169</v>
      </c>
      <c r="D41" s="277" t="s">
        <v>2170</v>
      </c>
      <c r="E41" s="691">
        <v>487.88870152529228</v>
      </c>
      <c r="F41" s="1913">
        <f t="shared" ref="F41:F42" si="8">SUM(I41,L41)*1000000/$E41</f>
        <v>2899999.9999999995</v>
      </c>
      <c r="G41" s="1913">
        <f t="shared" ref="G41:H42" si="9">J41*1000000/$E41</f>
        <v>35000</v>
      </c>
      <c r="H41" s="1913">
        <f t="shared" si="9"/>
        <v>81</v>
      </c>
      <c r="I41" s="692">
        <v>1414.8772344233475</v>
      </c>
      <c r="J41" s="692">
        <v>17.076104553385228</v>
      </c>
      <c r="K41" s="692">
        <v>3.9518984823548674E-2</v>
      </c>
      <c r="L41" s="3156" t="s">
        <v>2146</v>
      </c>
    </row>
    <row r="42" spans="2:12" ht="18" customHeight="1" x14ac:dyDescent="0.2">
      <c r="B42" s="1470" t="s">
        <v>387</v>
      </c>
      <c r="C42" s="277" t="s">
        <v>2169</v>
      </c>
      <c r="D42" s="277" t="s">
        <v>2170</v>
      </c>
      <c r="E42" s="691">
        <v>23448.9385592242</v>
      </c>
      <c r="F42" s="1913">
        <f t="shared" si="8"/>
        <v>46607.633587786229</v>
      </c>
      <c r="G42" s="1913">
        <f t="shared" si="9"/>
        <v>82.200411971404293</v>
      </c>
      <c r="H42" s="1913">
        <f t="shared" si="9"/>
        <v>1.6705245013543446</v>
      </c>
      <c r="I42" s="691">
        <v>1092.8995363908334</v>
      </c>
      <c r="J42" s="691">
        <v>1.9275124098603764</v>
      </c>
      <c r="K42" s="691">
        <v>3.9172026393936674E-2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42.240439093251453</v>
      </c>
      <c r="M9" s="3358">
        <f>100*C10/SUM(C10,'Table1.A(a)s3'!C16)</f>
        <v>57.759560906748547</v>
      </c>
    </row>
    <row r="10" spans="1:13" ht="18" customHeight="1" thickTop="1" thickBot="1" x14ac:dyDescent="0.25">
      <c r="B10" s="223" t="s">
        <v>430</v>
      </c>
      <c r="C10" s="3338">
        <f>IF(SUM(C11:C13)=0,"NO",SUM(C11:C13))</f>
        <v>97010</v>
      </c>
      <c r="D10" s="3339"/>
      <c r="E10" s="3340"/>
      <c r="F10" s="3340"/>
      <c r="G10" s="3338">
        <f>IF(SUM(G11:G13)=0,"NO",SUM(G11:G13))</f>
        <v>6751.895999999997</v>
      </c>
      <c r="H10" s="3338">
        <f>IF(SUM(H11:H13)=0,"NO",SUM(H11:H13))</f>
        <v>1.1957131666666666E-2</v>
      </c>
      <c r="I10" s="1154">
        <f>IF(SUM(I11:I13)=0,"NO",SUM(I11:I13))</f>
        <v>3.5285785278070171E-2</v>
      </c>
      <c r="J10" s="4"/>
      <c r="K10" s="68" t="s">
        <v>431</v>
      </c>
      <c r="L10" s="3359">
        <f>100-M10</f>
        <v>38.917118531998668</v>
      </c>
      <c r="M10" s="3360">
        <f>100*C14/SUM(C14,'Table1.A(a)s3'!C88)</f>
        <v>61.082881468001332</v>
      </c>
    </row>
    <row r="11" spans="1:13" ht="18" customHeight="1" x14ac:dyDescent="0.2">
      <c r="B11" s="1258" t="s">
        <v>178</v>
      </c>
      <c r="C11" s="3341">
        <v>97010</v>
      </c>
      <c r="D11" s="116">
        <f>IF(G11="NO","NA",G11*1000/$C11)</f>
        <v>69.599999999999966</v>
      </c>
      <c r="E11" s="116">
        <f t="shared" ref="E11:F13" si="0">IF(H11="NO","NA",H11*1000000/$C11)</f>
        <v>0.1232566917499914</v>
      </c>
      <c r="F11" s="116">
        <f t="shared" si="0"/>
        <v>0.3637334839508316</v>
      </c>
      <c r="G11" s="3062">
        <v>6751.895999999997</v>
      </c>
      <c r="H11" s="3062">
        <v>1.1957131666666666E-2</v>
      </c>
      <c r="I11" s="3063">
        <v>3.5285785278070171E-2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39300</v>
      </c>
      <c r="D14" s="3348"/>
      <c r="E14" s="3349"/>
      <c r="F14" s="3350"/>
      <c r="G14" s="3347">
        <f>IF(SUM(G15:G18,G20:G22)=0,"NO",SUM(G15:G18,G20:G22))</f>
        <v>2868.2820000000002</v>
      </c>
      <c r="H14" s="3347">
        <f>IF(SUM(H15:H18,H20:H22)=0,"NO",SUM(H15:H18,H20:H22))</f>
        <v>0.27510000000000001</v>
      </c>
      <c r="I14" s="1155">
        <f>IF(SUM(I15:I18,I20:I22)=0,"NO",SUM(I15:I18,I20:I22))</f>
        <v>7.8600000000000003E-2</v>
      </c>
      <c r="J14" s="4"/>
      <c r="K14" s="1047"/>
      <c r="L14" s="1047"/>
      <c r="M14" s="1047"/>
    </row>
    <row r="15" spans="1:13" ht="18" customHeight="1" x14ac:dyDescent="0.2">
      <c r="B15" s="1260" t="s">
        <v>190</v>
      </c>
      <c r="C15" s="143">
        <v>32759.999999999996</v>
      </c>
      <c r="D15" s="116">
        <f>IF(G15="NO","NA",G15*1000/$C15)</f>
        <v>73.600000000000009</v>
      </c>
      <c r="E15" s="116">
        <f t="shared" ref="E15:F17" si="1">IF(H15="NO","NA",H15*1000000/$C15)</f>
        <v>7.0000000000000018</v>
      </c>
      <c r="F15" s="116">
        <f t="shared" si="1"/>
        <v>2</v>
      </c>
      <c r="G15" s="3064">
        <v>2411.136</v>
      </c>
      <c r="H15" s="3064">
        <v>0.22932000000000002</v>
      </c>
      <c r="I15" s="135">
        <v>6.5519999999999995E-2</v>
      </c>
      <c r="J15" s="4"/>
      <c r="K15" s="1047"/>
      <c r="L15" s="1047"/>
      <c r="M15" s="1047"/>
    </row>
    <row r="16" spans="1:13" ht="18" customHeight="1" x14ac:dyDescent="0.2">
      <c r="B16" s="1260" t="s">
        <v>191</v>
      </c>
      <c r="C16" s="3351">
        <v>6540</v>
      </c>
      <c r="D16" s="116">
        <f>IF(G16="NO","NA",G16*1000/$C16)</f>
        <v>69.900000000000006</v>
      </c>
      <c r="E16" s="116">
        <f t="shared" si="1"/>
        <v>7</v>
      </c>
      <c r="F16" s="116">
        <f t="shared" si="1"/>
        <v>2.0000000000000004</v>
      </c>
      <c r="G16" s="3064">
        <v>457.14600000000007</v>
      </c>
      <c r="H16" s="3064">
        <v>4.5780000000000001E-2</v>
      </c>
      <c r="I16" s="135">
        <v>1.3080000000000001E-2</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21255.560630579854</v>
      </c>
      <c r="D10" s="2913">
        <f t="shared" ref="D10:N10" si="0">IF(SUM(D11,D16,D27,D35,D39,D45,D52,D57)=0,"NO",SUM(D11,D16,D27,D35,D39,D45,D52,D57))</f>
        <v>3.2138601525442039</v>
      </c>
      <c r="E10" s="2913">
        <f t="shared" si="0"/>
        <v>7.5041150510448231</v>
      </c>
      <c r="F10" s="2913">
        <f t="shared" si="0"/>
        <v>1939.884053930544</v>
      </c>
      <c r="G10" s="2913">
        <f t="shared" si="0"/>
        <v>1553.8183084811451</v>
      </c>
      <c r="H10" s="2913" t="str">
        <f t="shared" si="0"/>
        <v>NO</v>
      </c>
      <c r="I10" s="2913">
        <f t="shared" si="0"/>
        <v>9.8726009996146745E-3</v>
      </c>
      <c r="J10" s="2913" t="str">
        <f t="shared" si="0"/>
        <v>NO</v>
      </c>
      <c r="K10" s="2913">
        <f t="shared" si="0"/>
        <v>44.311222692476747</v>
      </c>
      <c r="L10" s="2914">
        <f t="shared" si="0"/>
        <v>10.354885245209081</v>
      </c>
      <c r="M10" s="2915">
        <f t="shared" si="0"/>
        <v>228.38622600929426</v>
      </c>
      <c r="N10" s="2916">
        <f t="shared" si="0"/>
        <v>2044.9030477392535</v>
      </c>
      <c r="O10" s="3020">
        <f t="shared" ref="O10:O58" si="1">IF(SUM(C10:J10)=0,"NO",SUM(C10,F10:H10)+28*SUM(D10)+265*SUM(E10)+23500*SUM(I10)+16100*SUM(J10))</f>
        <v>27059.847689280607</v>
      </c>
    </row>
    <row r="11" spans="1:15" ht="18" customHeight="1" x14ac:dyDescent="0.2">
      <c r="B11" s="1263" t="s">
        <v>444</v>
      </c>
      <c r="C11" s="2137">
        <f>IF(SUM(C12:C15)=0,"NO",SUM(C12:C15))</f>
        <v>6291.2170628710082</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6291.2170628710082</v>
      </c>
    </row>
    <row r="12" spans="1:15" ht="18" customHeight="1" x14ac:dyDescent="0.2">
      <c r="B12" s="1264" t="s">
        <v>445</v>
      </c>
      <c r="C12" s="2920">
        <f>'Table2(I).A-H'!H11</f>
        <v>3487.7379520000004</v>
      </c>
      <c r="D12" s="2136"/>
      <c r="E12" s="2136"/>
      <c r="F12" s="628"/>
      <c r="G12" s="628"/>
      <c r="H12" s="2135"/>
      <c r="I12" s="628"/>
      <c r="J12" s="2135"/>
      <c r="K12" s="2135"/>
      <c r="L12" s="2135"/>
      <c r="M12" s="2135"/>
      <c r="N12" s="2919" t="s">
        <v>2146</v>
      </c>
      <c r="O12" s="2934">
        <f t="shared" si="1"/>
        <v>3487.7379520000004</v>
      </c>
    </row>
    <row r="13" spans="1:15" ht="18" customHeight="1" x14ac:dyDescent="0.2">
      <c r="B13" s="1264" t="s">
        <v>446</v>
      </c>
      <c r="C13" s="1878">
        <f>'Table2(I).A-H'!H12</f>
        <v>1175.70454700916</v>
      </c>
      <c r="D13" s="2108"/>
      <c r="E13" s="2108"/>
      <c r="F13" s="628"/>
      <c r="G13" s="628"/>
      <c r="H13" s="2135"/>
      <c r="I13" s="628"/>
      <c r="J13" s="2135"/>
      <c r="K13" s="628"/>
      <c r="L13" s="628"/>
      <c r="M13" s="628"/>
      <c r="N13" s="1838"/>
      <c r="O13" s="1880">
        <f t="shared" si="1"/>
        <v>1175.70454700916</v>
      </c>
    </row>
    <row r="14" spans="1:15" ht="18" customHeight="1" x14ac:dyDescent="0.2">
      <c r="B14" s="1264" t="s">
        <v>447</v>
      </c>
      <c r="C14" s="1878">
        <f>'Table2(I).A-H'!H13</f>
        <v>102.49316614622585</v>
      </c>
      <c r="D14" s="2108"/>
      <c r="E14" s="2108"/>
      <c r="F14" s="628"/>
      <c r="G14" s="628"/>
      <c r="H14" s="2135"/>
      <c r="I14" s="628"/>
      <c r="J14" s="2135"/>
      <c r="K14" s="628"/>
      <c r="L14" s="628"/>
      <c r="M14" s="628"/>
      <c r="N14" s="1838"/>
      <c r="O14" s="1880">
        <f t="shared" si="1"/>
        <v>102.49316614622585</v>
      </c>
    </row>
    <row r="15" spans="1:15" ht="18" customHeight="1" thickBot="1" x14ac:dyDescent="0.25">
      <c r="B15" s="1264" t="s">
        <v>448</v>
      </c>
      <c r="C15" s="1878">
        <f>'Table2(I).A-H'!H14</f>
        <v>1525.2813977156218</v>
      </c>
      <c r="D15" s="1879"/>
      <c r="E15" s="1879"/>
      <c r="F15" s="3021"/>
      <c r="G15" s="3021"/>
      <c r="H15" s="3021"/>
      <c r="I15" s="3021"/>
      <c r="J15" s="3021"/>
      <c r="K15" s="2606" t="s">
        <v>2146</v>
      </c>
      <c r="L15" s="2606" t="s">
        <v>2146</v>
      </c>
      <c r="M15" s="2606" t="s">
        <v>2146</v>
      </c>
      <c r="N15" s="2607" t="s">
        <v>2146</v>
      </c>
      <c r="O15" s="1880">
        <f t="shared" si="1"/>
        <v>1525.2813977156218</v>
      </c>
    </row>
    <row r="16" spans="1:15" ht="18" customHeight="1" x14ac:dyDescent="0.2">
      <c r="B16" s="1265" t="s">
        <v>449</v>
      </c>
      <c r="C16" s="2137">
        <f>IF(SUM(C17:C26)=0,"NO",SUM(C17:C26))</f>
        <v>2036.709370586605</v>
      </c>
      <c r="D16" s="2137">
        <f t="shared" ref="D16:N16" si="3">IF(SUM(D17:D26)=0,"NO",SUM(D17:D26))</f>
        <v>0.50438379999999994</v>
      </c>
      <c r="E16" s="2137">
        <f t="shared" si="3"/>
        <v>7.4275444967741944</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4.7531688000000001</v>
      </c>
      <c r="N16" s="2918" t="str">
        <f t="shared" si="3"/>
        <v>NO</v>
      </c>
      <c r="O16" s="2941">
        <f t="shared" si="1"/>
        <v>4019.1314086317661</v>
      </c>
    </row>
    <row r="17" spans="2:15" ht="18" customHeight="1" x14ac:dyDescent="0.2">
      <c r="B17" s="1266" t="s">
        <v>450</v>
      </c>
      <c r="C17" s="2920">
        <f>SUM('Table2(I).A-H'!H23,'Table2(I).A-H'!K23:L23)</f>
        <v>888.79984596407735</v>
      </c>
      <c r="D17" s="2139" t="str">
        <f>'Table2(I).A-H'!I23</f>
        <v>NO</v>
      </c>
      <c r="E17" s="2139" t="str">
        <f>'Table2(I).A-H'!J23</f>
        <v>NO</v>
      </c>
      <c r="F17" s="2135"/>
      <c r="G17" s="2135"/>
      <c r="H17" s="2135"/>
      <c r="I17" s="2135"/>
      <c r="J17" s="2135"/>
      <c r="K17" s="692" t="s">
        <v>2146</v>
      </c>
      <c r="L17" s="692" t="s">
        <v>2146</v>
      </c>
      <c r="M17" s="692" t="s">
        <v>2146</v>
      </c>
      <c r="N17" s="692" t="s">
        <v>2146</v>
      </c>
      <c r="O17" s="2934">
        <f t="shared" si="1"/>
        <v>888.79984596407735</v>
      </c>
    </row>
    <row r="18" spans="2:15" ht="18" customHeight="1" x14ac:dyDescent="0.2">
      <c r="B18" s="1264" t="s">
        <v>451</v>
      </c>
      <c r="C18" s="1910"/>
      <c r="D18" s="2136"/>
      <c r="E18" s="2139">
        <f>'Table2(I).A-H'!J24</f>
        <v>7.4275444967741944</v>
      </c>
      <c r="F18" s="628"/>
      <c r="G18" s="628"/>
      <c r="H18" s="2135"/>
      <c r="I18" s="628"/>
      <c r="J18" s="2135"/>
      <c r="K18" s="692" t="s">
        <v>2146</v>
      </c>
      <c r="L18" s="628"/>
      <c r="M18" s="628"/>
      <c r="N18" s="1838"/>
      <c r="O18" s="2934">
        <f t="shared" si="1"/>
        <v>1968.2992916451615</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975.25097852008435</v>
      </c>
      <c r="D22" s="1914"/>
      <c r="E22" s="628"/>
      <c r="F22" s="628"/>
      <c r="G22" s="628"/>
      <c r="H22" s="2135"/>
      <c r="I22" s="628"/>
      <c r="J22" s="2135"/>
      <c r="K22" s="1914"/>
      <c r="L22" s="1914"/>
      <c r="M22" s="1914"/>
      <c r="N22" s="2921"/>
      <c r="O22" s="1880">
        <f t="shared" si="1"/>
        <v>975.25097852008435</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46.86107299999999</v>
      </c>
      <c r="D24" s="1878">
        <f>'Table2(I).A-H'!I35</f>
        <v>0.50438379999999994</v>
      </c>
      <c r="E24" s="628"/>
      <c r="F24" s="628"/>
      <c r="G24" s="628"/>
      <c r="H24" s="2135"/>
      <c r="I24" s="628"/>
      <c r="J24" s="2135"/>
      <c r="K24" s="692" t="s">
        <v>2146</v>
      </c>
      <c r="L24" s="692" t="s">
        <v>2146</v>
      </c>
      <c r="M24" s="691">
        <v>4.7531688000000001</v>
      </c>
      <c r="N24" s="692" t="s">
        <v>2146</v>
      </c>
      <c r="O24" s="1880">
        <f t="shared" si="1"/>
        <v>60.983819399999987</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125.79747310244333</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125.79747310244333</v>
      </c>
    </row>
    <row r="27" spans="2:15" ht="18" customHeight="1" x14ac:dyDescent="0.2">
      <c r="B27" s="1263" t="s">
        <v>459</v>
      </c>
      <c r="C27" s="2137">
        <f>IF(SUM(C28:C34)=0,"NO",SUM(C28:C34))</f>
        <v>12479.913157591614</v>
      </c>
      <c r="D27" s="2137">
        <f t="shared" ref="D27:N27" si="4">IF(SUM(D28:D34)=0,"NO",SUM(D28:D34))</f>
        <v>2.709476352544204</v>
      </c>
      <c r="E27" s="2137">
        <f t="shared" si="4"/>
        <v>7.6570554270628893E-2</v>
      </c>
      <c r="F27" s="2138" t="str">
        <f t="shared" si="4"/>
        <v>NO</v>
      </c>
      <c r="G27" s="2138">
        <f t="shared" si="4"/>
        <v>1553.8183084811451</v>
      </c>
      <c r="H27" s="2138" t="str">
        <f t="shared" si="4"/>
        <v>NO</v>
      </c>
      <c r="I27" s="2138" t="str">
        <f t="shared" si="4"/>
        <v>NO</v>
      </c>
      <c r="J27" s="2138" t="str">
        <f t="shared" si="4"/>
        <v>NO</v>
      </c>
      <c r="K27" s="2137">
        <f t="shared" si="4"/>
        <v>44.311222692476747</v>
      </c>
      <c r="L27" s="2137">
        <f t="shared" si="4"/>
        <v>10.354885245209081</v>
      </c>
      <c r="M27" s="2917">
        <f t="shared" si="4"/>
        <v>0.11382370972621066</v>
      </c>
      <c r="N27" s="2918">
        <f t="shared" si="4"/>
        <v>2044.9030477392535</v>
      </c>
      <c r="O27" s="2941">
        <f t="shared" si="1"/>
        <v>14129.888000825713</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3063.6700961041197</v>
      </c>
      <c r="D30" s="1879"/>
      <c r="E30" s="628"/>
      <c r="F30" s="628"/>
      <c r="G30" s="2140">
        <f>SUM('Table2(II)'!X41:Y41)</f>
        <v>1553.8183084811451</v>
      </c>
      <c r="H30" s="2136"/>
      <c r="I30" s="2142" t="s">
        <v>2146</v>
      </c>
      <c r="J30" s="2135"/>
      <c r="K30" s="691" t="s">
        <v>2147</v>
      </c>
      <c r="L30" s="691" t="s">
        <v>2147</v>
      </c>
      <c r="M30" s="691" t="s">
        <v>2147</v>
      </c>
      <c r="N30" s="2911">
        <v>46.201859999999996</v>
      </c>
      <c r="O30" s="1880">
        <f t="shared" si="1"/>
        <v>4617.488404585265</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9416.2430614874938</v>
      </c>
      <c r="D34" s="1881">
        <f>'Table2(I).A-H'!I67</f>
        <v>2.709476352544204</v>
      </c>
      <c r="E34" s="1881">
        <f>'Table2(I).A-H'!J67</f>
        <v>7.6570554270628893E-2</v>
      </c>
      <c r="F34" s="2146" t="s">
        <v>2146</v>
      </c>
      <c r="G34" s="2146" t="s">
        <v>2146</v>
      </c>
      <c r="H34" s="2146" t="s">
        <v>2146</v>
      </c>
      <c r="I34" s="2146" t="s">
        <v>2146</v>
      </c>
      <c r="J34" s="2146" t="s">
        <v>2146</v>
      </c>
      <c r="K34" s="2606">
        <v>44.311222692476747</v>
      </c>
      <c r="L34" s="2606">
        <v>10.354885245209081</v>
      </c>
      <c r="M34" s="2606">
        <v>0.11382370972621066</v>
      </c>
      <c r="N34" s="2607">
        <v>1998.7011877392536</v>
      </c>
      <c r="O34" s="1882">
        <f t="shared" si="1"/>
        <v>9512.3995962404479</v>
      </c>
    </row>
    <row r="35" spans="2:15" ht="18" customHeight="1" x14ac:dyDescent="0.2">
      <c r="B35" s="2470" t="s">
        <v>2014</v>
      </c>
      <c r="C35" s="2920">
        <f>IF(SUM(C36:C38)=0,"NO",SUM(C36:C38))</f>
        <v>297.93334749999997</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169.71192449956806</v>
      </c>
      <c r="N35" s="2048" t="str">
        <f t="shared" ref="N35" si="7">IF(SUM(N36:N38)=0,"NO",SUM(N36:N38))</f>
        <v>NO</v>
      </c>
      <c r="O35" s="2934">
        <f t="shared" si="1"/>
        <v>297.93334749999997</v>
      </c>
    </row>
    <row r="36" spans="2:15" ht="18" customHeight="1" x14ac:dyDescent="0.2">
      <c r="B36" s="1270" t="s">
        <v>466</v>
      </c>
      <c r="C36" s="1878">
        <f>'Table2(I).A-H'!H73</f>
        <v>297.93334749999997</v>
      </c>
      <c r="D36" s="2140" t="str">
        <f>'Table2(I).A-H'!I73</f>
        <v>NO</v>
      </c>
      <c r="E36" s="2140" t="str">
        <f>'Table2(I).A-H'!J73</f>
        <v>NO</v>
      </c>
      <c r="F36" s="628"/>
      <c r="G36" s="628"/>
      <c r="H36" s="2135"/>
      <c r="I36" s="628"/>
      <c r="J36" s="2135"/>
      <c r="K36" s="2147" t="s">
        <v>2147</v>
      </c>
      <c r="L36" s="2147" t="s">
        <v>2147</v>
      </c>
      <c r="M36" s="691" t="s">
        <v>2147</v>
      </c>
      <c r="N36" s="2141" t="s">
        <v>2147</v>
      </c>
      <c r="O36" s="1880">
        <f t="shared" si="1"/>
        <v>297.93334749999997</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169.71192449956806</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1939.884053930544</v>
      </c>
      <c r="G45" s="2137" t="str">
        <f t="shared" ref="G45:J45" si="9">IF(SUM(G46:G51)=0,"NO",SUM(G46:G51))</f>
        <v>NO</v>
      </c>
      <c r="H45" s="2920" t="str">
        <f t="shared" si="9"/>
        <v>NO</v>
      </c>
      <c r="I45" s="2920" t="str">
        <f t="shared" si="9"/>
        <v>NO</v>
      </c>
      <c r="J45" s="2139" t="str">
        <f t="shared" si="9"/>
        <v>NO</v>
      </c>
      <c r="K45" s="1929"/>
      <c r="L45" s="1929"/>
      <c r="M45" s="1929"/>
      <c r="N45" s="2153"/>
      <c r="O45" s="2941">
        <f t="shared" si="1"/>
        <v>1939.884053930544</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1797.1933755008877</v>
      </c>
      <c r="G46" s="1878" t="s">
        <v>2146</v>
      </c>
      <c r="H46" s="1878" t="s">
        <v>2146</v>
      </c>
      <c r="I46" s="1878" t="s">
        <v>2146</v>
      </c>
      <c r="J46" s="2139" t="str">
        <f t="shared" ref="J46" si="10">IF(SUM(J47:J52)=0,"NO",SUM(J47:J52))</f>
        <v>NO</v>
      </c>
      <c r="K46" s="628"/>
      <c r="L46" s="628"/>
      <c r="M46" s="628"/>
      <c r="N46" s="1838"/>
      <c r="O46" s="1880">
        <f t="shared" si="1"/>
        <v>1797.1933755008877</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31.231198825904553</v>
      </c>
      <c r="G47" s="1878" t="s">
        <v>2146</v>
      </c>
      <c r="H47" s="1878" t="s">
        <v>2146</v>
      </c>
      <c r="I47" s="1878" t="s">
        <v>2146</v>
      </c>
      <c r="J47" s="2139" t="str">
        <f t="shared" ref="J47" si="11">IF(SUM(J48:J53)=0,"NO",SUM(J48:J53))</f>
        <v>NO</v>
      </c>
      <c r="K47" s="628"/>
      <c r="L47" s="628"/>
      <c r="M47" s="628"/>
      <c r="N47" s="1838"/>
      <c r="O47" s="1880">
        <f t="shared" si="1"/>
        <v>31.231198825904553</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9.6261151631570545</v>
      </c>
      <c r="G48" s="1878" t="s">
        <v>2146</v>
      </c>
      <c r="H48" s="1878" t="s">
        <v>2146</v>
      </c>
      <c r="I48" s="1878" t="s">
        <v>2146</v>
      </c>
      <c r="J48" s="2139" t="str">
        <f t="shared" ref="J48" si="12">IF(SUM(J49:J54)=0,"NO",SUM(J49:J54))</f>
        <v>NO</v>
      </c>
      <c r="K48" s="628"/>
      <c r="L48" s="628"/>
      <c r="M48" s="628"/>
      <c r="N48" s="1838"/>
      <c r="O48" s="1880">
        <f t="shared" si="1"/>
        <v>9.6261151631570545</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53.822741590391864</v>
      </c>
      <c r="G49" s="1878" t="s">
        <v>2146</v>
      </c>
      <c r="H49" s="1878" t="s">
        <v>2146</v>
      </c>
      <c r="I49" s="1878" t="s">
        <v>2146</v>
      </c>
      <c r="J49" s="2139" t="str">
        <f t="shared" ref="J49" si="13">IF(SUM(J50:J55)=0,"NO",SUM(J50:J55))</f>
        <v>NO</v>
      </c>
      <c r="K49" s="628"/>
      <c r="L49" s="628"/>
      <c r="M49" s="628"/>
      <c r="N49" s="1838"/>
      <c r="O49" s="1880">
        <f t="shared" si="1"/>
        <v>53.822741590391864</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48.010622850202836</v>
      </c>
      <c r="G50" s="1878" t="s">
        <v>2146</v>
      </c>
      <c r="H50" s="1878" t="s">
        <v>2146</v>
      </c>
      <c r="I50" s="1878" t="s">
        <v>2146</v>
      </c>
      <c r="J50" s="2139" t="str">
        <f t="shared" ref="J50" si="14">IF(SUM(J51:J56)=0,"NO",SUM(J51:J56))</f>
        <v>NO</v>
      </c>
      <c r="K50" s="628"/>
      <c r="L50" s="628"/>
      <c r="M50" s="628"/>
      <c r="N50" s="1838"/>
      <c r="O50" s="1880">
        <f t="shared" si="1"/>
        <v>48.010622850202836</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9.8726009996146745E-3</v>
      </c>
      <c r="J52" s="2139" t="str">
        <f t="shared" si="16"/>
        <v>NO</v>
      </c>
      <c r="K52" s="2139" t="str">
        <f t="shared" si="16"/>
        <v>NO</v>
      </c>
      <c r="L52" s="2139" t="str">
        <f t="shared" si="16"/>
        <v>NO</v>
      </c>
      <c r="M52" s="2139" t="str">
        <f t="shared" si="16"/>
        <v>NO</v>
      </c>
      <c r="N52" s="2048" t="str">
        <f t="shared" si="16"/>
        <v>NO</v>
      </c>
      <c r="O52" s="2934">
        <f t="shared" si="1"/>
        <v>232.00612349094484</v>
      </c>
    </row>
    <row r="53" spans="2:15" ht="18" customHeight="1" x14ac:dyDescent="0.2">
      <c r="B53" s="1270" t="s">
        <v>481</v>
      </c>
      <c r="C53" s="2135"/>
      <c r="D53" s="2135"/>
      <c r="E53" s="2135"/>
      <c r="F53" s="2920" t="s">
        <v>2146</v>
      </c>
      <c r="G53" s="2920" t="s">
        <v>2146</v>
      </c>
      <c r="H53" s="2920" t="s">
        <v>2146</v>
      </c>
      <c r="I53" s="2920">
        <f>SUM('Table2(II).B-Hs2'!J163:M163)/1000</f>
        <v>9.2022184357678193E-3</v>
      </c>
      <c r="J53" s="2920" t="s">
        <v>2146</v>
      </c>
      <c r="K53" s="2135"/>
      <c r="L53" s="2135"/>
      <c r="M53" s="2135"/>
      <c r="N53" s="2149"/>
      <c r="O53" s="2934">
        <f t="shared" si="1"/>
        <v>216.25213324054374</v>
      </c>
    </row>
    <row r="54" spans="2:15" ht="18" customHeight="1" x14ac:dyDescent="0.2">
      <c r="B54" s="1270" t="s">
        <v>482</v>
      </c>
      <c r="C54" s="2135"/>
      <c r="D54" s="2135"/>
      <c r="E54" s="2135"/>
      <c r="F54" s="2135"/>
      <c r="G54" s="2920" t="s">
        <v>2146</v>
      </c>
      <c r="H54" s="3025"/>
      <c r="I54" s="2920">
        <f>SUM('Table2(II).B-Hs2'!J165:M165)/1000</f>
        <v>6.7038256384685546E-4</v>
      </c>
      <c r="J54" s="2135"/>
      <c r="K54" s="2135"/>
      <c r="L54" s="2135"/>
      <c r="M54" s="2135"/>
      <c r="N54" s="2149"/>
      <c r="O54" s="2934">
        <f t="shared" si="1"/>
        <v>15.753990250401102</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149.78769203062836</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53.807309000000004</v>
      </c>
      <c r="N57" s="2073" t="str">
        <f>N58</f>
        <v>NA</v>
      </c>
      <c r="O57" s="2941">
        <f t="shared" si="1"/>
        <v>149.78769203062836</v>
      </c>
    </row>
    <row r="58" spans="2:15" ht="18" customHeight="1" thickBot="1" x14ac:dyDescent="0.25">
      <c r="B58" s="2596" t="s">
        <v>2180</v>
      </c>
      <c r="C58" s="2500">
        <f>'Table2(I).A-H'!H97</f>
        <v>149.78769203062836</v>
      </c>
      <c r="D58" s="2500" t="str">
        <f>'Table2(I).A-H'!I97</f>
        <v>NO</v>
      </c>
      <c r="E58" s="2500" t="str">
        <f>'Table2(I).A-H'!J97</f>
        <v>NO</v>
      </c>
      <c r="F58" s="2500" t="s">
        <v>2146</v>
      </c>
      <c r="G58" s="2500" t="s">
        <v>2146</v>
      </c>
      <c r="H58" s="2500" t="s">
        <v>2146</v>
      </c>
      <c r="I58" s="2500" t="s">
        <v>2146</v>
      </c>
      <c r="J58" s="2500" t="s">
        <v>2146</v>
      </c>
      <c r="K58" s="2912" t="s">
        <v>2147</v>
      </c>
      <c r="L58" s="2912" t="s">
        <v>2147</v>
      </c>
      <c r="M58" s="2912">
        <v>53.807309000000004</v>
      </c>
      <c r="N58" s="2922" t="s">
        <v>2147</v>
      </c>
      <c r="O58" s="2925">
        <f t="shared" si="1"/>
        <v>149.78769203062836</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9.1378056402044119E-2</v>
      </c>
      <c r="D10" s="2044">
        <f t="shared" ref="D10:X10" si="0">IF(SUM(D11,D16,D20,D26,D33,D37)=0,"NO",SUM(D11,D16,D20,D26,D33,D37))</f>
        <v>14.282236671396793</v>
      </c>
      <c r="E10" s="2044" t="str">
        <f t="shared" si="0"/>
        <v>NO</v>
      </c>
      <c r="F10" s="2044">
        <f t="shared" si="0"/>
        <v>0.21202790097740873</v>
      </c>
      <c r="G10" s="2044">
        <f t="shared" si="0"/>
        <v>258.48278251109792</v>
      </c>
      <c r="H10" s="2044">
        <f t="shared" si="0"/>
        <v>0.28939819928540061</v>
      </c>
      <c r="I10" s="2044">
        <f t="shared" si="0"/>
        <v>739.11137776493217</v>
      </c>
      <c r="J10" s="2044" t="str">
        <f t="shared" si="0"/>
        <v>NO</v>
      </c>
      <c r="K10" s="2044">
        <f t="shared" si="0"/>
        <v>24.74143062921635</v>
      </c>
      <c r="L10" s="2044" t="str">
        <f t="shared" si="0"/>
        <v>NO</v>
      </c>
      <c r="M10" s="2044" t="str">
        <f t="shared" si="0"/>
        <v>NO</v>
      </c>
      <c r="N10" s="2044" t="str">
        <f t="shared" si="0"/>
        <v>NO</v>
      </c>
      <c r="O10" s="2044">
        <f t="shared" si="0"/>
        <v>8.7779889482079021</v>
      </c>
      <c r="P10" s="2044" t="str">
        <f t="shared" si="0"/>
        <v>NO</v>
      </c>
      <c r="Q10" s="2044" t="str">
        <f t="shared" si="0"/>
        <v>NO</v>
      </c>
      <c r="R10" s="2044">
        <f t="shared" si="0"/>
        <v>9.4021507240220944E-4</v>
      </c>
      <c r="S10" s="2044" t="str">
        <f t="shared" si="0"/>
        <v>NO</v>
      </c>
      <c r="T10" s="2044" t="str">
        <f t="shared" si="0"/>
        <v>NO</v>
      </c>
      <c r="U10" s="2044" t="str">
        <f t="shared" si="0"/>
        <v>NO</v>
      </c>
      <c r="V10" s="2045" t="str">
        <f t="shared" si="0"/>
        <v>NO</v>
      </c>
      <c r="W10" s="2046"/>
      <c r="X10" s="2044">
        <f t="shared" si="0"/>
        <v>192.50536556674797</v>
      </c>
      <c r="Y10" s="2044">
        <f t="shared" ref="Y10" si="1">IF(SUM(Y11,Y16,Y20,Y26,Y33,Y37)=0,"NO",SUM(Y11,Y16,Y20,Y26,Y33,Y37))</f>
        <v>25.000696826450994</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9.872600999614674</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192.50536556674797</v>
      </c>
      <c r="Y16" s="2050">
        <f t="shared" ref="Y16" si="35">IF(SUM(Y17:Y19)=0,"NO",SUM(Y17:Y19))</f>
        <v>25.000696826450994</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192.50536556674797</v>
      </c>
      <c r="Y17" s="2050">
        <f>'Table2(II).B-Hs1'!G26</f>
        <v>25.000696826450994</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9.1378056402044119E-2</v>
      </c>
      <c r="D26" s="2069">
        <f t="shared" ref="D26:AK26" si="58">IF(SUM(D27:D32)=0,"NO",SUM(D27:D32))</f>
        <v>14.282236671396793</v>
      </c>
      <c r="E26" s="2069" t="str">
        <f t="shared" si="58"/>
        <v>NO</v>
      </c>
      <c r="F26" s="2069">
        <f t="shared" si="58"/>
        <v>0.21202790097740873</v>
      </c>
      <c r="G26" s="2069">
        <f t="shared" si="58"/>
        <v>258.48278251109792</v>
      </c>
      <c r="H26" s="2069">
        <f t="shared" si="58"/>
        <v>0.28939819928540061</v>
      </c>
      <c r="I26" s="2069">
        <f t="shared" si="58"/>
        <v>739.11137776493217</v>
      </c>
      <c r="J26" s="2069" t="str">
        <f t="shared" si="58"/>
        <v>NO</v>
      </c>
      <c r="K26" s="2069">
        <f t="shared" si="58"/>
        <v>24.74143062921635</v>
      </c>
      <c r="L26" s="2069" t="str">
        <f t="shared" si="58"/>
        <v>NO</v>
      </c>
      <c r="M26" s="2069" t="str">
        <f t="shared" si="58"/>
        <v>NO</v>
      </c>
      <c r="N26" s="2069" t="str">
        <f t="shared" si="58"/>
        <v>NO</v>
      </c>
      <c r="O26" s="2069">
        <f t="shared" si="58"/>
        <v>8.7779889482079021</v>
      </c>
      <c r="P26" s="2069" t="str">
        <f t="shared" si="58"/>
        <v>NO</v>
      </c>
      <c r="Q26" s="2069" t="str">
        <f t="shared" si="58"/>
        <v>NO</v>
      </c>
      <c r="R26" s="2069">
        <f t="shared" si="58"/>
        <v>9.4021507240220944E-4</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8.4656625378797035E-2</v>
      </c>
      <c r="D27" s="2044">
        <f>IF(SUM('Table2(II).B-Hs2'!J14:M14,'Table2(II).B-Hs2'!J27:M27,'Table2(II).B-Hs2'!J40:M40,'Table2(II).B-Hs2'!J53:M53,'Table2(II).B-Hs2'!J66:M66,'Table2(II).B-Hs2'!J79:M79)=0,"NO",SUM('Table2(II).B-Hs2'!J14:M14,'Table2(II).B-Hs2'!J27:M27,'Table2(II).B-Hs2'!J40:M40,'Table2(II).B-Hs2'!J53:M53,'Table2(II).B-Hs2'!J66:M66,'Table2(II).B-Hs2'!J79:M79))</f>
        <v>13.231688296608468</v>
      </c>
      <c r="E27" s="2044" t="s">
        <v>2146</v>
      </c>
      <c r="F27" s="2044">
        <f>IF(SUM('Table2(II).B-Hs2'!J15:M15,'Table2(II).B-Hs2'!J28:M28,'Table2(II).B-Hs2'!J41:M41,'Table2(II).B-Hs2'!J54:M54,'Table2(II).B-Hs2'!J67:M67,'Table2(II).B-Hs2'!J80:M80)=0,"NO",SUM('Table2(II).B-Hs2'!J15:M15,'Table2(II).B-Hs2'!J28:M28,'Table2(II).B-Hs2'!J41:M41,'Table2(II).B-Hs2'!J54:M54,'Table2(II).B-Hs2'!J67:M67,'Table2(II).B-Hs2'!J80:M80))</f>
        <v>0.19643191472493982</v>
      </c>
      <c r="G27" s="2044">
        <f>IF(SUM('Table2(II).B-Hs2'!J16:M16,'Table2(II).B-Hs2'!J29:M29,'Table2(II).B-Hs2'!J42:M42,'Table2(II).B-Hs2'!J55:M55,'Table2(II).B-Hs2'!J68:M68,'Table2(II).B-Hs2'!J81:M81)=0,"NO",SUM('Table2(II).B-Hs2'!J16:M16,'Table2(II).B-Hs2'!J29:M29,'Table2(II).B-Hs2'!J42:M42,'Table2(II).B-Hs2'!J55:M55,'Table2(II).B-Hs2'!J68:M68,'Table2(II).B-Hs2'!J81:M81))</f>
        <v>239.46974741543727</v>
      </c>
      <c r="H27" s="2044">
        <f>IF(SUM('Table2(II).B-Hs2'!J17:M17,'Table2(II).B-Hs2'!J30:M30,'Table2(II).B-Hs2'!J43:M43,'Table2(II).B-Hs2'!J56:M56,'Table2(II).B-Hs2'!J69:M69,'Table2(II).B-Hs2'!J82:M82)=0,"NO",SUM('Table2(II).B-Hs2'!J17:M17,'Table2(II).B-Hs2'!J30:M30,'Table2(II).B-Hs2'!J43:M43,'Table2(II).B-Hs2'!J56:M56,'Table2(II).B-Hs2'!J69:M69,'Table2(II).B-Hs2'!J82:M82))</f>
        <v>0.26811114075801851</v>
      </c>
      <c r="I27" s="2044">
        <f>IF(SUM('Table2(II).B-Hs2'!J18:M18,'Table2(II).B-Hs2'!J31:M31,'Table2(II).B-Hs2'!J44:M44,'Table2(II).B-Hs2'!J57:M57,'Table2(II).B-Hs2'!J70:M70,'Table2(II).B-Hs2'!J83:M83)=0,"NO",SUM('Table2(II).B-Hs2'!J18:M18,'Table2(II).B-Hs2'!J31:M31,'Table2(II).B-Hs2'!J44:M44,'Table2(II).B-Hs2'!J57:M57,'Table2(II).B-Hs2'!J70:M70,'Table2(II).B-Hs2'!J83:M83))</f>
        <v>684.74508524622865</v>
      </c>
      <c r="J27" s="2044" t="s">
        <v>2146</v>
      </c>
      <c r="K27" s="2044">
        <f>IF(SUM('Table2(II).B-Hs2'!J19:M19,'Table2(II).B-Hs2'!J32:M32,'Table2(II).B-Hs2'!J45:M45,'Table2(II).B-Hs2'!J58:M58,'Table2(II).B-Hs2'!J71:M71,'Table2(II).B-Hs2'!J84:M84)=0,"NO",SUM('Table2(II).B-Hs2'!J19:M19,'Table2(II).B-Hs2'!J32:M32,'Table2(II).B-Hs2'!J45:M45,'Table2(II).B-Hs2'!J58:M58,'Table2(II).B-Hs2'!J71:M71,'Table2(II).B-Hs2'!J84:M84))</f>
        <v>22.921542726818263</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f>IF(SUM('Table2(II).B-Hs2'!J21:M21,'Table2(II).B-Hs2'!J34:M34,'Table2(II).B-Hs2'!J47:M47,'Table2(II).B-Hs2'!J60:M60,'Table2(II).B-Hs2'!J73:M73,'Table2(II).B-Hs2'!J86:M86)=0,"NO",SUM('Table2(II).B-Hs2'!J21:M21,'Table2(II).B-Hs2'!J34:M34,'Table2(II).B-Hs2'!J47:M47,'Table2(II).B-Hs2'!J60:M60,'Table2(II).B-Hs2'!J73:M73,'Table2(II).B-Hs2'!J86:M86))</f>
        <v>8.132312627641241</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8.7105633774534758E-4</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1.4711426912523817E-3</v>
      </c>
      <c r="D28" s="2044">
        <f>IF(SUM('Table2(II).B-Hs2'!J93:M93,'Table2(II).B-Hs2'!J106:M106)=0,"NO",SUM('Table2(II).B-Hs2'!J93:M93,'Table2(II).B-Hs2'!J106:M106))</f>
        <v>0.22993713065440191</v>
      </c>
      <c r="E28" s="2044" t="s">
        <v>2146</v>
      </c>
      <c r="F28" s="2044">
        <f>IF(SUM('Table2(II).B-Hs2'!J94:M94,'Table2(II).B-Hs2'!J107:M107)=0,"NO",SUM('Table2(II).B-Hs2'!J94:M94,'Table2(II).B-Hs2'!J107:M107))</f>
        <v>3.4135470718716365E-3</v>
      </c>
      <c r="G28" s="2044">
        <f>IF(SUM('Table2(II).B-Hs2'!J95:M95,'Table2(II).B-Hs2'!J108:M108)=0,"NO",SUM('Table2(II).B-Hs2'!J95:M95,'Table2(II).B-Hs2'!J108:M108))</f>
        <v>4.1614482872419032</v>
      </c>
      <c r="H28" s="2044">
        <f>IF(SUM('Table2(II).B-Hs2'!J96:M96,'Table2(II).B-Hs2'!J109:M109)=0,"NO",SUM('Table2(II).B-Hs2'!J96:M96,'Table2(II).B-Hs2'!J109:M109))</f>
        <v>4.6591716053482751E-3</v>
      </c>
      <c r="I28" s="2044">
        <f>IF(SUM('Table2(II).B-Hs2'!J97:M97,'Table2(II).B-Hs2'!J110:M110)=0,"NO",SUM('Table2(II).B-Hs2'!J97:M97,'Table2(II).B-Hs2'!J110:M110))</f>
        <v>11.899337151977706</v>
      </c>
      <c r="J28" s="2044" t="s">
        <v>2146</v>
      </c>
      <c r="K28" s="2044">
        <f>IF(SUM('Table2(II).B-Hs2'!J98:M98,'Table2(II).B-Hs2'!J111:M111)=0,"NO",SUM('Table2(II).B-Hs2'!J98:M98,'Table2(II).B-Hs2'!J111:M111))</f>
        <v>0.39832511518033581</v>
      </c>
      <c r="L28" s="2044" t="s">
        <v>2146</v>
      </c>
      <c r="M28" s="2044" t="str">
        <f>IF(SUM('Table2(II).B-Hs2'!J99:M99,'Table2(II).B-Hs2'!J112:M112)=0,"NO",SUM('Table2(II).B-Hs2'!J99:M99,'Table2(II).B-Hs2'!J112:M112))</f>
        <v>NO</v>
      </c>
      <c r="N28" s="2044" t="s">
        <v>2146</v>
      </c>
      <c r="O28" s="2044">
        <f>IF(SUM('Table2(II).B-Hs2'!J100:M100,'Table2(II).B-Hs2'!J113:M113)=0,"NO",SUM('Table2(II).B-Hs2'!J100:M100,'Table2(II).B-Hs2'!J113:M113))</f>
        <v>0.14132139370783725</v>
      </c>
      <c r="P28" s="2044" t="s">
        <v>2146</v>
      </c>
      <c r="Q28" s="2044" t="s">
        <v>2146</v>
      </c>
      <c r="R28" s="2044">
        <f>IF(SUM('Table2(II).B-Hs2'!J101:M101,'Table2(II).B-Hs2'!J114:M114)=0,"NO",SUM('Table2(II).B-Hs2'!J101:M101,'Table2(II).B-Hs2'!J114:M114))</f>
        <v>1.513700976396451E-5</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4.5343725184465668E-4</v>
      </c>
      <c r="D29" s="2044">
        <f>IF(SUM('Table2(II).B-Hs2'!J119:M119)=0,"NO",SUM('Table2(II).B-Hs2'!J119:M119))</f>
        <v>7.0871480544296914E-2</v>
      </c>
      <c r="E29" s="2044" t="s">
        <v>2146</v>
      </c>
      <c r="F29" s="2044">
        <f>IF(SUM('Table2(II).B-Hs2'!J120:M120)=0,"NO",SUM('Table2(II).B-Hs2'!J120:M120))</f>
        <v>1.0521273106378177E-3</v>
      </c>
      <c r="G29" s="2044">
        <f>IF(SUM('Table2(II).B-Hs2'!J121:M121)=0,"NO",SUM('Table2(II).B-Hs2'!J121:M121))</f>
        <v>1.2826462628545294</v>
      </c>
      <c r="H29" s="2044">
        <f>IF(SUM('Table2(II).B-Hs2'!J122:M122)=0,"NO",SUM('Table2(II).B-Hs2'!J122:M122))</f>
        <v>1.4360551027197033E-3</v>
      </c>
      <c r="I29" s="2044">
        <f>IF(SUM('Table2(II).B-Hs2'!J123:M123)=0,"NO",SUM('Table2(II).B-Hs2'!J123:M123))</f>
        <v>3.6676270555186776</v>
      </c>
      <c r="J29" s="2044" t="s">
        <v>2146</v>
      </c>
      <c r="K29" s="2044">
        <f>IF(SUM('Table2(II).B-Hs2'!J124:M124)=0,"NO",SUM('Table2(II).B-Hs2'!J124:M124))</f>
        <v>0.12277221417204622</v>
      </c>
      <c r="L29" s="2044" t="s">
        <v>2146</v>
      </c>
      <c r="M29" s="2044" t="str">
        <f>IF(SUM('Table2(II).B-Hs2'!J125:M125)=0,"NO",SUM('Table2(II).B-Hs2'!J125:M125))</f>
        <v>NO</v>
      </c>
      <c r="N29" s="2044" t="s">
        <v>2146</v>
      </c>
      <c r="O29" s="2044">
        <f>IF(SUM('Table2(II).B-Hs2'!J126:M126)=0,"NO",SUM('Table2(II).B-Hs2'!J126:M126))</f>
        <v>4.3558238620066796E-2</v>
      </c>
      <c r="P29" s="2044" t="s">
        <v>2146</v>
      </c>
      <c r="Q29" s="2044" t="s">
        <v>2146</v>
      </c>
      <c r="R29" s="2044">
        <f>IF(SUM('Table2(II).B-Hs2'!J127:M127)=0,"NO",SUM('Table2(II).B-Hs2'!J127:M127))</f>
        <v>4.6655461426890955E-6</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2.5353151941191056E-3</v>
      </c>
      <c r="D30" s="2044">
        <f>IF(SUM('Table2(II).B-Hs2'!J133:M133)=0,"NO",SUM('Table2(II).B-Hs2'!J133:M133))</f>
        <v>0.3962655047036801</v>
      </c>
      <c r="E30" s="2044" t="s">
        <v>2146</v>
      </c>
      <c r="F30" s="2044">
        <f>IF(SUM('Table2(II).B-Hs2'!J134:M134)=0,"NO",SUM('Table2(II).B-Hs2'!J134:M134))</f>
        <v>5.8827860877243999E-3</v>
      </c>
      <c r="G30" s="2044">
        <f>IF(SUM('Table2(II).B-Hs2'!J135:M135)=0,"NO",SUM('Table2(II).B-Hs2'!J135:M135))</f>
        <v>7.1716925454754019</v>
      </c>
      <c r="H30" s="2044">
        <f>IF(SUM('Table2(II).B-Hs2'!J136:M136)=0,"NO",SUM('Table2(II).B-Hs2'!J136:M136))</f>
        <v>8.0294512784425086E-3</v>
      </c>
      <c r="I30" s="2044">
        <f>IF(SUM('Table2(II).B-Hs2'!J137:M137)=0,"NO",SUM('Table2(II).B-Hs2'!J137:M137))</f>
        <v>20.506896075235627</v>
      </c>
      <c r="J30" s="2044" t="s">
        <v>2146</v>
      </c>
      <c r="K30" s="2044">
        <f>IF(SUM('Table2(II).B-Hs2'!J138:M138)=0,"NO",SUM('Table2(II).B-Hs2'!J138:M138))</f>
        <v>0.68645939154701519</v>
      </c>
      <c r="L30" s="2044" t="s">
        <v>2146</v>
      </c>
      <c r="M30" s="2044" t="str">
        <f>IF(SUM('Table2(II).B-Hs2'!J139:M139)=0,"NO",SUM('Table2(II).B-Hs2'!J139:M139))</f>
        <v>NO</v>
      </c>
      <c r="N30" s="2044" t="s">
        <v>2146</v>
      </c>
      <c r="O30" s="2044">
        <f>IF(SUM('Table2(II).B-Hs2'!J140:M140)=0,"NO",SUM('Table2(II).B-Hs2'!J140:M140))</f>
        <v>0.24354828314889873</v>
      </c>
      <c r="P30" s="2044" t="s">
        <v>2146</v>
      </c>
      <c r="Q30" s="2044" t="s">
        <v>2146</v>
      </c>
      <c r="R30" s="2044">
        <f>IF(SUM('Table2(II).B-Hs2'!J141:M141)=0,"NO",SUM('Table2(II).B-Hs2'!J141:M141))</f>
        <v>2.608658634971576E-5</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2.2615358860309399E-3</v>
      </c>
      <c r="D31" s="2044">
        <f>IF(SUM('Table2(II).B-Hs2'!J148:M148)=0,"NO",SUM('Table2(II).B-Hs2'!J148:M148))</f>
        <v>0.35347425888594819</v>
      </c>
      <c r="E31" s="2044" t="s">
        <v>2146</v>
      </c>
      <c r="F31" s="2044">
        <f>IF(SUM('Table2(II).B-Hs2'!J149:M149)=0,"NO",SUM('Table2(II).B-Hs2'!J149:M149))</f>
        <v>5.2475257822350565E-3</v>
      </c>
      <c r="G31" s="2044">
        <f>IF(SUM('Table2(II).B-Hs2'!J150:M150)=0,"NO",SUM('Table2(II).B-Hs2'!J150:M150))</f>
        <v>6.3972480000888003</v>
      </c>
      <c r="H31" s="2044">
        <f>IF(SUM('Table2(II).B-Hs2'!J151:M151)=0,"NO",SUM('Table2(II).B-Hs2'!J151:M151))</f>
        <v>7.1623805408715822E-3</v>
      </c>
      <c r="I31" s="2044">
        <f>IF(SUM('Table2(II).B-Hs2'!J152:M152)=0,"NO",SUM('Table2(II).B-Hs2'!J152:M152))</f>
        <v>18.292432235971397</v>
      </c>
      <c r="J31" s="2044" t="s">
        <v>2146</v>
      </c>
      <c r="K31" s="2044">
        <f>IF(SUM('Table2(II).B-Hs2'!J153:M153)=0,"NO",SUM('Table2(II).B-Hs2'!J153:M153))</f>
        <v>0.61233118149869248</v>
      </c>
      <c r="L31" s="2044" t="s">
        <v>2146</v>
      </c>
      <c r="M31" s="2044" t="str">
        <f>IF(SUM('Table2(II).B-Hs2'!J154:M154)=0,"NO",SUM('Table2(II).B-Hs2'!J154:M154))</f>
        <v>NO</v>
      </c>
      <c r="N31" s="2044" t="s">
        <v>2146</v>
      </c>
      <c r="O31" s="2044">
        <f>IF(SUM('Table2(II).B-Hs2'!J155:M155)=0,"NO",SUM('Table2(II).B-Hs2'!J155:M155))</f>
        <v>0.21724840508985782</v>
      </c>
      <c r="P31" s="2044" t="s">
        <v>2146</v>
      </c>
      <c r="Q31" s="2044" t="s">
        <v>2146</v>
      </c>
      <c r="R31" s="2044">
        <f>IF(SUM('Table2(II).B-Hs2'!J156:M156)=0,"NO",SUM('Table2(II).B-Hs2'!J156:M156))</f>
        <v>2.3269592400492471E-5</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9.872600999614674</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9.2022184357678185</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0.67038256384685546</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1.133087899385347</v>
      </c>
      <c r="D39" s="4196">
        <f t="shared" ref="D39:AK39" si="72">IF(SUM(D40:D45)=0,"NO",SUM(D40:D45))</f>
        <v>9.6690742265356295</v>
      </c>
      <c r="E39" s="4196" t="str">
        <f t="shared" si="72"/>
        <v>NO</v>
      </c>
      <c r="F39" s="4196">
        <f t="shared" si="72"/>
        <v>0.3498460366127244</v>
      </c>
      <c r="G39" s="4196">
        <f t="shared" si="72"/>
        <v>819.39042056018047</v>
      </c>
      <c r="H39" s="4196">
        <f t="shared" si="72"/>
        <v>0.32412598319964869</v>
      </c>
      <c r="I39" s="4196">
        <f t="shared" si="72"/>
        <v>960.8447910944119</v>
      </c>
      <c r="J39" s="4196" t="str">
        <f t="shared" si="72"/>
        <v>NO</v>
      </c>
      <c r="K39" s="4196">
        <f t="shared" si="72"/>
        <v>118.75886702023848</v>
      </c>
      <c r="L39" s="4196" t="str">
        <f t="shared" si="72"/>
        <v>NO</v>
      </c>
      <c r="M39" s="4196" t="str">
        <f t="shared" si="72"/>
        <v>NO</v>
      </c>
      <c r="N39" s="4196" t="str">
        <f t="shared" si="72"/>
        <v>NO</v>
      </c>
      <c r="O39" s="4196">
        <f t="shared" si="72"/>
        <v>29.406262976496475</v>
      </c>
      <c r="P39" s="4196" t="str">
        <f t="shared" si="72"/>
        <v>NO</v>
      </c>
      <c r="Q39" s="4196" t="str">
        <f t="shared" si="72"/>
        <v>NO</v>
      </c>
      <c r="R39" s="4196">
        <f t="shared" si="72"/>
        <v>7.5781334835618077E-3</v>
      </c>
      <c r="S39" s="4196" t="str">
        <f t="shared" si="72"/>
        <v>NO</v>
      </c>
      <c r="T39" s="4196" t="str">
        <f t="shared" si="72"/>
        <v>NO</v>
      </c>
      <c r="U39" s="4196" t="str">
        <f t="shared" si="72"/>
        <v>NO</v>
      </c>
      <c r="V39" s="4196" t="str">
        <f t="shared" si="72"/>
        <v>NO</v>
      </c>
      <c r="W39" s="4196">
        <f t="shared" si="72"/>
        <v>1939.8840539305443</v>
      </c>
      <c r="X39" s="4196">
        <f t="shared" si="72"/>
        <v>1276.3105737075391</v>
      </c>
      <c r="Y39" s="4196">
        <f t="shared" si="72"/>
        <v>277.50773477360605</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1553.8183084811451</v>
      </c>
      <c r="AI39" s="4197" t="str">
        <f t="shared" si="72"/>
        <v>NO</v>
      </c>
      <c r="AJ39" s="4197">
        <f t="shared" si="72"/>
        <v>232.00612349094482</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1276.3105737075391</v>
      </c>
      <c r="Y41" s="4199">
        <f>IF(SUM(Y16)=0,"NO",Y16*11100/1000)</f>
        <v>277.50773477360605</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1553.8183084811451</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1.133087899385347</v>
      </c>
      <c r="D43" s="4199">
        <f>IF(SUM(D26)=0,"NO",D26*677/1000)</f>
        <v>9.6690742265356295</v>
      </c>
      <c r="E43" s="4199" t="str">
        <f>IF(SUM(E26)=0,"NO",E26*116/1000)</f>
        <v>NO</v>
      </c>
      <c r="F43" s="4199">
        <f>IF(SUM(F26)=0,"NO",F26*1650/1000)</f>
        <v>0.3498460366127244</v>
      </c>
      <c r="G43" s="4199">
        <f>IF(SUM(G26)=0,"NO",G26*3170/1000)</f>
        <v>819.39042056018047</v>
      </c>
      <c r="H43" s="4199">
        <f>IF(SUM(H26)=0,"NO",H26*1120/1000)</f>
        <v>0.32412598319964869</v>
      </c>
      <c r="I43" s="4199">
        <f>IF(SUM(I26)=0,"NO",I26*1300/1000)</f>
        <v>960.8447910944119</v>
      </c>
      <c r="J43" s="4199" t="str">
        <f>IF(SUM(J26)=0,"NO",J26*328/1000)</f>
        <v>NO</v>
      </c>
      <c r="K43" s="4199">
        <f>IF(SUM(K26)=0,"NO",K26*4800/1000)</f>
        <v>118.75886702023848</v>
      </c>
      <c r="L43" s="4199" t="str">
        <f>IF(SUM(L26)=0,"NO",L26*16/1000)</f>
        <v>NO</v>
      </c>
      <c r="M43" s="4199" t="str">
        <f>IF(SUM(M26)=0,"NO",M26*138/1000)</f>
        <v>NO</v>
      </c>
      <c r="N43" s="4199" t="str">
        <f>IF(SUM(N26)=0,"NO",N26*4/1000)</f>
        <v>NO</v>
      </c>
      <c r="O43" s="4199">
        <f>IF(SUM(O26)=0,"NO",O26*3350/1000)</f>
        <v>29.406262976496475</v>
      </c>
      <c r="P43" s="4199" t="str">
        <f>IF(SUM(P26)=0,"NO",P26*1210/1000)</f>
        <v>NO</v>
      </c>
      <c r="Q43" s="4199" t="str">
        <f>IF(SUM(Q26)=0,"NO",Q26*1330/1000)</f>
        <v>NO</v>
      </c>
      <c r="R43" s="4199">
        <f>IF(SUM(R26)=0,"NO",R26*8060/1000)</f>
        <v>7.5781334835618077E-3</v>
      </c>
      <c r="S43" s="4199" t="str">
        <f>IF(SUM(S26)=0,"NO",S26*716/1000)</f>
        <v>NO</v>
      </c>
      <c r="T43" s="4199" t="str">
        <f>IF(SUM(T26)=0,"NO",T26*858/1000)</f>
        <v>NO</v>
      </c>
      <c r="U43" s="4199" t="str">
        <f>IF(SUM(U26)=0,"NO",U26*804/1000)</f>
        <v>NO</v>
      </c>
      <c r="V43" s="4199" t="str">
        <f>IF(SUM(V26)=0,"NO",V26*1/1000)</f>
        <v>NO</v>
      </c>
      <c r="W43" s="4199">
        <f t="shared" si="73"/>
        <v>1939.8840539305443</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232.00612349094482</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6291.2170628710082</v>
      </c>
      <c r="I10" s="628"/>
      <c r="J10" s="628"/>
      <c r="K10" s="3192" t="str">
        <f>IF(SUM(K11:K14)=0,"NO",SUM(K11:K14))</f>
        <v>NO</v>
      </c>
      <c r="L10" s="3192" t="str">
        <f>IF(SUM(L11:L14)=0,"NO",SUM(L11:L14))</f>
        <v>NO</v>
      </c>
      <c r="M10" s="628"/>
      <c r="N10" s="1838"/>
    </row>
    <row r="11" spans="2:14" ht="18" customHeight="1" x14ac:dyDescent="0.2">
      <c r="B11" s="287" t="s">
        <v>491</v>
      </c>
      <c r="C11" s="2099" t="s">
        <v>2181</v>
      </c>
      <c r="D11" s="691">
        <v>6353.6109999999999</v>
      </c>
      <c r="E11" s="1913">
        <f>IF(SUM($D11)=0,"NA",H11/$D11)</f>
        <v>0.54893791137040027</v>
      </c>
      <c r="F11" s="628"/>
      <c r="G11" s="628"/>
      <c r="H11" s="3180">
        <v>3487.7379520000004</v>
      </c>
      <c r="I11" s="628"/>
      <c r="J11" s="628"/>
      <c r="K11" s="3180" t="s">
        <v>2146</v>
      </c>
      <c r="L11" s="691" t="s">
        <v>2146</v>
      </c>
      <c r="M11" s="628"/>
      <c r="N11" s="1838"/>
    </row>
    <row r="12" spans="2:14" ht="18" customHeight="1" x14ac:dyDescent="0.2">
      <c r="B12" s="287" t="s">
        <v>492</v>
      </c>
      <c r="C12" s="2100" t="s">
        <v>2182</v>
      </c>
      <c r="D12" s="691">
        <v>1570.0903698399998</v>
      </c>
      <c r="E12" s="1913">
        <f>IF(SUM($D12)=0,"NA",H12/$D12)</f>
        <v>0.74881329737024649</v>
      </c>
      <c r="F12" s="628"/>
      <c r="G12" s="628"/>
      <c r="H12" s="3180">
        <v>1175.70454700916</v>
      </c>
      <c r="I12" s="628"/>
      <c r="J12" s="628"/>
      <c r="K12" s="3180" t="s">
        <v>2146</v>
      </c>
      <c r="L12" s="691" t="s">
        <v>2146</v>
      </c>
      <c r="M12" s="628"/>
      <c r="N12" s="1838"/>
    </row>
    <row r="13" spans="2:14" ht="18" customHeight="1" x14ac:dyDescent="0.2">
      <c r="B13" s="287" t="s">
        <v>493</v>
      </c>
      <c r="C13" s="2100" t="s">
        <v>2267</v>
      </c>
      <c r="D13" s="691">
        <v>258.99182578979031</v>
      </c>
      <c r="E13" s="1913">
        <f>IF(SUM($D13)=0,"NA",H13/$D13)</f>
        <v>0.39573900000000006</v>
      </c>
      <c r="F13" s="628"/>
      <c r="G13" s="628"/>
      <c r="H13" s="3180">
        <v>102.49316614622585</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1525.2813977156218</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33.988060373453337</v>
      </c>
      <c r="I15" s="628"/>
      <c r="J15" s="628"/>
      <c r="K15" s="3180" t="s">
        <v>2146</v>
      </c>
      <c r="L15" s="691" t="s">
        <v>2146</v>
      </c>
      <c r="M15" s="628"/>
      <c r="N15" s="1838"/>
    </row>
    <row r="16" spans="2:14" ht="18" customHeight="1" x14ac:dyDescent="0.2">
      <c r="B16" s="160" t="s">
        <v>496</v>
      </c>
      <c r="C16" s="484" t="s">
        <v>2316</v>
      </c>
      <c r="D16" s="2905">
        <v>425.89600000000002</v>
      </c>
      <c r="E16" s="1913">
        <f>IF(SUM($D16)=0,"NA",H16/$D16)</f>
        <v>0.41492000000000007</v>
      </c>
      <c r="F16" s="628"/>
      <c r="G16" s="628"/>
      <c r="H16" s="3180">
        <v>176.71276832000004</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1314.5805690221684</v>
      </c>
      <c r="I18" s="628"/>
      <c r="J18" s="628"/>
      <c r="K18" s="3181" t="str">
        <f>K19</f>
        <v>NO</v>
      </c>
      <c r="L18" s="3193" t="str">
        <f>L19</f>
        <v>NO</v>
      </c>
      <c r="M18" s="628"/>
      <c r="N18" s="1838"/>
    </row>
    <row r="19" spans="2:14" ht="18" customHeight="1" x14ac:dyDescent="0.2">
      <c r="B19" s="3182" t="s">
        <v>2265</v>
      </c>
      <c r="C19" s="484" t="s">
        <v>2267</v>
      </c>
      <c r="D19" s="2905">
        <v>1994.4814382102097</v>
      </c>
      <c r="E19" s="1913">
        <f>IF(SUM($D19)=0,"NA",H19/$D19)</f>
        <v>0.41376631128561669</v>
      </c>
      <c r="F19" s="628"/>
      <c r="G19" s="628"/>
      <c r="H19" s="3180">
        <v>825.24922761587015</v>
      </c>
      <c r="I19" s="628"/>
      <c r="J19" s="628"/>
      <c r="K19" s="3180" t="s">
        <v>2146</v>
      </c>
      <c r="L19" s="3180" t="s">
        <v>2146</v>
      </c>
      <c r="M19" s="628"/>
      <c r="N19" s="1838"/>
    </row>
    <row r="20" spans="2:14" ht="18" customHeight="1" x14ac:dyDescent="0.2">
      <c r="B20" s="3183" t="s">
        <v>2264</v>
      </c>
      <c r="C20" s="484" t="s">
        <v>2267</v>
      </c>
      <c r="D20" s="2905">
        <v>449.51598709135664</v>
      </c>
      <c r="E20" s="1913">
        <f>IF(SUM($D20)=0,"NA",H20/$D20)</f>
        <v>0.51213774428355896</v>
      </c>
      <c r="F20" s="628"/>
      <c r="G20" s="628"/>
      <c r="H20" s="3180">
        <v>230.21410364836478</v>
      </c>
      <c r="I20" s="628"/>
      <c r="J20" s="628"/>
      <c r="K20" s="3180" t="s">
        <v>2146</v>
      </c>
      <c r="L20" s="3180" t="s">
        <v>2146</v>
      </c>
      <c r="M20" s="2135"/>
      <c r="N20" s="2149"/>
    </row>
    <row r="21" spans="2:14" ht="18" customHeight="1" thickBot="1" x14ac:dyDescent="0.25">
      <c r="B21" s="3183" t="s">
        <v>2266</v>
      </c>
      <c r="C21" s="484" t="s">
        <v>2267</v>
      </c>
      <c r="D21" s="2905">
        <v>1093.2989225222223</v>
      </c>
      <c r="E21" s="1913">
        <f>IF(SUM($D21)=0,"NA",H21/$D21)</f>
        <v>0.23700493288711413</v>
      </c>
      <c r="F21" s="628"/>
      <c r="G21" s="628"/>
      <c r="H21" s="3180">
        <v>259.11723775793348</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2213.581075348874</v>
      </c>
      <c r="I22" s="3067">
        <f>IF(SUM(I23:I26,I30,I33:I35,I47)=0,"IE",SUM(I23:I26,I30,I33:I35,I47))</f>
        <v>0.50438379999999994</v>
      </c>
      <c r="J22" s="3067">
        <f>IF(SUM(J23:J26,J30,J33:J35,J47)=0,"IE",SUM(J23:J26,J30,J33:J35,J47))</f>
        <v>7.4275444967741944</v>
      </c>
      <c r="K22" s="3067">
        <f>IF(SUM(K23:K26,K30,K33:K35,K47)=0,"NO",SUM(K23:K26,K30,K33:K35,K47))</f>
        <v>-176.87170476226899</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733.69326392464279</v>
      </c>
      <c r="E23" s="1913">
        <f>IF(SUM($D23)=0,"NA",H23/$D23)</f>
        <v>1.4524755822697601</v>
      </c>
      <c r="F23" s="1913" t="str">
        <f>IFERROR(IF(SUM($D23)=0,"NA",I23/$D23),"NA")</f>
        <v>NA</v>
      </c>
      <c r="G23" s="1913" t="str">
        <f>IFERROR(IF(SUM($D23)=0,"NA",J23/$D23),"NA")</f>
        <v>NA</v>
      </c>
      <c r="H23" s="691">
        <v>1065.6715507263464</v>
      </c>
      <c r="I23" s="691" t="s">
        <v>2146</v>
      </c>
      <c r="J23" s="691" t="s">
        <v>2146</v>
      </c>
      <c r="K23" s="3180">
        <v>-176.87170476226899</v>
      </c>
      <c r="L23" s="691" t="s">
        <v>2146</v>
      </c>
      <c r="M23" s="691" t="s">
        <v>2146</v>
      </c>
      <c r="N23" s="2911" t="s">
        <v>2146</v>
      </c>
    </row>
    <row r="24" spans="2:14" ht="18" customHeight="1" x14ac:dyDescent="0.2">
      <c r="B24" s="287" t="s">
        <v>500</v>
      </c>
      <c r="C24" s="484" t="s">
        <v>220</v>
      </c>
      <c r="D24" s="691">
        <v>712.76599999999996</v>
      </c>
      <c r="E24" s="2108"/>
      <c r="F24" s="2108"/>
      <c r="G24" s="1913">
        <f>IF(SUM($D24)=0,"NA",J24/$D24)</f>
        <v>1.0420733447967769E-2</v>
      </c>
      <c r="H24" s="2108"/>
      <c r="I24" s="2108"/>
      <c r="J24" s="691">
        <v>7.4275444967741944</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975.25097852008435</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46.86107299999999</v>
      </c>
      <c r="I35" s="3196">
        <f>I46</f>
        <v>0.50438379999999994</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46.86107299999999</v>
      </c>
      <c r="I42" s="3198">
        <f>IF(SUM(I44:I45)=0,"NO",SUM(I44:I45))</f>
        <v>0.50438379999999994</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46.86107299999999</v>
      </c>
      <c r="I45" s="3198">
        <f>I46</f>
        <v>0.50438379999999994</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46.86107299999999</v>
      </c>
      <c r="I46" s="691">
        <v>0.50438379999999994</v>
      </c>
      <c r="J46" s="628"/>
      <c r="K46" s="691" t="s">
        <v>2146</v>
      </c>
      <c r="L46" s="691" t="s">
        <v>2146</v>
      </c>
      <c r="M46" s="691" t="s">
        <v>2146</v>
      </c>
      <c r="N46" s="1838"/>
    </row>
    <row r="47" spans="2:16" ht="18" customHeight="1" x14ac:dyDescent="0.2">
      <c r="B47" s="287" t="s">
        <v>520</v>
      </c>
      <c r="C47" s="2104"/>
      <c r="D47" s="628"/>
      <c r="E47" s="628"/>
      <c r="F47" s="628"/>
      <c r="G47" s="628"/>
      <c r="H47" s="3198">
        <f>H50</f>
        <v>125.79747310244333</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125.79747310244333</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125.79747310244333</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12479.913157591614</v>
      </c>
      <c r="I52" s="3192">
        <f>IF(SUM(I53,I62:I67)=0,"IE",SUM(I53,I62:I67))</f>
        <v>2.709476352544204</v>
      </c>
      <c r="J52" s="1909">
        <f>J67</f>
        <v>7.6570554270628893E-2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1808.9999999999998</v>
      </c>
      <c r="E63" s="4130">
        <f>IF(SUM($D63)=0,"NA",H63/$D63)</f>
        <v>1.6935710868458376</v>
      </c>
      <c r="F63" s="1892"/>
      <c r="G63" s="2107"/>
      <c r="H63" s="691">
        <v>3063.6700961041197</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9416.2430614874938</v>
      </c>
      <c r="I67" s="3199">
        <f t="shared" ref="I67:N67" si="8">IF(SUM(I69:I70)=0,I70,SUM(I69:I70))</f>
        <v>2.709476352544204</v>
      </c>
      <c r="J67" s="3199">
        <f t="shared" si="8"/>
        <v>7.6570554270628893E-2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9416.2430614874938</v>
      </c>
      <c r="I70" s="3095">
        <f t="shared" si="9"/>
        <v>2.709476352544204</v>
      </c>
      <c r="J70" s="3095">
        <f t="shared" si="9"/>
        <v>7.6570554270628893E-2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9416.2430614874938</v>
      </c>
      <c r="I71" s="3123">
        <v>2.709476352544204</v>
      </c>
      <c r="J71" s="3123">
        <v>7.6570554270628893E-2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297.93334749999997</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554.12371126899995</v>
      </c>
      <c r="E73" s="4130">
        <f t="shared" ref="E73:G74" si="11">IF(SUM($D73)=0,"NA",H73/$D73)</f>
        <v>0.53766576206909134</v>
      </c>
      <c r="F73" s="276" t="s">
        <v>2147</v>
      </c>
      <c r="G73" s="276" t="s">
        <v>2147</v>
      </c>
      <c r="H73" s="3122">
        <v>297.93334749999997</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326.416363636364</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149.78769203062836</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149.78769203062836</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217.50606239319896</v>
      </c>
      <c r="H22" s="2611" t="str">
        <f>H23</f>
        <v>NO</v>
      </c>
    </row>
    <row r="23" spans="2:8" ht="18" customHeight="1" x14ac:dyDescent="0.2">
      <c r="B23" s="169" t="s">
        <v>636</v>
      </c>
      <c r="C23" s="2507"/>
      <c r="D23" s="76"/>
      <c r="E23" s="76"/>
      <c r="F23" s="4322"/>
      <c r="G23" s="3188">
        <f>IF(SUM(G24,G27)=0,"NO",SUM(G24,G27))</f>
        <v>217.50606239319896</v>
      </c>
      <c r="H23" s="2611" t="str">
        <f>H24</f>
        <v>NO</v>
      </c>
    </row>
    <row r="24" spans="2:8" ht="18" customHeight="1" x14ac:dyDescent="0.2">
      <c r="B24" s="171" t="s">
        <v>637</v>
      </c>
      <c r="C24" s="2507"/>
      <c r="D24" s="76"/>
      <c r="E24" s="76"/>
      <c r="F24" s="4322"/>
      <c r="G24" s="3188">
        <f>IF(SUM(G25:G26)=0,"NO",SUM(G25:G26))</f>
        <v>217.50606239319896</v>
      </c>
      <c r="H24" s="2611" t="str">
        <f>H25</f>
        <v>NO</v>
      </c>
    </row>
    <row r="25" spans="2:8" ht="18" customHeight="1" x14ac:dyDescent="0.25">
      <c r="B25" s="2609" t="s">
        <v>1741</v>
      </c>
      <c r="C25" s="2620" t="s">
        <v>1741</v>
      </c>
      <c r="D25" s="73" t="s">
        <v>638</v>
      </c>
      <c r="E25" s="691">
        <v>1808999.9999999998</v>
      </c>
      <c r="F25" s="4320">
        <f t="shared" ref="F25:F28" si="2">IF(SUM(E25)=0,"NA",G25*1000/E25)</f>
        <v>0.106415348572</v>
      </c>
      <c r="G25" s="691">
        <v>192.50536556674797</v>
      </c>
      <c r="H25" s="2610" t="s">
        <v>2146</v>
      </c>
    </row>
    <row r="26" spans="2:8" ht="18" customHeight="1" x14ac:dyDescent="0.25">
      <c r="B26" s="2609" t="s">
        <v>1742</v>
      </c>
      <c r="C26" s="2620" t="s">
        <v>1742</v>
      </c>
      <c r="D26" s="73" t="s">
        <v>638</v>
      </c>
      <c r="E26" s="691">
        <v>1808999.9999999998</v>
      </c>
      <c r="F26" s="4320">
        <f t="shared" si="2"/>
        <v>1.3820175139E-2</v>
      </c>
      <c r="G26" s="691">
        <v>25.000696826450994</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37.701443936587452</v>
      </c>
      <c r="K10" s="3224">
        <f>IF(SUM(K11,K90,K117,K130,K146,K159)=0,"NO",SUM(K11,K90,K117,K130,K146,K159))</f>
        <v>943.8994134385722</v>
      </c>
      <c r="L10" s="3225">
        <f>IF(SUM(L11,L90,L117,L130,L146,L159)=0,"NO",SUM(L11,L90,L117,L130,L146,L159))</f>
        <v>233.08235702189191</v>
      </c>
      <c r="M10" s="3498">
        <f>IF(SUM(M11,M90,M117,M130,M146,M159)=0,"NO",SUM(M11,M90,M117,M130,M146,M159))</f>
        <v>-168.69365350046334</v>
      </c>
    </row>
    <row r="11" spans="1:13" ht="18" customHeight="1" x14ac:dyDescent="0.2">
      <c r="B11" s="147" t="s">
        <v>667</v>
      </c>
      <c r="C11" s="2508"/>
      <c r="D11" s="2108"/>
      <c r="E11" s="2108"/>
      <c r="F11" s="2108"/>
      <c r="G11" s="2108"/>
      <c r="H11" s="2108"/>
      <c r="I11" s="2108"/>
      <c r="J11" s="3103">
        <f>IF(SUM(J12,J25,J38,J51,J64,J77)=0,"NO",SUM(J12,J25,J38,J51,J64,J77))</f>
        <v>22.075088147525591</v>
      </c>
      <c r="K11" s="3103">
        <f t="shared" ref="K11:M11" si="0">IF(SUM(K12,K25,K38,K51,K64,K77)=0,"NO",SUM(K12,K25,K38,K51,K64,K77))</f>
        <v>889.49148032409175</v>
      </c>
      <c r="L11" s="3103">
        <f t="shared" si="0"/>
        <v>224.58042912110196</v>
      </c>
      <c r="M11" s="3226">
        <f t="shared" si="0"/>
        <v>-167.09655054278608</v>
      </c>
    </row>
    <row r="12" spans="1:13" ht="18" customHeight="1" x14ac:dyDescent="0.2">
      <c r="B12" s="104" t="s">
        <v>668</v>
      </c>
      <c r="C12" s="2508"/>
      <c r="D12" s="2108"/>
      <c r="E12" s="2108"/>
      <c r="F12" s="2108"/>
      <c r="G12" s="2108"/>
      <c r="H12" s="2108"/>
      <c r="I12" s="2108"/>
      <c r="J12" s="3103">
        <f>IF(SUM(J13:J24)=0,"NO",SUM(J13:J24))</f>
        <v>13.031142592781146</v>
      </c>
      <c r="K12" s="3103">
        <f>IF(SUM(K13:K24)=0,"NO",SUM(K13:K24))</f>
        <v>428.93612855107762</v>
      </c>
      <c r="L12" s="3103">
        <f>IF(SUM(L13:L24)=0,"NO",SUM(L13:L24))</f>
        <v>18.002278454472261</v>
      </c>
      <c r="M12" s="3226">
        <f>IF(SUM(M13:M24)=0,"NO",SUM(M13:M24))</f>
        <v>-7.3933657426933266</v>
      </c>
    </row>
    <row r="13" spans="1:13" ht="18" customHeight="1" x14ac:dyDescent="0.2">
      <c r="B13" s="2616" t="s">
        <v>559</v>
      </c>
      <c r="C13" s="2618" t="s">
        <v>559</v>
      </c>
      <c r="D13" s="3227">
        <v>6.5051754534887041E-2</v>
      </c>
      <c r="E13" s="3227">
        <v>0.29509572292825453</v>
      </c>
      <c r="F13" s="3227">
        <v>2.2185733917130931E-3</v>
      </c>
      <c r="G13" s="3103">
        <f>IF(SUM(D13)=0,"NA",J13/D13)</f>
        <v>1.7500000000000002E-2</v>
      </c>
      <c r="H13" s="3103">
        <f>IF(SUM(E13)=0,"NA",K13/E13)</f>
        <v>0.12698261865080684</v>
      </c>
      <c r="I13" s="3103">
        <f>IF(SUM(F13)=0,"NA",(SUM(L13:M13))/F13)</f>
        <v>0.41774536725329314</v>
      </c>
      <c r="J13" s="3227">
        <v>1.1384057043605234E-3</v>
      </c>
      <c r="K13" s="3227">
        <v>3.7472027650082701E-2</v>
      </c>
      <c r="L13" s="3227">
        <v>1.5726860740063325E-3</v>
      </c>
      <c r="M13" s="3497">
        <v>-6.4588731770676231E-4</v>
      </c>
    </row>
    <row r="14" spans="1:13" ht="18" customHeight="1" x14ac:dyDescent="0.2">
      <c r="B14" s="2616" t="s">
        <v>560</v>
      </c>
      <c r="C14" s="2618" t="s">
        <v>560</v>
      </c>
      <c r="D14" s="3227">
        <v>10.167479926133366</v>
      </c>
      <c r="E14" s="3227">
        <v>46.122965638870632</v>
      </c>
      <c r="F14" s="3227">
        <v>0.34675929321474463</v>
      </c>
      <c r="G14" s="3103">
        <f t="shared" ref="G14:G24" si="1">IF(SUM(D14)=0,"NA",J14/D14)</f>
        <v>1.7500000000000002E-2</v>
      </c>
      <c r="H14" s="3103">
        <f t="shared" ref="H14:H24" si="2">IF(SUM(E14)=0,"NA",K14/E14)</f>
        <v>0.12698261865080682</v>
      </c>
      <c r="I14" s="3103">
        <f t="shared" ref="I14:I78" si="3">IF(SUM(F14)=0,"NA",(SUM(L14:M14))/F14)</f>
        <v>0.41774536725329436</v>
      </c>
      <c r="J14" s="3227">
        <v>0.17793089870733392</v>
      </c>
      <c r="K14" s="3227">
        <v>5.8568149567649757</v>
      </c>
      <c r="L14" s="3227">
        <v>0.24580819075361582</v>
      </c>
      <c r="M14" s="3497">
        <v>-0.10095110246112954</v>
      </c>
    </row>
    <row r="15" spans="1:13" ht="18" customHeight="1" x14ac:dyDescent="0.2">
      <c r="B15" s="2616" t="s">
        <v>562</v>
      </c>
      <c r="C15" s="2618" t="s">
        <v>562</v>
      </c>
      <c r="D15" s="3227">
        <v>0.15094200415300241</v>
      </c>
      <c r="E15" s="3227">
        <v>0.68472157521719001</v>
      </c>
      <c r="F15" s="3227">
        <v>5.1478383096662753E-3</v>
      </c>
      <c r="G15" s="3103">
        <f t="shared" ref="G15" si="4">IF(SUM(D15)=0,"NA",J15/D15)</f>
        <v>1.7500000000000002E-2</v>
      </c>
      <c r="H15" s="3103">
        <f t="shared" ref="H15" si="5">IF(SUM(E15)=0,"NA",K15/E15)</f>
        <v>0.12698261865080684</v>
      </c>
      <c r="I15" s="3103">
        <f t="shared" si="3"/>
        <v>0.41774536725329714</v>
      </c>
      <c r="J15" s="3227">
        <v>2.6414850726775422E-3</v>
      </c>
      <c r="K15" s="3227">
        <v>8.6947738667784186E-2</v>
      </c>
      <c r="L15" s="3227">
        <v>3.6491619574492151E-3</v>
      </c>
      <c r="M15" s="3497">
        <v>-1.4986763522170847E-3</v>
      </c>
    </row>
    <row r="16" spans="1:13" ht="18" customHeight="1" x14ac:dyDescent="0.2">
      <c r="B16" s="2616" t="s">
        <v>563</v>
      </c>
      <c r="C16" s="2618" t="s">
        <v>563</v>
      </c>
      <c r="D16" s="3227">
        <v>184.01309002924233</v>
      </c>
      <c r="E16" s="3227">
        <v>834.74267863627801</v>
      </c>
      <c r="F16" s="3227">
        <v>6.275719205188258</v>
      </c>
      <c r="G16" s="3103">
        <f t="shared" si="1"/>
        <v>1.7500000000000005E-2</v>
      </c>
      <c r="H16" s="3103">
        <f t="shared" si="2"/>
        <v>0.12698261865080684</v>
      </c>
      <c r="I16" s="3103">
        <f t="shared" si="3"/>
        <v>0.41774536725329475</v>
      </c>
      <c r="J16" s="3227">
        <v>3.2202290755117415</v>
      </c>
      <c r="K16" s="3227">
        <v>105.99781123282349</v>
      </c>
      <c r="L16" s="3227">
        <v>4.4486859146690989</v>
      </c>
      <c r="M16" s="3497">
        <v>-1.8270332905191748</v>
      </c>
    </row>
    <row r="17" spans="2:13" ht="18" customHeight="1" x14ac:dyDescent="0.2">
      <c r="B17" s="2616" t="s">
        <v>564</v>
      </c>
      <c r="C17" s="2618" t="s">
        <v>564</v>
      </c>
      <c r="D17" s="3227">
        <v>0.20602167920843484</v>
      </c>
      <c r="E17" s="3227">
        <v>0.9345807319047984</v>
      </c>
      <c r="F17" s="3227">
        <v>7.0263164902455736E-3</v>
      </c>
      <c r="G17" s="3103">
        <f t="shared" si="1"/>
        <v>1.7499999999999998E-2</v>
      </c>
      <c r="H17" s="3103">
        <f t="shared" si="2"/>
        <v>0.12698261865080682</v>
      </c>
      <c r="I17" s="3103">
        <f t="shared" si="3"/>
        <v>0.41774536725329553</v>
      </c>
      <c r="J17" s="3227">
        <v>3.6053793861476092E-3</v>
      </c>
      <c r="K17" s="3227">
        <v>0.11867550867785895</v>
      </c>
      <c r="L17" s="3227">
        <v>4.9807638264505599E-3</v>
      </c>
      <c r="M17" s="3497">
        <v>-2.0455526637950363E-3</v>
      </c>
    </row>
    <row r="18" spans="2:13" ht="18" customHeight="1" x14ac:dyDescent="0.2">
      <c r="B18" s="2616" t="s">
        <v>565</v>
      </c>
      <c r="C18" s="2618" t="s">
        <v>565</v>
      </c>
      <c r="D18" s="3227">
        <v>526.17109417125857</v>
      </c>
      <c r="E18" s="3227">
        <v>2386.8816533633535</v>
      </c>
      <c r="F18" s="3227">
        <v>17.9449301154648</v>
      </c>
      <c r="G18" s="3103">
        <f t="shared" si="1"/>
        <v>1.7499999999999998E-2</v>
      </c>
      <c r="H18" s="3103">
        <f t="shared" si="2"/>
        <v>0.12698261865080687</v>
      </c>
      <c r="I18" s="3103">
        <f t="shared" si="3"/>
        <v>0.41774536725329675</v>
      </c>
      <c r="J18" s="3227">
        <v>9.2079941479970238</v>
      </c>
      <c r="K18" s="3227">
        <v>303.0924827536461</v>
      </c>
      <c r="L18" s="3227">
        <v>12.720670768442233</v>
      </c>
      <c r="M18" s="3497">
        <v>-5.2242593470226453</v>
      </c>
    </row>
    <row r="19" spans="2:13" ht="18" customHeight="1" x14ac:dyDescent="0.2">
      <c r="B19" s="2616" t="s">
        <v>567</v>
      </c>
      <c r="C19" s="2618" t="s">
        <v>567</v>
      </c>
      <c r="D19" s="3227">
        <v>17.613347618736551</v>
      </c>
      <c r="E19" s="3227">
        <v>79.899821087073747</v>
      </c>
      <c r="F19" s="3227">
        <v>0.6006986997555227</v>
      </c>
      <c r="G19" s="3103">
        <f t="shared" si="1"/>
        <v>1.7499999999999998E-2</v>
      </c>
      <c r="H19" s="3103">
        <f t="shared" si="2"/>
        <v>0.12698261865080684</v>
      </c>
      <c r="I19" s="3103">
        <f t="shared" si="3"/>
        <v>0.41774536725329392</v>
      </c>
      <c r="J19" s="3227">
        <v>0.30823358332788964</v>
      </c>
      <c r="K19" s="3227">
        <v>10.145888511367581</v>
      </c>
      <c r="L19" s="3227">
        <v>0.42581889934673534</v>
      </c>
      <c r="M19" s="3497">
        <v>-0.17487980040878837</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v>6.2490230680371308</v>
      </c>
      <c r="E21" s="3227">
        <v>28.347582521679609</v>
      </c>
      <c r="F21" s="3227">
        <v>0.21312132781158613</v>
      </c>
      <c r="G21" s="3103">
        <f t="shared" si="1"/>
        <v>1.7500000000000002E-2</v>
      </c>
      <c r="H21" s="3103">
        <f t="shared" si="2"/>
        <v>0.12698261865080682</v>
      </c>
      <c r="I21" s="3103">
        <f t="shared" si="3"/>
        <v>0.41774536725329386</v>
      </c>
      <c r="J21" s="3227">
        <v>0.10935790369064981</v>
      </c>
      <c r="K21" s="3227">
        <v>3.5996502610227186</v>
      </c>
      <c r="L21" s="3227">
        <v>0.15107588758387358</v>
      </c>
      <c r="M21" s="3497">
        <v>-6.2045440227712897E-2</v>
      </c>
    </row>
    <row r="22" spans="2:13" ht="18" customHeight="1" x14ac:dyDescent="0.2">
      <c r="B22" s="2616" t="s">
        <v>574</v>
      </c>
      <c r="C22" s="2618" t="s">
        <v>574</v>
      </c>
      <c r="D22" s="3227">
        <v>6.6933618976099693E-4</v>
      </c>
      <c r="E22" s="3227">
        <v>1.0751573784851887</v>
      </c>
      <c r="F22" s="3227">
        <v>2.2827538954663982E-5</v>
      </c>
      <c r="G22" s="3103">
        <f t="shared" si="1"/>
        <v>1.7499999999999998E-2</v>
      </c>
      <c r="H22" s="3103">
        <f t="shared" si="2"/>
        <v>3.5860839050958344E-4</v>
      </c>
      <c r="I22" s="3103">
        <f t="shared" si="3"/>
        <v>0.41774536725329431</v>
      </c>
      <c r="J22" s="3227">
        <v>1.1713383320817446E-5</v>
      </c>
      <c r="K22" s="3227">
        <v>3.8556045704307652E-4</v>
      </c>
      <c r="L22" s="3227">
        <v>1.6181818799384509E-5</v>
      </c>
      <c r="M22" s="3497">
        <v>-6.645720155279521E-6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f>IF(SUM(J26:J37)=0,"NO",SUM(J26:J37))</f>
        <v>0.11118985251189512</v>
      </c>
      <c r="K25" s="3103">
        <f>IF(SUM(K26:K37)=0,"NO",SUM(K26:K37))</f>
        <v>7.8040896384703888</v>
      </c>
      <c r="L25" s="3103">
        <f>IF(SUM(L26:L37)=0,"NO",SUM(L26:L37))</f>
        <v>10.033283686732444</v>
      </c>
      <c r="M25" s="3226">
        <f>IF(SUM(M26:M37)=0,"NO",SUM(M26:M37))</f>
        <v>-3.3817892966419447</v>
      </c>
    </row>
    <row r="26" spans="2:13" ht="18" customHeight="1" x14ac:dyDescent="0.2">
      <c r="B26" s="2616" t="s">
        <v>559</v>
      </c>
      <c r="C26" s="2618" t="s">
        <v>559</v>
      </c>
      <c r="D26" s="3227">
        <v>1.6189314874643411E-3</v>
      </c>
      <c r="E26" s="3227">
        <v>4.1440954476157241E-2</v>
      </c>
      <c r="F26" s="3227">
        <v>1.1719460131720345E-3</v>
      </c>
      <c r="G26" s="3103">
        <f>IF(SUM(D26)=0,"NA",J26/D26)</f>
        <v>6.0000000000000001E-3</v>
      </c>
      <c r="H26" s="3103">
        <f>IF(SUM(E26)=0,"NA",K26/E26)</f>
        <v>1.6451559241565401E-2</v>
      </c>
      <c r="I26" s="3103">
        <f t="shared" si="3"/>
        <v>0.49582245272417452</v>
      </c>
      <c r="J26" s="3227">
        <v>9.7135889247860471E-6</v>
      </c>
      <c r="K26" s="3227">
        <v>6.8176831759151572E-4</v>
      </c>
      <c r="L26" s="3227">
        <v>8.7651157994165499E-4</v>
      </c>
      <c r="M26" s="3497">
        <v>-2.9543443323037916E-4</v>
      </c>
    </row>
    <row r="27" spans="2:13" ht="18" customHeight="1" x14ac:dyDescent="0.2">
      <c r="B27" s="2616" t="s">
        <v>560</v>
      </c>
      <c r="C27" s="2618" t="s">
        <v>560</v>
      </c>
      <c r="D27" s="3227">
        <v>0.25303627117007632</v>
      </c>
      <c r="E27" s="3227">
        <v>6.4771515506190811</v>
      </c>
      <c r="F27" s="3227">
        <v>0.18317319261617024</v>
      </c>
      <c r="G27" s="3103">
        <f t="shared" ref="G27:G37" si="6">IF(SUM(D27)=0,"NA",J27/D27)</f>
        <v>6.0000000000000001E-3</v>
      </c>
      <c r="H27" s="3103">
        <f t="shared" ref="H27:H37" si="7">IF(SUM(E27)=0,"NA",K27/E27)</f>
        <v>1.6451559241565397E-2</v>
      </c>
      <c r="I27" s="3103">
        <f t="shared" si="3"/>
        <v>0.49582245272417452</v>
      </c>
      <c r="J27" s="3227">
        <v>1.518217627020458E-3</v>
      </c>
      <c r="K27" s="3227">
        <v>0.10655924245160699</v>
      </c>
      <c r="L27" s="3227">
        <v>0.1369972871262187</v>
      </c>
      <c r="M27" s="3497">
        <v>-4.6175905489951506E-2</v>
      </c>
    </row>
    <row r="28" spans="2:13" ht="18" customHeight="1" x14ac:dyDescent="0.2">
      <c r="B28" s="2616" t="s">
        <v>562</v>
      </c>
      <c r="C28" s="2618" t="s">
        <v>562</v>
      </c>
      <c r="D28" s="3227">
        <v>3.7564669093316603E-3</v>
      </c>
      <c r="E28" s="3227">
        <v>9.6156987115387907E-2</v>
      </c>
      <c r="F28" s="3227">
        <v>2.7193098979742224E-3</v>
      </c>
      <c r="G28" s="3103">
        <f t="shared" si="6"/>
        <v>6.0000000000000001E-3</v>
      </c>
      <c r="H28" s="3103">
        <f t="shared" si="7"/>
        <v>1.6451559241565401E-2</v>
      </c>
      <c r="I28" s="3103">
        <f t="shared" si="3"/>
        <v>0.49582245272417447</v>
      </c>
      <c r="J28" s="3227">
        <v>2.2538801455989963E-5</v>
      </c>
      <c r="K28" s="3227">
        <v>1.5819323700192451E-3</v>
      </c>
      <c r="L28" s="3227">
        <v>2.0338024006524625E-3</v>
      </c>
      <c r="M28" s="3497">
        <v>-6.8550749732175899E-4</v>
      </c>
    </row>
    <row r="29" spans="2:13" ht="18" customHeight="1" x14ac:dyDescent="0.2">
      <c r="B29" s="2616" t="s">
        <v>563</v>
      </c>
      <c r="C29" s="2618" t="s">
        <v>563</v>
      </c>
      <c r="D29" s="3227">
        <v>4.5795011630960056</v>
      </c>
      <c r="E29" s="3227">
        <v>117.22478727040685</v>
      </c>
      <c r="F29" s="3227">
        <v>3.3151051616230127</v>
      </c>
      <c r="G29" s="3103">
        <f t="shared" si="6"/>
        <v>6.0000000000000001E-3</v>
      </c>
      <c r="H29" s="3103">
        <f t="shared" si="7"/>
        <v>1.6451559241565401E-2</v>
      </c>
      <c r="I29" s="3103">
        <f t="shared" si="3"/>
        <v>0.49582245272417447</v>
      </c>
      <c r="J29" s="3227">
        <v>2.7477006978576034E-2</v>
      </c>
      <c r="K29" s="3227">
        <v>1.9285305323589998</v>
      </c>
      <c r="L29" s="3227">
        <v>2.4794043669487524</v>
      </c>
      <c r="M29" s="3497">
        <v>-0.8357007946742594</v>
      </c>
    </row>
    <row r="30" spans="2:13" ht="18" customHeight="1" x14ac:dyDescent="0.2">
      <c r="B30" s="2616" t="s">
        <v>564</v>
      </c>
      <c r="C30" s="2618" t="s">
        <v>564</v>
      </c>
      <c r="D30" s="3227">
        <v>5.1272250219160341E-3</v>
      </c>
      <c r="E30" s="3227">
        <v>0.13124526909723025</v>
      </c>
      <c r="F30" s="3227">
        <v>3.7116029736883756E-3</v>
      </c>
      <c r="G30" s="3103">
        <f t="shared" si="6"/>
        <v>6.000000000000001E-3</v>
      </c>
      <c r="H30" s="3103">
        <f t="shared" si="7"/>
        <v>1.6451559241565401E-2</v>
      </c>
      <c r="I30" s="3103">
        <f t="shared" si="3"/>
        <v>0.49582245272417452</v>
      </c>
      <c r="J30" s="3227">
        <v>3.0763350131496208E-5</v>
      </c>
      <c r="K30" s="3227">
        <v>2.1591893197282761E-3</v>
      </c>
      <c r="L30" s="3227">
        <v>2.7759495318204425E-3</v>
      </c>
      <c r="M30" s="3497">
        <v>-9.3565344186793227E-4</v>
      </c>
    </row>
    <row r="31" spans="2:13" ht="18" customHeight="1" x14ac:dyDescent="0.2">
      <c r="B31" s="2616" t="s">
        <v>565</v>
      </c>
      <c r="C31" s="2618" t="s">
        <v>565</v>
      </c>
      <c r="D31" s="3227">
        <v>13.094726779284318</v>
      </c>
      <c r="E31" s="3227">
        <v>335.19514602065044</v>
      </c>
      <c r="F31" s="3227">
        <v>9.4792849242777812</v>
      </c>
      <c r="G31" s="3103">
        <f t="shared" si="6"/>
        <v>6.0000000000000001E-3</v>
      </c>
      <c r="H31" s="3103">
        <f t="shared" si="7"/>
        <v>1.6451559241565401E-2</v>
      </c>
      <c r="I31" s="3103">
        <f t="shared" si="3"/>
        <v>0.4958224527241743</v>
      </c>
      <c r="J31" s="3227">
        <v>7.8568360675705912E-2</v>
      </c>
      <c r="K31" s="3227">
        <v>5.5144828022438954</v>
      </c>
      <c r="L31" s="3227">
        <v>7.0896636127522381</v>
      </c>
      <c r="M31" s="3497">
        <v>-2.3896213115255391</v>
      </c>
    </row>
    <row r="32" spans="2:13" ht="18" customHeight="1" x14ac:dyDescent="0.2">
      <c r="B32" s="2616" t="s">
        <v>567</v>
      </c>
      <c r="C32" s="2618" t="s">
        <v>567</v>
      </c>
      <c r="D32" s="3227" t="s">
        <v>2146</v>
      </c>
      <c r="E32" s="3227">
        <v>11.220511146234241</v>
      </c>
      <c r="F32" s="3227">
        <v>0.31731492360165731</v>
      </c>
      <c r="G32" s="3103" t="str">
        <f t="shared" si="6"/>
        <v>NA</v>
      </c>
      <c r="H32" s="3103">
        <f t="shared" si="7"/>
        <v>1.6451559241565401E-2</v>
      </c>
      <c r="I32" s="3103">
        <f t="shared" si="3"/>
        <v>0.49582245272417463</v>
      </c>
      <c r="J32" s="3227">
        <v>2.6300415658429581E-3</v>
      </c>
      <c r="K32" s="3227">
        <v>0.18459490384291752</v>
      </c>
      <c r="L32" s="3227">
        <v>0.23732339365390753</v>
      </c>
      <c r="M32" s="3497">
        <v>-7.9991529947749732E-2</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v>0.15551832972177188</v>
      </c>
      <c r="E34" s="3227">
        <v>3.9809146169009302</v>
      </c>
      <c r="F34" s="3227">
        <v>0.11257986388174376</v>
      </c>
      <c r="G34" s="3103">
        <f t="shared" si="6"/>
        <v>6.000000000000001E-3</v>
      </c>
      <c r="H34" s="3103">
        <f t="shared" si="7"/>
        <v>1.6451559241565401E-2</v>
      </c>
      <c r="I34" s="3103">
        <f t="shared" si="3"/>
        <v>0.49582245272417441</v>
      </c>
      <c r="J34" s="3227">
        <v>9.3310997833063135E-4</v>
      </c>
      <c r="K34" s="3227">
        <v>6.5492252655559288E-2</v>
      </c>
      <c r="L34" s="3227">
        <v>8.4199744059471809E-2</v>
      </c>
      <c r="M34" s="3497">
        <v>-2.8380119822271919E-2</v>
      </c>
    </row>
    <row r="35" spans="2:13" ht="18" customHeight="1" x14ac:dyDescent="0.2">
      <c r="B35" s="2616" t="s">
        <v>574</v>
      </c>
      <c r="C35" s="2618" t="s">
        <v>574</v>
      </c>
      <c r="D35" s="3227">
        <v>1.6657651143326951E-5</v>
      </c>
      <c r="E35" s="3227">
        <v>4.2639788530614118E-4</v>
      </c>
      <c r="F35" s="3227">
        <v>1.2058489193269579E-5</v>
      </c>
      <c r="G35" s="3103">
        <f t="shared" si="6"/>
        <v>6.000000000000001E-3</v>
      </c>
      <c r="H35" s="3103">
        <f t="shared" si="7"/>
        <v>1.6451559241565404E-2</v>
      </c>
      <c r="I35" s="3103">
        <f t="shared" si="3"/>
        <v>0.4958224527241743</v>
      </c>
      <c r="J35" s="3227">
        <v>9.9945906859961718E-8</v>
      </c>
      <c r="K35" s="3227">
        <v>7.0149100705921919E-6</v>
      </c>
      <c r="L35" s="3227">
        <v>9.0186794406122224E-6</v>
      </c>
      <c r="M35" s="3497">
        <v>-3.0398097526573504E-6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IE</v>
      </c>
      <c r="E41" s="3227" t="str">
        <f t="shared" si="11"/>
        <v>IE</v>
      </c>
      <c r="F41" s="3227" t="str">
        <f t="shared" si="11"/>
        <v>IE</v>
      </c>
      <c r="G41" s="3103" t="str">
        <f t="shared" si="12"/>
        <v>NA</v>
      </c>
      <c r="H41" s="3103" t="str">
        <f t="shared" si="13"/>
        <v>NA</v>
      </c>
      <c r="I41" s="3103" t="str">
        <f t="shared" si="3"/>
        <v>NA</v>
      </c>
      <c r="J41" s="3227" t="str">
        <f t="shared" ref="J41:L41" si="16">IF(J15="NO","NO","IE")</f>
        <v>IE</v>
      </c>
      <c r="K41" s="3227" t="str">
        <f t="shared" si="16"/>
        <v>IE</v>
      </c>
      <c r="L41" s="3227" t="str">
        <f t="shared" si="16"/>
        <v>IE</v>
      </c>
      <c r="M41" s="3497" t="str">
        <f t="shared" ref="M41" si="17">IF(M15="NO","NO","IE")</f>
        <v>IE</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f>IF(SUM(J52:J63)=0,"NO",SUM(J52:J63))</f>
        <v>3.1420040449255926</v>
      </c>
      <c r="K51" s="3103">
        <f>IF(SUM(K52:K63)=0,"NO",SUM(K52:K63))</f>
        <v>47.124223599006818</v>
      </c>
      <c r="L51" s="3103">
        <f>IF(SUM(L52:L63)=0,"NO",SUM(L52:L63))</f>
        <v>6.9788510811048905</v>
      </c>
      <c r="M51" s="3226">
        <f>IF(SUM(M52:M63)=0,"NO",SUM(M52:M63))</f>
        <v>-2.7443163571169991</v>
      </c>
    </row>
    <row r="52" spans="2:13" ht="18" customHeight="1" x14ac:dyDescent="0.2">
      <c r="B52" s="2616" t="s">
        <v>559</v>
      </c>
      <c r="C52" s="2618" t="s">
        <v>559</v>
      </c>
      <c r="D52" s="3227">
        <v>5.3820921573821522E-3</v>
      </c>
      <c r="E52" s="3227">
        <v>2.1417184375919669E-2</v>
      </c>
      <c r="F52" s="3227">
        <v>8.4941970340007898E-4</v>
      </c>
      <c r="G52" s="3103">
        <f>IF(SUM(D52)=0,"NA",J52/D52)</f>
        <v>5.1000000000000004E-2</v>
      </c>
      <c r="H52" s="3103">
        <f>IF(SUM(E52)=0,"NA",K52/E52)</f>
        <v>0.19221903771281651</v>
      </c>
      <c r="I52" s="3103">
        <f t="shared" si="3"/>
        <v>0.43550980181025128</v>
      </c>
      <c r="J52" s="3227">
        <v>2.7448670002648979E-4</v>
      </c>
      <c r="K52" s="3227">
        <v>4.1167905712572476E-3</v>
      </c>
      <c r="L52" s="3227">
        <v>6.0967515504078539E-4</v>
      </c>
      <c r="M52" s="3497">
        <v>-2.3974454835929459E-4</v>
      </c>
    </row>
    <row r="53" spans="2:13" ht="18" customHeight="1" x14ac:dyDescent="0.2">
      <c r="B53" s="2616" t="s">
        <v>560</v>
      </c>
      <c r="C53" s="2618" t="s">
        <v>560</v>
      </c>
      <c r="D53" s="3227">
        <v>0.84121196056957159</v>
      </c>
      <c r="E53" s="3227">
        <v>3.3474699302641722</v>
      </c>
      <c r="F53" s="3227">
        <v>0.1327628723457529</v>
      </c>
      <c r="G53" s="3103">
        <f t="shared" ref="G53:G63" si="36">IF(SUM(D53)=0,"NA",J53/D53)</f>
        <v>5.1000000000000011E-2</v>
      </c>
      <c r="H53" s="3103">
        <f t="shared" ref="H53:H63" si="37">IF(SUM(E53)=0,"NA",K53/E53)</f>
        <v>0.19221903771281657</v>
      </c>
      <c r="I53" s="3103">
        <f t="shared" si="3"/>
        <v>0.43550980181024956</v>
      </c>
      <c r="J53" s="3227">
        <v>4.2901809989048162E-2</v>
      </c>
      <c r="K53" s="3227">
        <v>0.64344744876796833</v>
      </c>
      <c r="L53" s="3227">
        <v>9.5291202284405574E-2</v>
      </c>
      <c r="M53" s="3497">
        <v>-3.7471670061347266E-2</v>
      </c>
    </row>
    <row r="54" spans="2:13" ht="18" customHeight="1" x14ac:dyDescent="0.2">
      <c r="B54" s="2616" t="s">
        <v>562</v>
      </c>
      <c r="C54" s="2618" t="s">
        <v>562</v>
      </c>
      <c r="D54" s="3227">
        <v>1.248826849605939E-2</v>
      </c>
      <c r="E54" s="3227">
        <v>4.969508902764444E-2</v>
      </c>
      <c r="F54" s="3227">
        <v>1.9709401124530243E-3</v>
      </c>
      <c r="G54" s="3103">
        <f t="shared" si="36"/>
        <v>5.1000000000000011E-2</v>
      </c>
      <c r="H54" s="3103">
        <f t="shared" si="37"/>
        <v>0.19221903771281657</v>
      </c>
      <c r="I54" s="3103">
        <f t="shared" si="3"/>
        <v>0.43550980181025001</v>
      </c>
      <c r="J54" s="3227">
        <v>6.3690169329902902E-4</v>
      </c>
      <c r="K54" s="3227">
        <v>9.5523421919465629E-3</v>
      </c>
      <c r="L54" s="3227">
        <v>1.4146519251036563E-3</v>
      </c>
      <c r="M54" s="3497">
        <v>-5.5628818734936784E-4</v>
      </c>
    </row>
    <row r="55" spans="2:13" ht="18" customHeight="1" x14ac:dyDescent="0.2">
      <c r="B55" s="2616" t="s">
        <v>563</v>
      </c>
      <c r="C55" s="2618" t="s">
        <v>563</v>
      </c>
      <c r="D55" s="3227">
        <v>15.224422704400791</v>
      </c>
      <c r="E55" s="3227">
        <v>60.583181882133871</v>
      </c>
      <c r="F55" s="3227">
        <v>2.4027690793573533</v>
      </c>
      <c r="G55" s="3103">
        <f t="shared" si="36"/>
        <v>5.0999999999999997E-2</v>
      </c>
      <c r="H55" s="3103">
        <f t="shared" si="37"/>
        <v>0.19221903771281657</v>
      </c>
      <c r="I55" s="3103">
        <f t="shared" si="3"/>
        <v>0.43550980181025112</v>
      </c>
      <c r="J55" s="3227">
        <v>0.77644555792444025</v>
      </c>
      <c r="K55" s="3227">
        <v>11.645240922964316</v>
      </c>
      <c r="L55" s="3227">
        <v>1.7245992824520382</v>
      </c>
      <c r="M55" s="3497">
        <v>-0.67816979690531776</v>
      </c>
    </row>
    <row r="56" spans="2:13" ht="18" customHeight="1" x14ac:dyDescent="0.2">
      <c r="B56" s="2616" t="s">
        <v>564</v>
      </c>
      <c r="C56" s="2618" t="s">
        <v>564</v>
      </c>
      <c r="D56" s="3227">
        <v>1.7045315254698597E-2</v>
      </c>
      <c r="E56" s="3227">
        <v>6.7829135748787017E-2</v>
      </c>
      <c r="F56" s="3227">
        <v>2.6901484041197323E-3</v>
      </c>
      <c r="G56" s="3103">
        <f t="shared" si="36"/>
        <v>5.0999999999999997E-2</v>
      </c>
      <c r="H56" s="3103">
        <f t="shared" si="37"/>
        <v>0.19221903771281654</v>
      </c>
      <c r="I56" s="3103">
        <f t="shared" si="3"/>
        <v>0.43550980181025151</v>
      </c>
      <c r="J56" s="3227">
        <v>8.6931107798962843E-4</v>
      </c>
      <c r="K56" s="3227">
        <v>1.3038051202523843E-2</v>
      </c>
      <c r="L56" s="3227">
        <v>1.9308672012190425E-3</v>
      </c>
      <c r="M56" s="3497">
        <v>-7.5928120290069353E-4</v>
      </c>
    </row>
    <row r="57" spans="2:13" ht="18" customHeight="1" x14ac:dyDescent="0.2">
      <c r="B57" s="2616" t="s">
        <v>565</v>
      </c>
      <c r="C57" s="2618" t="s">
        <v>565</v>
      </c>
      <c r="D57" s="3227">
        <v>43.533050563018669</v>
      </c>
      <c r="E57" s="3227">
        <v>173.23288845501702</v>
      </c>
      <c r="F57" s="3227">
        <v>6.8705309786679614</v>
      </c>
      <c r="G57" s="3103">
        <f t="shared" si="36"/>
        <v>5.1000000000000004E-2</v>
      </c>
      <c r="H57" s="3103">
        <f t="shared" si="37"/>
        <v>0.19221903771281654</v>
      </c>
      <c r="I57" s="3103">
        <f t="shared" si="3"/>
        <v>0.43550980181024951</v>
      </c>
      <c r="J57" s="3227">
        <v>2.2201855787139522</v>
      </c>
      <c r="K57" s="3227">
        <v>33.298659119035058</v>
      </c>
      <c r="L57" s="3227">
        <v>4.9313572817594107</v>
      </c>
      <c r="M57" s="3497">
        <v>-1.9391736969085471</v>
      </c>
    </row>
    <row r="58" spans="2:13" ht="18" customHeight="1" x14ac:dyDescent="0.2">
      <c r="B58" s="2616" t="s">
        <v>567</v>
      </c>
      <c r="C58" s="2618" t="s">
        <v>567</v>
      </c>
      <c r="D58" s="3227">
        <v>1.4572498583909594</v>
      </c>
      <c r="E58" s="3227">
        <v>5.798895296903023</v>
      </c>
      <c r="F58" s="3227">
        <v>0.22998802441471561</v>
      </c>
      <c r="G58" s="3103">
        <f t="shared" si="36"/>
        <v>5.1000000000000011E-2</v>
      </c>
      <c r="H58" s="3103">
        <f t="shared" si="37"/>
        <v>0.19221903771281654</v>
      </c>
      <c r="I58" s="3103">
        <f t="shared" si="3"/>
        <v>0.4355098018102494</v>
      </c>
      <c r="J58" s="3227">
        <v>7.4319742777938944E-2</v>
      </c>
      <c r="K58" s="3227">
        <v>1.1146580737680767</v>
      </c>
      <c r="L58" s="3227">
        <v>0.16507503167314952</v>
      </c>
      <c r="M58" s="3497">
        <v>-6.4912992741565922E-2</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v>0.51701630934098219</v>
      </c>
      <c r="E60" s="3227">
        <v>2.0573846189767311</v>
      </c>
      <c r="F60" s="3227">
        <v>8.1597235292795445E-2</v>
      </c>
      <c r="G60" s="3103">
        <f t="shared" si="36"/>
        <v>5.1000000000000004E-2</v>
      </c>
      <c r="H60" s="3103">
        <f t="shared" si="37"/>
        <v>0.19221903771281657</v>
      </c>
      <c r="I60" s="3103">
        <f t="shared" si="3"/>
        <v>0.43550980181025073</v>
      </c>
      <c r="J60" s="3227">
        <v>2.6367831776390092E-2</v>
      </c>
      <c r="K60" s="3227">
        <v>0.39546849166485704</v>
      </c>
      <c r="L60" s="3227">
        <v>5.8566815531712613E-2</v>
      </c>
      <c r="M60" s="3497">
        <v>-2.3030419761082877E-2</v>
      </c>
    </row>
    <row r="61" spans="2:13" ht="18" customHeight="1" x14ac:dyDescent="0.2">
      <c r="B61" s="2616" t="s">
        <v>574</v>
      </c>
      <c r="C61" s="2618" t="s">
        <v>574</v>
      </c>
      <c r="D61" s="3227">
        <v>5.5377892315460035E-5</v>
      </c>
      <c r="E61" s="3227">
        <v>2.2036756253666996E-4</v>
      </c>
      <c r="F61" s="3227">
        <v>8.7399233402200536E-6</v>
      </c>
      <c r="G61" s="3103">
        <f t="shared" si="36"/>
        <v>5.1000000000000004E-2</v>
      </c>
      <c r="H61" s="3103">
        <f t="shared" si="37"/>
        <v>0.19221903771281657</v>
      </c>
      <c r="I61" s="3103">
        <f t="shared" si="3"/>
        <v>0.43550980181025162</v>
      </c>
      <c r="J61" s="3227">
        <v>2.824272508088462E-6</v>
      </c>
      <c r="K61" s="3227">
        <v>4.2358840813917626E-5</v>
      </c>
      <c r="L61" s="3227">
        <v>6.2731228109780474E-6</v>
      </c>
      <c r="M61" s="3497">
        <v>-2.4668005292420197E-6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f>IF(SUM(J65:J76)=0,"NO",SUM(J65:J76))</f>
        <v>0.80629330003470057</v>
      </c>
      <c r="K64" s="3103">
        <f>IF(SUM(K65:K76)=0,"NO",SUM(K65:K76))</f>
        <v>233.33123501117532</v>
      </c>
      <c r="L64" s="3103">
        <f>IF(SUM(L65:L76)=0,"NO",SUM(L65:L76))</f>
        <v>6.3599379915759391</v>
      </c>
      <c r="M64" s="3226">
        <f>IF(SUM(M65:M76)=0,"NO",SUM(M65:M76))</f>
        <v>-4.2397865310081597</v>
      </c>
    </row>
    <row r="65" spans="2:13" ht="18" customHeight="1" x14ac:dyDescent="0.2">
      <c r="B65" s="2616" t="s">
        <v>559</v>
      </c>
      <c r="C65" s="2618" t="s">
        <v>559</v>
      </c>
      <c r="D65" s="3227">
        <v>2.0125170706840976E-2</v>
      </c>
      <c r="E65" s="3227">
        <v>0.20830776278007965</v>
      </c>
      <c r="F65" s="3227">
        <v>9.9212522737252722E-4</v>
      </c>
      <c r="G65" s="3103">
        <f>IF(SUM(D65)=0,"NA",J65/D65)</f>
        <v>3.5000000000000001E-3</v>
      </c>
      <c r="H65" s="3103">
        <f>IF(SUM(E65)=0,"NA",K65/E65)</f>
        <v>9.7854767929840492E-2</v>
      </c>
      <c r="I65" s="3103">
        <f t="shared" si="3"/>
        <v>0.18668737998795928</v>
      </c>
      <c r="J65" s="3227">
        <v>7.0438097473943419E-5</v>
      </c>
      <c r="K65" s="3227">
        <v>2.0383907784828958E-2</v>
      </c>
      <c r="L65" s="3227">
        <v>5.5560666591126032E-4</v>
      </c>
      <c r="M65" s="3497">
        <v>-3.7038940659312483E-4</v>
      </c>
    </row>
    <row r="66" spans="2:13" ht="18" customHeight="1" x14ac:dyDescent="0.2">
      <c r="B66" s="2616" t="s">
        <v>560</v>
      </c>
      <c r="C66" s="2618" t="s">
        <v>560</v>
      </c>
      <c r="D66" s="3227">
        <v>3.1455303647817003</v>
      </c>
      <c r="E66" s="3227">
        <v>32.558153299129742</v>
      </c>
      <c r="F66" s="3227">
        <v>0.15506750595190827</v>
      </c>
      <c r="G66" s="3103">
        <f t="shared" ref="G66:G76" si="38">IF(SUM(D66)=0,"NA",J66/D66)</f>
        <v>3.5000000000000001E-3</v>
      </c>
      <c r="H66" s="3103">
        <f t="shared" ref="H66:H76" si="39">IF(SUM(E66)=0,"NA",K66/E66)</f>
        <v>9.7854767929840492E-2</v>
      </c>
      <c r="I66" s="3103">
        <f t="shared" si="3"/>
        <v>0.1866873799879582</v>
      </c>
      <c r="J66" s="3227">
        <v>1.1009356276735952E-2</v>
      </c>
      <c r="K66" s="3227">
        <v>3.1859705353105117</v>
      </c>
      <c r="L66" s="3227">
        <v>8.6840388285745806E-2</v>
      </c>
      <c r="M66" s="3497">
        <v>-5.7891241878316936E-2</v>
      </c>
    </row>
    <row r="67" spans="2:13" ht="18" customHeight="1" x14ac:dyDescent="0.2">
      <c r="B67" s="2616" t="s">
        <v>562</v>
      </c>
      <c r="C67" s="2618" t="s">
        <v>562</v>
      </c>
      <c r="D67" s="3227">
        <v>4.6697181684511618E-2</v>
      </c>
      <c r="E67" s="3227">
        <v>0.4833442452008111</v>
      </c>
      <c r="F67" s="3227">
        <v>2.3020650443801669E-3</v>
      </c>
      <c r="G67" s="3103">
        <f t="shared" si="38"/>
        <v>3.4999999999999996E-3</v>
      </c>
      <c r="H67" s="3103">
        <f t="shared" si="39"/>
        <v>9.7854767929840505E-2</v>
      </c>
      <c r="I67" s="3103">
        <f t="shared" si="3"/>
        <v>0.18668737998795515</v>
      </c>
      <c r="J67" s="3227">
        <v>1.6344013589579065E-4</v>
      </c>
      <c r="K67" s="3227">
        <v>4.7297538944349293E-2</v>
      </c>
      <c r="L67" s="3227">
        <v>1.2891947999409681E-3</v>
      </c>
      <c r="M67" s="3497">
        <v>-8.59428308243779E-4</v>
      </c>
    </row>
    <row r="68" spans="2:13" ht="18" customHeight="1" x14ac:dyDescent="0.2">
      <c r="B68" s="2616" t="s">
        <v>563</v>
      </c>
      <c r="C68" s="2618" t="s">
        <v>563</v>
      </c>
      <c r="D68" s="3227">
        <v>56.928439142186932</v>
      </c>
      <c r="E68" s="3227">
        <v>589.24398550517003</v>
      </c>
      <c r="F68" s="3227">
        <v>2.8064428098841656</v>
      </c>
      <c r="G68" s="3103">
        <f t="shared" si="38"/>
        <v>3.5000000000000001E-3</v>
      </c>
      <c r="H68" s="3103">
        <f t="shared" si="39"/>
        <v>9.7854767929840492E-2</v>
      </c>
      <c r="I68" s="3103">
        <f t="shared" si="3"/>
        <v>0.18668737998795101</v>
      </c>
      <c r="J68" s="3227">
        <v>0.19924953699765427</v>
      </c>
      <c r="K68" s="3227">
        <v>57.660333455662709</v>
      </c>
      <c r="L68" s="3227">
        <v>1.5716547565268826</v>
      </c>
      <c r="M68" s="3497">
        <v>-1.0477273012635844</v>
      </c>
    </row>
    <row r="69" spans="2:13" ht="18" customHeight="1" x14ac:dyDescent="0.2">
      <c r="B69" s="2616" t="s">
        <v>564</v>
      </c>
      <c r="C69" s="2618" t="s">
        <v>564</v>
      </c>
      <c r="D69" s="3227">
        <v>6.3737273391391402E-2</v>
      </c>
      <c r="E69" s="3227">
        <v>0.65971956309170177</v>
      </c>
      <c r="F69" s="3227">
        <v>3.1421028808488105E-3</v>
      </c>
      <c r="G69" s="3103">
        <f t="shared" si="38"/>
        <v>3.5000000000000001E-3</v>
      </c>
      <c r="H69" s="3103">
        <f t="shared" si="39"/>
        <v>9.7854767929840492E-2</v>
      </c>
      <c r="I69" s="3103">
        <f t="shared" si="3"/>
        <v>0.18668737998794963</v>
      </c>
      <c r="J69" s="3227">
        <v>2.2308045686986991E-4</v>
      </c>
      <c r="K69" s="3227">
        <v>6.4556704745114241E-2</v>
      </c>
      <c r="L69" s="3227">
        <v>1.7596299916714381E-3</v>
      </c>
      <c r="M69" s="3497">
        <v>-1.173039037193185E-3</v>
      </c>
    </row>
    <row r="70" spans="2:13" ht="18" customHeight="1" x14ac:dyDescent="0.2">
      <c r="B70" s="2616" t="s">
        <v>565</v>
      </c>
      <c r="C70" s="2618" t="s">
        <v>565</v>
      </c>
      <c r="D70" s="3227">
        <v>162.7824363372533</v>
      </c>
      <c r="E70" s="3227">
        <v>1684.8972675684004</v>
      </c>
      <c r="F70" s="3227">
        <v>8.0248045602144309</v>
      </c>
      <c r="G70" s="3103">
        <f t="shared" si="38"/>
        <v>3.4999999999999992E-3</v>
      </c>
      <c r="H70" s="3103">
        <f t="shared" si="39"/>
        <v>9.7854767929840505E-2</v>
      </c>
      <c r="I70" s="3103">
        <f t="shared" si="3"/>
        <v>0.18668737998795262</v>
      </c>
      <c r="J70" s="3227">
        <v>0.56973852718038642</v>
      </c>
      <c r="K70" s="3227">
        <v>164.87523110352819</v>
      </c>
      <c r="L70" s="3227">
        <v>4.4940243260400621</v>
      </c>
      <c r="M70" s="3497">
        <v>-2.9958945877782557</v>
      </c>
    </row>
    <row r="71" spans="2:13" ht="18" customHeight="1" x14ac:dyDescent="0.2">
      <c r="B71" s="2616" t="s">
        <v>567</v>
      </c>
      <c r="C71" s="2618" t="s">
        <v>567</v>
      </c>
      <c r="D71" s="3227">
        <v>5.4490709755707227</v>
      </c>
      <c r="E71" s="3227">
        <v>56.401200302125325</v>
      </c>
      <c r="F71" s="3227">
        <v>0.2686268285301785</v>
      </c>
      <c r="G71" s="3103">
        <f t="shared" si="38"/>
        <v>3.4999999999999992E-3</v>
      </c>
      <c r="H71" s="3103">
        <f t="shared" si="39"/>
        <v>9.7854767929840519E-2</v>
      </c>
      <c r="I71" s="3103">
        <f t="shared" si="3"/>
        <v>0.18668737998794954</v>
      </c>
      <c r="J71" s="3227">
        <v>1.9071748414497526E-2</v>
      </c>
      <c r="K71" s="3227">
        <v>5.5191263665289245</v>
      </c>
      <c r="L71" s="3227">
        <v>0.15043550194689725</v>
      </c>
      <c r="M71" s="3497">
        <v>-0.10028626313412606</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v>1.9332707763906396</v>
      </c>
      <c r="E73" s="3227">
        <v>20.010528911496397</v>
      </c>
      <c r="F73" s="3227">
        <v>9.5305860334751871E-2</v>
      </c>
      <c r="G73" s="3103">
        <f t="shared" si="38"/>
        <v>3.5000000000000001E-3</v>
      </c>
      <c r="H73" s="3103">
        <f t="shared" si="39"/>
        <v>9.7854767929840505E-2</v>
      </c>
      <c r="I73" s="3103">
        <f t="shared" si="3"/>
        <v>0.18668737998795665</v>
      </c>
      <c r="J73" s="3227">
        <v>6.7664477173672386E-3</v>
      </c>
      <c r="K73" s="3227">
        <v>1.9581256627878438</v>
      </c>
      <c r="L73" s="3227">
        <v>5.3372870522233606E-2</v>
      </c>
      <c r="M73" s="3497">
        <v>-3.5580469158840659E-2</v>
      </c>
    </row>
    <row r="74" spans="2:13" ht="18" customHeight="1" x14ac:dyDescent="0.2">
      <c r="B74" s="2616" t="s">
        <v>574</v>
      </c>
      <c r="C74" s="2618" t="s">
        <v>574</v>
      </c>
      <c r="D74" s="3227">
        <v>2.0707366274006308E-4</v>
      </c>
      <c r="E74" s="3227">
        <v>2.1433384116039695E-3</v>
      </c>
      <c r="F74" s="3227">
        <v>1.0208261471243701E-5</v>
      </c>
      <c r="G74" s="3103">
        <f t="shared" si="38"/>
        <v>3.4999999999999996E-3</v>
      </c>
      <c r="H74" s="3103">
        <f t="shared" si="39"/>
        <v>9.7854767929840519E-2</v>
      </c>
      <c r="I74" s="3103">
        <f t="shared" si="3"/>
        <v>0.18668737998795434</v>
      </c>
      <c r="J74" s="3227">
        <v>7.2475781959022073E-7</v>
      </c>
      <c r="K74" s="3227">
        <v>2.0973588286261942E-4</v>
      </c>
      <c r="L74" s="3227">
        <v>5.7167965941242794E-6</v>
      </c>
      <c r="M74" s="3497">
        <v>-3.8110430058258127E-6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f>IF(SUM(J78:J89)=0,"NO",SUM(J78:J89))</f>
        <v>4.9844583572722581</v>
      </c>
      <c r="K77" s="3103">
        <f>IF(SUM(K78:K89)=0,"NO",SUM(K78:K89))</f>
        <v>172.2958035243617</v>
      </c>
      <c r="L77" s="3103">
        <f>IF(SUM(L78:L89)=0,"NO",SUM(L78:L89))</f>
        <v>183.20607790721641</v>
      </c>
      <c r="M77" s="3226">
        <f>IF(SUM(M78:M89)=0,"NO",SUM(M78:M89))</f>
        <v>-149.33729261532565</v>
      </c>
    </row>
    <row r="78" spans="2:13" ht="18" customHeight="1" x14ac:dyDescent="0.2">
      <c r="B78" s="2616" t="s">
        <v>559</v>
      </c>
      <c r="C78" s="2618" t="s">
        <v>559</v>
      </c>
      <c r="D78" s="3227">
        <v>6.8448178727464143E-2</v>
      </c>
      <c r="E78" s="3227">
        <v>0.39507505026370171</v>
      </c>
      <c r="F78" s="3227">
        <v>4.5648600656255766E-3</v>
      </c>
      <c r="G78" s="3103">
        <f>IF(SUM(D78)=0,"NA",J78/D78)</f>
        <v>6.3616627375107692E-3</v>
      </c>
      <c r="H78" s="3103">
        <f>IF(SUM(E78)=0,"NA",K78/E78)</f>
        <v>3.8098656575268466E-2</v>
      </c>
      <c r="I78" s="3103">
        <f t="shared" si="3"/>
        <v>0.64816670460636283</v>
      </c>
      <c r="J78" s="3227">
        <v>4.3544422806098595E-4</v>
      </c>
      <c r="K78" s="3227">
        <v>1.5051828661453699E-2</v>
      </c>
      <c r="L78" s="3227">
        <v>3.7572720049227886E-3</v>
      </c>
      <c r="M78" s="3497">
        <v>-7.9848169919707348E-4</v>
      </c>
    </row>
    <row r="79" spans="2:13" ht="18" customHeight="1" x14ac:dyDescent="0.2">
      <c r="B79" s="2616" t="s">
        <v>560</v>
      </c>
      <c r="C79" s="2618" t="s">
        <v>560</v>
      </c>
      <c r="D79" s="3227">
        <v>10.698335320358614</v>
      </c>
      <c r="E79" s="3227">
        <v>61.749566504283251</v>
      </c>
      <c r="F79" s="3227">
        <v>0.71347995783825757</v>
      </c>
      <c r="G79" s="3103">
        <f t="shared" ref="G79:G89" si="40">IF(SUM(D79)=0,"NA",J79/D79)</f>
        <v>6.3616627375107666E-3</v>
      </c>
      <c r="H79" s="3103">
        <f t="shared" ref="H79:H89" si="41">IF(SUM(E79)=0,"NA",K79/E79)</f>
        <v>3.8098656575268473E-2</v>
      </c>
      <c r="I79" s="3103">
        <f t="shared" ref="I79:I89" si="42">IF(SUM(F79)=0,"NA",(SUM(L79:M79))/F79)</f>
        <v>0.64816670460636872</v>
      </c>
      <c r="J79" s="3227">
        <v>6.8059201160920707E-2</v>
      </c>
      <c r="K79" s="3227">
        <v>2.3525755279183889</v>
      </c>
      <c r="L79" s="3227">
        <v>65.403925761591893</v>
      </c>
      <c r="M79" s="3497">
        <v>-64.941471808517178</v>
      </c>
    </row>
    <row r="80" spans="2:13" ht="18" customHeight="1" x14ac:dyDescent="0.2">
      <c r="B80" s="2616" t="s">
        <v>562</v>
      </c>
      <c r="C80" s="2618" t="s">
        <v>562</v>
      </c>
      <c r="D80" s="3227">
        <v>0.15882285345901756</v>
      </c>
      <c r="E80" s="3227">
        <v>0.91670732486808015</v>
      </c>
      <c r="F80" s="3227">
        <v>1.059201449538162E-2</v>
      </c>
      <c r="G80" s="3103">
        <f t="shared" si="40"/>
        <v>6.3616627375107683E-3</v>
      </c>
      <c r="H80" s="3103">
        <f t="shared" si="41"/>
        <v>3.8098656575268453E-2</v>
      </c>
      <c r="I80" s="3103">
        <f t="shared" si="42"/>
        <v>0.64816670460528503</v>
      </c>
      <c r="J80" s="3227">
        <v>1.0103774287153653E-3</v>
      </c>
      <c r="K80" s="3227">
        <v>3.4925317550182036E-2</v>
      </c>
      <c r="L80" s="3227">
        <v>64.82538859853473</v>
      </c>
      <c r="M80" s="3497">
        <v>-64.818523207404127</v>
      </c>
    </row>
    <row r="81" spans="2:13" ht="18" customHeight="1" x14ac:dyDescent="0.2">
      <c r="B81" s="2616" t="s">
        <v>563</v>
      </c>
      <c r="C81" s="2618" t="s">
        <v>563</v>
      </c>
      <c r="D81" s="3227">
        <v>193.62061737719441</v>
      </c>
      <c r="E81" s="3227">
        <v>1117.5560338421585</v>
      </c>
      <c r="F81" s="3227">
        <v>12.912703311889402</v>
      </c>
      <c r="G81" s="3103">
        <f t="shared" si="40"/>
        <v>6.3616627375107674E-3</v>
      </c>
      <c r="H81" s="3103">
        <f t="shared" si="41"/>
        <v>3.8098656575268453E-2</v>
      </c>
      <c r="I81" s="3103">
        <f t="shared" si="42"/>
        <v>0.64816670460636239</v>
      </c>
      <c r="J81" s="3227">
        <v>1.2317490667823274</v>
      </c>
      <c r="K81" s="3227">
        <v>42.577383536971489</v>
      </c>
      <c r="L81" s="3227">
        <v>10.62826416673235</v>
      </c>
      <c r="M81" s="3497">
        <v>-2.2586798135053354</v>
      </c>
    </row>
    <row r="82" spans="2:13" ht="18" customHeight="1" x14ac:dyDescent="0.2">
      <c r="B82" s="2616" t="s">
        <v>564</v>
      </c>
      <c r="C82" s="2618" t="s">
        <v>564</v>
      </c>
      <c r="D82" s="3227">
        <v>0.21677829938665952</v>
      </c>
      <c r="E82" s="3227">
        <v>1.251219522834442</v>
      </c>
      <c r="F82" s="3227">
        <v>1.445710638853471E-2</v>
      </c>
      <c r="G82" s="3103">
        <f t="shared" si="40"/>
        <v>6.36166273751077E-3</v>
      </c>
      <c r="H82" s="3103">
        <f t="shared" si="41"/>
        <v>3.8098656575268466E-2</v>
      </c>
      <c r="I82" s="3103">
        <f t="shared" si="42"/>
        <v>0.64816670460636239</v>
      </c>
      <c r="J82" s="3227">
        <v>1.3790704295090657E-3</v>
      </c>
      <c r="K82" s="3227">
        <v>4.7669782900740684E-2</v>
      </c>
      <c r="L82" s="3227">
        <v>1.1899440579760209E-2</v>
      </c>
      <c r="M82" s="3497">
        <v>-2.5288255737600774E-3</v>
      </c>
    </row>
    <row r="83" spans="2:13" ht="18" customHeight="1" x14ac:dyDescent="0.2">
      <c r="B83" s="2616" t="s">
        <v>565</v>
      </c>
      <c r="C83" s="2618" t="s">
        <v>565</v>
      </c>
      <c r="D83" s="3227">
        <v>553.64307008421599</v>
      </c>
      <c r="E83" s="3227">
        <v>3195.5644081134369</v>
      </c>
      <c r="F83" s="3227">
        <v>36.922869070053494</v>
      </c>
      <c r="G83" s="3103">
        <f t="shared" si="40"/>
        <v>6.3616627375107674E-3</v>
      </c>
      <c r="H83" s="3103">
        <f t="shared" si="41"/>
        <v>3.8098656575268466E-2</v>
      </c>
      <c r="I83" s="3103">
        <f t="shared" si="42"/>
        <v>0.64816670460636205</v>
      </c>
      <c r="J83" s="3227">
        <v>3.5220904888358193</v>
      </c>
      <c r="K83" s="3227">
        <v>121.74671094886487</v>
      </c>
      <c r="L83" s="3227">
        <v>35.49069331894836</v>
      </c>
      <c r="M83" s="3497">
        <v>-11.558518949199616</v>
      </c>
    </row>
    <row r="84" spans="2:13" ht="18" customHeight="1" x14ac:dyDescent="0.2">
      <c r="B84" s="2616" t="s">
        <v>567</v>
      </c>
      <c r="C84" s="2618" t="s">
        <v>567</v>
      </c>
      <c r="D84" s="3227">
        <v>18.532960016469261</v>
      </c>
      <c r="E84" s="3227">
        <v>106.97012318172789</v>
      </c>
      <c r="F84" s="3227">
        <v>1.2359769193255539</v>
      </c>
      <c r="G84" s="3103">
        <f t="shared" si="40"/>
        <v>6.3616627375107692E-3</v>
      </c>
      <c r="H84" s="3103">
        <f t="shared" si="41"/>
        <v>3.8098656575268473E-2</v>
      </c>
      <c r="I84" s="3103">
        <f t="shared" si="42"/>
        <v>0.64816670460636239</v>
      </c>
      <c r="J84" s="3227">
        <v>0.11790044115254947</v>
      </c>
      <c r="K84" s="3227">
        <v>4.0754179869148155</v>
      </c>
      <c r="L84" s="3227">
        <v>6.4530274345728822</v>
      </c>
      <c r="M84" s="3497">
        <v>-5.6519083478041141</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v>6.5752914873903885</v>
      </c>
      <c r="E86" s="3227">
        <v>37.951829591003175</v>
      </c>
      <c r="F86" s="3227">
        <v>0.4385110909984351</v>
      </c>
      <c r="G86" s="3103">
        <f t="shared" si="40"/>
        <v>6.36166273751077E-3</v>
      </c>
      <c r="H86" s="3103">
        <f t="shared" si="41"/>
        <v>3.8098656575268459E-2</v>
      </c>
      <c r="I86" s="3103">
        <f t="shared" si="42"/>
        <v>0.64816670460636194</v>
      </c>
      <c r="J86" s="3227">
        <v>4.1829786843603202E-2</v>
      </c>
      <c r="K86" s="3227">
        <v>1.4459137219907412</v>
      </c>
      <c r="L86" s="3227">
        <v>0.36093796102995879</v>
      </c>
      <c r="M86" s="3497">
        <v>-7.6709672244162572E-2</v>
      </c>
    </row>
    <row r="87" spans="2:13" ht="18" customHeight="1" x14ac:dyDescent="0.2">
      <c r="B87" s="2616" t="s">
        <v>574</v>
      </c>
      <c r="C87" s="2618" t="s">
        <v>574</v>
      </c>
      <c r="D87" s="3227">
        <v>7.0428297396575568E-4</v>
      </c>
      <c r="E87" s="3227">
        <v>4.0650406849721968E-3</v>
      </c>
      <c r="F87" s="3227">
        <v>4.6969156557942531E-5</v>
      </c>
      <c r="G87" s="3103">
        <f t="shared" si="40"/>
        <v>6.3616627375107683E-3</v>
      </c>
      <c r="H87" s="3103">
        <f t="shared" si="41"/>
        <v>3.8098656575268466E-2</v>
      </c>
      <c r="I87" s="3103">
        <f t="shared" si="42"/>
        <v>0.64816670460633585</v>
      </c>
      <c r="J87" s="3227">
        <v>4.4804107521412143E-6</v>
      </c>
      <c r="K87" s="3227">
        <v>1.5487258902124982E-4</v>
      </c>
      <c r="L87" s="3227">
        <v>2.818395322157826E-2</v>
      </c>
      <c r="M87" s="3497">
        <v>-2.815350937815396E-2</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f>IF(SUM(J91,J104)=0,"NO",SUM(J91,J104))</f>
        <v>15.538071956658138</v>
      </c>
      <c r="K90" s="3103">
        <f t="shared" ref="K90:M90" si="43">IF(SUM(K91,K104)=0,"NO",SUM(K91,K104))</f>
        <v>1.0765589386745442</v>
      </c>
      <c r="L90" s="3103">
        <f t="shared" si="43"/>
        <v>0.22529718180773792</v>
      </c>
      <c r="M90" s="3226" t="str">
        <f t="shared" si="43"/>
        <v>NO</v>
      </c>
    </row>
    <row r="91" spans="2:13" ht="18" customHeight="1" x14ac:dyDescent="0.2">
      <c r="B91" s="104" t="s">
        <v>674</v>
      </c>
      <c r="C91" s="2508"/>
      <c r="D91" s="2108"/>
      <c r="E91" s="2108"/>
      <c r="F91" s="2108"/>
      <c r="G91" s="2108"/>
      <c r="H91" s="2108"/>
      <c r="I91" s="2108"/>
      <c r="J91" s="3103">
        <f>IF(SUM(J92:J103)=0,"NO",SUM(J92:J103))</f>
        <v>15.538071956658138</v>
      </c>
      <c r="K91" s="3103">
        <f>IF(SUM(K92:K103)=0,"NO",SUM(K92:K103))</f>
        <v>1.0765589386745442</v>
      </c>
      <c r="L91" s="3103">
        <f>IF(SUM(L92:L103)=0,"NO",SUM(L92:L103))</f>
        <v>0.22529718180773792</v>
      </c>
      <c r="M91" s="3226" t="str">
        <f>IF(SUM(M92:M103)=0,"NO",SUM(M92:M103))</f>
        <v>NO</v>
      </c>
    </row>
    <row r="92" spans="2:13" ht="18" customHeight="1" x14ac:dyDescent="0.2">
      <c r="B92" s="2616" t="s">
        <v>559</v>
      </c>
      <c r="C92" s="2618" t="s">
        <v>559</v>
      </c>
      <c r="D92" s="3227">
        <v>2.2623533871878668E-3</v>
      </c>
      <c r="E92" s="3227">
        <v>3.8399721880855151E-3</v>
      </c>
      <c r="F92" s="3227">
        <v>1.968204976042252E-5</v>
      </c>
      <c r="G92" s="3103">
        <f>IF(SUM(D92)=0,"NA",J92/D92)</f>
        <v>0.6</v>
      </c>
      <c r="H92" s="3103">
        <f>IF(SUM(E92)=0,"NA",K92/E92)</f>
        <v>2.4492002694980131E-2</v>
      </c>
      <c r="I92" s="3103">
        <f t="shared" ref="I92:I103" si="44">IF(SUM(F92)=0,"NA",(SUM(L92:M92))/F92)</f>
        <v>0.99999999999999278</v>
      </c>
      <c r="J92" s="3227">
        <v>1.3574120323127201E-3</v>
      </c>
      <c r="K92" s="3227">
        <v>9.4048609179239189E-5</v>
      </c>
      <c r="L92" s="3227">
        <v>1.9682049760422378E-5</v>
      </c>
      <c r="M92" s="3497" t="s">
        <v>2146</v>
      </c>
    </row>
    <row r="93" spans="2:13" ht="18" customHeight="1" x14ac:dyDescent="0.2">
      <c r="B93" s="2616" t="s">
        <v>560</v>
      </c>
      <c r="C93" s="2618" t="s">
        <v>560</v>
      </c>
      <c r="D93" s="3227">
        <v>0.35360203294311349</v>
      </c>
      <c r="E93" s="3227">
        <v>0.6001812006212891</v>
      </c>
      <c r="F93" s="3227">
        <v>3.0762713054408386E-3</v>
      </c>
      <c r="G93" s="3103">
        <f t="shared" ref="G93:G103" si="45">IF(SUM(D93)=0,"NA",J93/D93)</f>
        <v>0.6</v>
      </c>
      <c r="H93" s="3103">
        <f t="shared" ref="H93:H103" si="46">IF(SUM(E93)=0,"NA",K93/E93)</f>
        <v>2.4492002694980131E-2</v>
      </c>
      <c r="I93" s="3103">
        <f t="shared" si="44"/>
        <v>0.99999999999997946</v>
      </c>
      <c r="J93" s="3227">
        <v>0.2121612197658681</v>
      </c>
      <c r="K93" s="3227">
        <v>1.4699639583093024E-2</v>
      </c>
      <c r="L93" s="3227">
        <v>3.0762713054407753E-3</v>
      </c>
      <c r="M93" s="3497" t="s">
        <v>2146</v>
      </c>
    </row>
    <row r="94" spans="2:13" ht="18" customHeight="1" x14ac:dyDescent="0.2">
      <c r="B94" s="2616" t="s">
        <v>562</v>
      </c>
      <c r="C94" s="2618" t="s">
        <v>562</v>
      </c>
      <c r="D94" s="3227">
        <v>5.2494226605576521E-3</v>
      </c>
      <c r="E94" s="3227">
        <v>8.910030207572233E-3</v>
      </c>
      <c r="F94" s="3227">
        <v>4.5668991680832216E-5</v>
      </c>
      <c r="G94" s="3103">
        <f t="shared" si="45"/>
        <v>0.6</v>
      </c>
      <c r="H94" s="3103">
        <f t="shared" si="46"/>
        <v>2.4492002694980131E-2</v>
      </c>
      <c r="I94" s="3103">
        <f t="shared" si="44"/>
        <v>0.99999999999998757</v>
      </c>
      <c r="J94" s="3227">
        <v>3.1496535963345912E-3</v>
      </c>
      <c r="K94" s="3227">
        <v>2.1822448385621352E-4</v>
      </c>
      <c r="L94" s="3227">
        <v>4.5668991680831647E-5</v>
      </c>
      <c r="M94" s="3497" t="s">
        <v>2146</v>
      </c>
    </row>
    <row r="95" spans="2:13" ht="18" customHeight="1" x14ac:dyDescent="0.2">
      <c r="B95" s="2616" t="s">
        <v>563</v>
      </c>
      <c r="C95" s="2618" t="s">
        <v>563</v>
      </c>
      <c r="D95" s="3227">
        <v>6.3995604805908899</v>
      </c>
      <c r="E95" s="3227">
        <v>10.86219969020231</v>
      </c>
      <c r="F95" s="3227">
        <v>5.5674974801522413E-2</v>
      </c>
      <c r="G95" s="3103">
        <f t="shared" si="45"/>
        <v>0.60000000000000009</v>
      </c>
      <c r="H95" s="3103">
        <f t="shared" si="46"/>
        <v>2.4492002694980128E-2</v>
      </c>
      <c r="I95" s="3103">
        <f t="shared" si="44"/>
        <v>0.99999999999999167</v>
      </c>
      <c r="J95" s="3227">
        <v>3.8397362883545343</v>
      </c>
      <c r="K95" s="3227">
        <v>0.26603702408584728</v>
      </c>
      <c r="L95" s="3227">
        <v>5.5674974801521948E-2</v>
      </c>
      <c r="M95" s="3497" t="s">
        <v>2146</v>
      </c>
    </row>
    <row r="96" spans="2:13" ht="18" customHeight="1" x14ac:dyDescent="0.2">
      <c r="B96" s="2616" t="s">
        <v>564</v>
      </c>
      <c r="C96" s="2618" t="s">
        <v>564</v>
      </c>
      <c r="D96" s="3227">
        <v>7.1649696018786088E-3</v>
      </c>
      <c r="E96" s="3227">
        <v>1.2161355584633644E-2</v>
      </c>
      <c r="F96" s="3227">
        <v>6.2333890467651792E-5</v>
      </c>
      <c r="G96" s="3103">
        <f t="shared" si="45"/>
        <v>0.60000000000000009</v>
      </c>
      <c r="H96" s="3103">
        <f t="shared" si="46"/>
        <v>2.4492002694980131E-2</v>
      </c>
      <c r="I96" s="3103">
        <f t="shared" si="44"/>
        <v>0.99999999999997913</v>
      </c>
      <c r="J96" s="3227">
        <v>4.298981761127166E-3</v>
      </c>
      <c r="K96" s="3227">
        <v>2.9785595375345889E-4</v>
      </c>
      <c r="L96" s="3227">
        <v>6.2333890467650491E-5</v>
      </c>
      <c r="M96" s="3497" t="s">
        <v>2146</v>
      </c>
    </row>
    <row r="97" spans="2:13" ht="18" customHeight="1" x14ac:dyDescent="0.2">
      <c r="B97" s="2616" t="s">
        <v>565</v>
      </c>
      <c r="C97" s="2618" t="s">
        <v>565</v>
      </c>
      <c r="D97" s="3227">
        <v>18.299044593797898</v>
      </c>
      <c r="E97" s="3227">
        <v>31.059613722003135</v>
      </c>
      <c r="F97" s="3227">
        <v>0.15919825271462459</v>
      </c>
      <c r="G97" s="3103">
        <f t="shared" si="45"/>
        <v>0.6</v>
      </c>
      <c r="H97" s="3103">
        <f t="shared" si="46"/>
        <v>2.4492002694980135E-2</v>
      </c>
      <c r="I97" s="3103">
        <f t="shared" si="44"/>
        <v>0.99999999999999811</v>
      </c>
      <c r="J97" s="3227">
        <v>10.979426756278739</v>
      </c>
      <c r="K97" s="3227">
        <v>0.76071214298434275</v>
      </c>
      <c r="L97" s="3227">
        <v>0.15919825271462429</v>
      </c>
      <c r="M97" s="3497" t="s">
        <v>2146</v>
      </c>
    </row>
    <row r="98" spans="2:13" ht="18" customHeight="1" x14ac:dyDescent="0.2">
      <c r="B98" s="2616" t="s">
        <v>567</v>
      </c>
      <c r="C98" s="2618" t="s">
        <v>567</v>
      </c>
      <c r="D98" s="3227">
        <v>0.61255252728957266</v>
      </c>
      <c r="E98" s="3227">
        <v>1.0397070068072995</v>
      </c>
      <c r="F98" s="3227">
        <v>5.3290919938781363E-3</v>
      </c>
      <c r="G98" s="3103">
        <f t="shared" si="45"/>
        <v>0.60000000000000009</v>
      </c>
      <c r="H98" s="3103">
        <f t="shared" si="46"/>
        <v>2.4492002694980135E-2</v>
      </c>
      <c r="I98" s="3103">
        <f t="shared" si="44"/>
        <v>0.99999999999998257</v>
      </c>
      <c r="J98" s="3227">
        <v>0.36753151637374365</v>
      </c>
      <c r="K98" s="3227">
        <v>2.5464506812714109E-2</v>
      </c>
      <c r="L98" s="3227">
        <v>5.3290919938780434E-3</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v>0.21732693615522736</v>
      </c>
      <c r="E100" s="3227">
        <v>0.36887667297426058</v>
      </c>
      <c r="F100" s="3227">
        <v>1.8907035460999587E-3</v>
      </c>
      <c r="G100" s="3103">
        <f t="shared" si="45"/>
        <v>0.6</v>
      </c>
      <c r="H100" s="3103">
        <f t="shared" si="46"/>
        <v>2.4492002694980135E-2</v>
      </c>
      <c r="I100" s="3103">
        <f t="shared" si="44"/>
        <v>0.99999999999998834</v>
      </c>
      <c r="J100" s="3227">
        <v>0.13039616169313642</v>
      </c>
      <c r="K100" s="3227">
        <v>9.0345284686008959E-3</v>
      </c>
      <c r="L100" s="3227">
        <v>1.8907035460999366E-3</v>
      </c>
      <c r="M100" s="3497" t="s">
        <v>2146</v>
      </c>
    </row>
    <row r="101" spans="2:13" ht="18" customHeight="1" x14ac:dyDescent="0.2">
      <c r="B101" s="2616" t="s">
        <v>574</v>
      </c>
      <c r="C101" s="2618" t="s">
        <v>574</v>
      </c>
      <c r="D101" s="3227">
        <v>2.3278003904738823E-5</v>
      </c>
      <c r="E101" s="3227">
        <v>3.951057694812751E-5</v>
      </c>
      <c r="F101" s="3227">
        <v>2.0251426402745873E-7</v>
      </c>
      <c r="G101" s="3103">
        <f t="shared" si="45"/>
        <v>0.6</v>
      </c>
      <c r="H101" s="3103">
        <f t="shared" si="46"/>
        <v>2.4492002694980124E-2</v>
      </c>
      <c r="I101" s="3103">
        <f t="shared" si="44"/>
        <v>0.99999999999998646</v>
      </c>
      <c r="J101" s="3227">
        <v>1.3966802342843294E-5</v>
      </c>
      <c r="K101" s="3227">
        <v>9.6769315709375863E-7</v>
      </c>
      <c r="L101" s="3227">
        <v>2.0251426402745598E-7</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IE</v>
      </c>
      <c r="E107" s="3227" t="str">
        <f t="shared" si="47"/>
        <v>IE</v>
      </c>
      <c r="F107" s="2108"/>
      <c r="G107" s="3103" t="str">
        <f t="shared" si="48"/>
        <v>NA</v>
      </c>
      <c r="H107" s="3103" t="str">
        <f t="shared" si="49"/>
        <v>NA</v>
      </c>
      <c r="I107" s="2108"/>
      <c r="J107" s="3227" t="str">
        <f t="shared" ref="J107:K107" si="52">IF(J94="NO","NO","IE")</f>
        <v>IE</v>
      </c>
      <c r="K107" s="3227" t="str">
        <f t="shared" si="52"/>
        <v>IE</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8.8283832403722631E-2</v>
      </c>
      <c r="K117" s="3103">
        <f>IF(SUM(K118:K129)=0,"NO",SUM(K118:K129))</f>
        <v>5.0268728906467954</v>
      </c>
      <c r="L117" s="3103">
        <f>IF(SUM(L118:L129)=0,"NO",SUM(L118:L129))</f>
        <v>1.6723677715477159</v>
      </c>
      <c r="M117" s="3226">
        <f>IF(SUM(M118:M129)=0,"NO",SUM(M118:M129))</f>
        <v>-1.597102957677272</v>
      </c>
    </row>
    <row r="118" spans="2:13" ht="18" customHeight="1" x14ac:dyDescent="0.2">
      <c r="B118" s="2616" t="s">
        <v>559</v>
      </c>
      <c r="C118" s="2618" t="s">
        <v>559</v>
      </c>
      <c r="D118" s="3227">
        <v>2.2035743044157645E-3</v>
      </c>
      <c r="E118" s="3227">
        <v>9.7519404321983975E-3</v>
      </c>
      <c r="F118" s="3227">
        <v>2.8562223933082824E-4</v>
      </c>
      <c r="G118" s="3103">
        <f>IF(SUM(D118)=0,"NA",J118/D118)</f>
        <v>3.5000000000000001E-3</v>
      </c>
      <c r="H118" s="3103">
        <f>IF(SUM(E118)=0,"NA",K118/E118)</f>
        <v>4.5032020171654912E-2</v>
      </c>
      <c r="I118" s="3103">
        <f t="shared" ref="I118:I129" si="72">IF(SUM(F118)=0,"NA",(SUM(L118:M118))/F118)</f>
        <v>2.302048866737668E-2</v>
      </c>
      <c r="J118" s="3227">
        <v>7.7125100654551759E-6</v>
      </c>
      <c r="K118" s="3227">
        <v>4.3914957825553537E-4</v>
      </c>
      <c r="L118" s="3227">
        <v>1.4609870142724712E-4</v>
      </c>
      <c r="M118" s="3497">
        <v>-1.3952353790358104E-4</v>
      </c>
    </row>
    <row r="119" spans="2:13" ht="18" customHeight="1" x14ac:dyDescent="0.2">
      <c r="B119" s="2616" t="s">
        <v>560</v>
      </c>
      <c r="C119" s="2618" t="s">
        <v>560</v>
      </c>
      <c r="D119" s="3227">
        <v>0.34441496107341674</v>
      </c>
      <c r="E119" s="3227">
        <v>1.5242119031862593</v>
      </c>
      <c r="F119" s="3227">
        <v>4.464227607106306E-2</v>
      </c>
      <c r="G119" s="3103">
        <f t="shared" ref="G119:G129" si="73">IF(SUM(D119)=0,"NA",J119/D119)</f>
        <v>3.5000000000000001E-3</v>
      </c>
      <c r="H119" s="3103">
        <f t="shared" ref="H119:H129" si="74">IF(SUM(E119)=0,"NA",K119/E119)</f>
        <v>4.5032020171654912E-2</v>
      </c>
      <c r="I119" s="3103">
        <f t="shared" si="72"/>
        <v>2.3020488667376351E-2</v>
      </c>
      <c r="J119" s="3227">
        <v>1.2054523637569587E-3</v>
      </c>
      <c r="K119" s="3227">
        <v>6.8638341170160155E-2</v>
      </c>
      <c r="L119" s="3227">
        <v>2.2834981540721416E-2</v>
      </c>
      <c r="M119" s="3497">
        <v>-2.1807294530341623E-2</v>
      </c>
    </row>
    <row r="120" spans="2:13" ht="18" customHeight="1" x14ac:dyDescent="0.2">
      <c r="B120" s="2616" t="s">
        <v>562</v>
      </c>
      <c r="C120" s="2618" t="s">
        <v>562</v>
      </c>
      <c r="D120" s="3227">
        <v>5.113035369863776E-3</v>
      </c>
      <c r="E120" s="3227">
        <v>2.2627789884242182E-2</v>
      </c>
      <c r="F120" s="3227">
        <v>6.6273989907747509E-4</v>
      </c>
      <c r="G120" s="3103">
        <f t="shared" si="73"/>
        <v>3.4999999999999996E-3</v>
      </c>
      <c r="H120" s="3103">
        <f t="shared" si="74"/>
        <v>4.5032020171654912E-2</v>
      </c>
      <c r="I120" s="3103">
        <f t="shared" si="72"/>
        <v>2.3020488667377222E-2</v>
      </c>
      <c r="J120" s="3227">
        <v>1.7895623794523215E-5</v>
      </c>
      <c r="K120" s="3227">
        <v>1.0189750905071628E-3</v>
      </c>
      <c r="L120" s="3227">
        <v>3.389982477068035E-4</v>
      </c>
      <c r="M120" s="3497">
        <v>-3.2374165137067176E-4</v>
      </c>
    </row>
    <row r="121" spans="2:13" ht="18" customHeight="1" x14ac:dyDescent="0.2">
      <c r="B121" s="2616" t="s">
        <v>563</v>
      </c>
      <c r="C121" s="2618" t="s">
        <v>563</v>
      </c>
      <c r="D121" s="3227">
        <v>6.2332910121143943</v>
      </c>
      <c r="E121" s="3227">
        <v>27.58549259032754</v>
      </c>
      <c r="F121" s="3227">
        <v>0.80794486199677673</v>
      </c>
      <c r="G121" s="3103">
        <f t="shared" si="73"/>
        <v>3.5000000000000009E-3</v>
      </c>
      <c r="H121" s="3103">
        <f t="shared" si="74"/>
        <v>4.5032020171654912E-2</v>
      </c>
      <c r="I121" s="3103">
        <f t="shared" si="72"/>
        <v>2.3020488667376795E-2</v>
      </c>
      <c r="J121" s="3227">
        <v>2.1816518542400385E-2</v>
      </c>
      <c r="K121" s="3227">
        <v>1.2422304587726669</v>
      </c>
      <c r="L121" s="3227">
        <v>0.41327207376811936</v>
      </c>
      <c r="M121" s="3497">
        <v>-0.39467278822865726</v>
      </c>
    </row>
    <row r="122" spans="2:13" ht="18" customHeight="1" x14ac:dyDescent="0.2">
      <c r="B122" s="2616" t="s">
        <v>564</v>
      </c>
      <c r="C122" s="2618" t="s">
        <v>564</v>
      </c>
      <c r="D122" s="3227">
        <v>6.9788137414929273E-3</v>
      </c>
      <c r="E122" s="3227">
        <v>3.088481099006582E-2</v>
      </c>
      <c r="F122" s="3227">
        <v>9.0457780557867424E-4</v>
      </c>
      <c r="G122" s="3103">
        <f t="shared" si="73"/>
        <v>3.5000000000000001E-3</v>
      </c>
      <c r="H122" s="3103">
        <f t="shared" si="74"/>
        <v>4.5032020171654918E-2</v>
      </c>
      <c r="I122" s="3103">
        <f t="shared" si="72"/>
        <v>2.3020488667376909E-2</v>
      </c>
      <c r="J122" s="3227">
        <v>2.4425848095225247E-5</v>
      </c>
      <c r="K122" s="3227">
        <v>1.3908054315023934E-3</v>
      </c>
      <c r="L122" s="3227">
        <v>4.6270081435037936E-4</v>
      </c>
      <c r="M122" s="3497">
        <v>-4.4187699122829482E-4</v>
      </c>
    </row>
    <row r="123" spans="2:13" ht="18" customHeight="1" x14ac:dyDescent="0.2">
      <c r="B123" s="2616" t="s">
        <v>565</v>
      </c>
      <c r="C123" s="2618" t="s">
        <v>565</v>
      </c>
      <c r="D123" s="3227">
        <v>17.823610003021514</v>
      </c>
      <c r="E123" s="3227">
        <v>78.878566830214041</v>
      </c>
      <c r="F123" s="3227">
        <v>2.3102553845453775</v>
      </c>
      <c r="G123" s="3103">
        <f t="shared" si="73"/>
        <v>3.4999999999999996E-3</v>
      </c>
      <c r="H123" s="3103">
        <f t="shared" si="74"/>
        <v>4.5032020171654912E-2</v>
      </c>
      <c r="I123" s="3103">
        <f t="shared" si="72"/>
        <v>2.3020488667376823E-2</v>
      </c>
      <c r="J123" s="3227">
        <v>6.2382635010575296E-2</v>
      </c>
      <c r="K123" s="3227">
        <v>3.5520612126094289</v>
      </c>
      <c r="L123" s="3227">
        <v>1.1817192962220253</v>
      </c>
      <c r="M123" s="3497">
        <v>-1.1285360883233522</v>
      </c>
    </row>
    <row r="124" spans="2:13" ht="18" customHeight="1" x14ac:dyDescent="0.2">
      <c r="B124" s="2616" t="s">
        <v>567</v>
      </c>
      <c r="C124" s="2618" t="s">
        <v>567</v>
      </c>
      <c r="D124" s="3227">
        <v>0.59663756196730311</v>
      </c>
      <c r="E124" s="3227">
        <v>2.6404255814100401</v>
      </c>
      <c r="F124" s="3227">
        <v>7.7334790198131595E-2</v>
      </c>
      <c r="G124" s="3103">
        <f t="shared" si="73"/>
        <v>3.5000000000000001E-3</v>
      </c>
      <c r="H124" s="3103">
        <f t="shared" si="74"/>
        <v>4.5032020171654912E-2</v>
      </c>
      <c r="I124" s="3103">
        <f t="shared" si="72"/>
        <v>2.3020488667376805E-2</v>
      </c>
      <c r="J124" s="3227">
        <v>2.0882314668855609E-3</v>
      </c>
      <c r="K124" s="3227">
        <v>0.11890369804381058</v>
      </c>
      <c r="L124" s="3227">
        <v>3.9557537429740816E-2</v>
      </c>
      <c r="M124" s="3497">
        <v>-3.7777252768390765E-2</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v>0.21168048054788563</v>
      </c>
      <c r="E126" s="3227">
        <v>0.93679411346622166</v>
      </c>
      <c r="F126" s="3227">
        <v>2.743753762038122E-2</v>
      </c>
      <c r="G126" s="3103">
        <f t="shared" si="73"/>
        <v>3.5000000000000001E-3</v>
      </c>
      <c r="H126" s="3103">
        <f t="shared" si="74"/>
        <v>4.5032020171654912E-2</v>
      </c>
      <c r="I126" s="3103">
        <f t="shared" si="72"/>
        <v>2.3020488667377274E-2</v>
      </c>
      <c r="J126" s="3227">
        <v>7.4088168191759974E-4</v>
      </c>
      <c r="K126" s="3227">
        <v>4.2185731414298475E-2</v>
      </c>
      <c r="L126" s="3227">
        <v>1.4034581572115977E-2</v>
      </c>
      <c r="M126" s="3497">
        <v>-1.3402956048265253E-2</v>
      </c>
    </row>
    <row r="127" spans="2:13" ht="18" customHeight="1" x14ac:dyDescent="0.2">
      <c r="B127" s="2616" t="s">
        <v>574</v>
      </c>
      <c r="C127" s="2618" t="s">
        <v>574</v>
      </c>
      <c r="D127" s="3227">
        <v>2.2673209036689174E-5</v>
      </c>
      <c r="E127" s="3227">
        <v>1.00340516536926E-4</v>
      </c>
      <c r="F127" s="3227">
        <v>2.9388492708858816E-6</v>
      </c>
      <c r="G127" s="3103">
        <f t="shared" si="73"/>
        <v>3.5000000000000005E-3</v>
      </c>
      <c r="H127" s="3103">
        <f t="shared" si="74"/>
        <v>4.5032020171654912E-2</v>
      </c>
      <c r="I127" s="3103">
        <f t="shared" si="72"/>
        <v>2.3020488667377412E-2</v>
      </c>
      <c r="J127" s="3227">
        <v>7.9356231628412119E-8</v>
      </c>
      <c r="K127" s="3227">
        <v>4.5185361647251249E-6</v>
      </c>
      <c r="L127" s="3227">
        <v>1.5032515086107208E-6</v>
      </c>
      <c r="M127" s="3497">
        <v>-1.435597762275162E-6</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29.02133543925726</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29.02133543925726</v>
      </c>
      <c r="L131" s="3229"/>
      <c r="M131" s="3226" t="str">
        <f>IF(SUM(M132:M143)=0,"NO",SUM(M132:M143))</f>
        <v>NO</v>
      </c>
    </row>
    <row r="132" spans="2:13" ht="18" customHeight="1" x14ac:dyDescent="0.2">
      <c r="B132" s="2616" t="s">
        <v>559</v>
      </c>
      <c r="C132" s="2618" t="s">
        <v>559</v>
      </c>
      <c r="D132" s="3227" t="s">
        <v>2146</v>
      </c>
      <c r="E132" s="3227">
        <v>3.8484560518581442E-3</v>
      </c>
      <c r="F132" s="3229"/>
      <c r="G132" s="3103" t="str">
        <f>IF(SUM(D132)=0,"NA",J132/D132)</f>
        <v>NA</v>
      </c>
      <c r="H132" s="3103">
        <f>IF(SUM(E132)=0,"NA",K132/E132)</f>
        <v>0.65878761767202287</v>
      </c>
      <c r="I132" s="4327"/>
      <c r="J132" s="3227" t="s">
        <v>2146</v>
      </c>
      <c r="K132" s="3227">
        <v>2.5353151941191056E-3</v>
      </c>
      <c r="L132" s="3229"/>
      <c r="M132" s="3497" t="s">
        <v>2146</v>
      </c>
    </row>
    <row r="133" spans="2:13" ht="18" customHeight="1" x14ac:dyDescent="0.2">
      <c r="B133" s="2616" t="s">
        <v>560</v>
      </c>
      <c r="C133" s="2618" t="s">
        <v>560</v>
      </c>
      <c r="D133" s="3227" t="s">
        <v>2146</v>
      </c>
      <c r="E133" s="3227">
        <v>0.60150721427335729</v>
      </c>
      <c r="F133" s="3229"/>
      <c r="G133" s="3103" t="str">
        <f t="shared" ref="G133:G143" si="75">IF(SUM(D133)=0,"NA",J133/D133)</f>
        <v>NA</v>
      </c>
      <c r="H133" s="3103">
        <f t="shared" ref="H133:H143" si="76">IF(SUM(E133)=0,"NA",K133/E133)</f>
        <v>0.65878761767202298</v>
      </c>
      <c r="I133" s="4327"/>
      <c r="J133" s="3227" t="s">
        <v>2146</v>
      </c>
      <c r="K133" s="3227">
        <v>0.3962655047036801</v>
      </c>
      <c r="L133" s="3229"/>
      <c r="M133" s="3497" t="s">
        <v>2146</v>
      </c>
    </row>
    <row r="134" spans="2:13" ht="18" customHeight="1" x14ac:dyDescent="0.2">
      <c r="B134" s="2616" t="s">
        <v>562</v>
      </c>
      <c r="C134" s="2618" t="s">
        <v>562</v>
      </c>
      <c r="D134" s="3227" t="s">
        <v>2146</v>
      </c>
      <c r="E134" s="3227">
        <v>8.9297156320462933E-3</v>
      </c>
      <c r="F134" s="3229"/>
      <c r="G134" s="3103" t="str">
        <f t="shared" si="75"/>
        <v>NA</v>
      </c>
      <c r="H134" s="3103">
        <f t="shared" si="76"/>
        <v>0.65878761767202287</v>
      </c>
      <c r="I134" s="4327"/>
      <c r="J134" s="3227" t="s">
        <v>2146</v>
      </c>
      <c r="K134" s="3227">
        <v>5.8827860877243999E-3</v>
      </c>
      <c r="L134" s="3229"/>
      <c r="M134" s="3497" t="s">
        <v>2146</v>
      </c>
    </row>
    <row r="135" spans="2:13" ht="18" customHeight="1" x14ac:dyDescent="0.2">
      <c r="B135" s="2616" t="s">
        <v>563</v>
      </c>
      <c r="C135" s="2618" t="s">
        <v>563</v>
      </c>
      <c r="D135" s="3227" t="s">
        <v>2146</v>
      </c>
      <c r="E135" s="3227">
        <v>10.886198151110099</v>
      </c>
      <c r="F135" s="3229"/>
      <c r="G135" s="3103" t="str">
        <f t="shared" si="75"/>
        <v>NA</v>
      </c>
      <c r="H135" s="3103">
        <f t="shared" si="76"/>
        <v>0.65878761767202287</v>
      </c>
      <c r="I135" s="4327"/>
      <c r="J135" s="3227" t="s">
        <v>2146</v>
      </c>
      <c r="K135" s="3227">
        <v>7.1716925454754019</v>
      </c>
      <c r="L135" s="3229"/>
      <c r="M135" s="3497" t="s">
        <v>2146</v>
      </c>
    </row>
    <row r="136" spans="2:13" ht="18" customHeight="1" x14ac:dyDescent="0.2">
      <c r="B136" s="2616" t="s">
        <v>564</v>
      </c>
      <c r="C136" s="2618" t="s">
        <v>564</v>
      </c>
      <c r="D136" s="3227" t="s">
        <v>2146</v>
      </c>
      <c r="E136" s="3227">
        <v>1.2188224342795659E-2</v>
      </c>
      <c r="F136" s="3229"/>
      <c r="G136" s="3103" t="str">
        <f t="shared" si="75"/>
        <v>NA</v>
      </c>
      <c r="H136" s="3103">
        <f t="shared" si="76"/>
        <v>0.65878761767202287</v>
      </c>
      <c r="I136" s="4327"/>
      <c r="J136" s="3227" t="s">
        <v>2146</v>
      </c>
      <c r="K136" s="3227">
        <v>8.0294512784425086E-3</v>
      </c>
      <c r="L136" s="3229"/>
      <c r="M136" s="3497" t="s">
        <v>2146</v>
      </c>
    </row>
    <row r="137" spans="2:13" ht="18" customHeight="1" x14ac:dyDescent="0.2">
      <c r="B137" s="2616" t="s">
        <v>565</v>
      </c>
      <c r="C137" s="2618" t="s">
        <v>565</v>
      </c>
      <c r="D137" s="3227" t="s">
        <v>2146</v>
      </c>
      <c r="E137" s="3227">
        <v>31.128235451208766</v>
      </c>
      <c r="F137" s="3229"/>
      <c r="G137" s="3103" t="str">
        <f t="shared" si="75"/>
        <v>NA</v>
      </c>
      <c r="H137" s="3103">
        <f t="shared" si="76"/>
        <v>0.65878761767202276</v>
      </c>
      <c r="I137" s="4327"/>
      <c r="J137" s="3227" t="s">
        <v>2146</v>
      </c>
      <c r="K137" s="3227">
        <v>20.506896075235627</v>
      </c>
      <c r="L137" s="3229"/>
      <c r="M137" s="3497" t="s">
        <v>2146</v>
      </c>
    </row>
    <row r="138" spans="2:13" ht="18" customHeight="1" x14ac:dyDescent="0.2">
      <c r="B138" s="2616" t="s">
        <v>567</v>
      </c>
      <c r="C138" s="2618" t="s">
        <v>567</v>
      </c>
      <c r="D138" s="3227" t="s">
        <v>2146</v>
      </c>
      <c r="E138" s="3227">
        <v>1.0420040892279925</v>
      </c>
      <c r="F138" s="3229"/>
      <c r="G138" s="3103" t="str">
        <f t="shared" si="75"/>
        <v>NA</v>
      </c>
      <c r="H138" s="3103">
        <f t="shared" si="76"/>
        <v>0.65878761767202298</v>
      </c>
      <c r="I138" s="4327"/>
      <c r="J138" s="3227" t="s">
        <v>2146</v>
      </c>
      <c r="K138" s="3227">
        <v>0.68645939154701519</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v>0.36969165269003151</v>
      </c>
      <c r="F140" s="3229"/>
      <c r="G140" s="3103" t="str">
        <f t="shared" si="75"/>
        <v>NA</v>
      </c>
      <c r="H140" s="3103">
        <f t="shared" si="76"/>
        <v>0.65878761767202287</v>
      </c>
      <c r="I140" s="4327"/>
      <c r="J140" s="3227" t="s">
        <v>2146</v>
      </c>
      <c r="K140" s="3227">
        <v>0.24354828314889873</v>
      </c>
      <c r="L140" s="3229"/>
      <c r="M140" s="3497" t="s">
        <v>2146</v>
      </c>
    </row>
    <row r="141" spans="2:13" ht="18" customHeight="1" x14ac:dyDescent="0.2">
      <c r="B141" s="2616" t="s">
        <v>574</v>
      </c>
      <c r="C141" s="2618" t="s">
        <v>574</v>
      </c>
      <c r="D141" s="3227" t="s">
        <v>2146</v>
      </c>
      <c r="E141" s="3227">
        <v>3.9597869859635027E-5</v>
      </c>
      <c r="F141" s="3229"/>
      <c r="G141" s="3103" t="str">
        <f t="shared" si="75"/>
        <v>NA</v>
      </c>
      <c r="H141" s="3103">
        <f t="shared" si="76"/>
        <v>0.65878761767202298</v>
      </c>
      <c r="I141" s="4327"/>
      <c r="J141" s="3227" t="s">
        <v>2146</v>
      </c>
      <c r="K141" s="3227">
        <v>2.608658634971576E-5</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19.283165845901745</v>
      </c>
      <c r="L146" s="3103">
        <f>IF(SUM(L147:L158)=0,"NO",SUM(L147:L158))</f>
        <v>6.6042629474344841</v>
      </c>
      <c r="M146" s="3226" t="str">
        <f>IF(SUM(M147:M158)=0,"NO",SUM(M147:M158))</f>
        <v>NO</v>
      </c>
    </row>
    <row r="147" spans="2:13" ht="18" customHeight="1" x14ac:dyDescent="0.2">
      <c r="B147" s="2616" t="s">
        <v>559</v>
      </c>
      <c r="C147" s="2618" t="s">
        <v>559</v>
      </c>
      <c r="D147" s="3227">
        <v>2.615160156528836E-3</v>
      </c>
      <c r="E147" s="3227">
        <v>4.6767498714436187E-3</v>
      </c>
      <c r="F147" s="3227">
        <v>5.7695098944133985E-4</v>
      </c>
      <c r="G147" s="3103" t="str">
        <f>IFERROR(J147/D147,"NA")</f>
        <v>NA</v>
      </c>
      <c r="H147" s="3103">
        <f>IF(SUM(E147)=0,"NA",K147/E147)</f>
        <v>0.36020418942559418</v>
      </c>
      <c r="I147" s="3103">
        <f t="shared" ref="I147:I158" si="77">IF(SUM(F147)=0,"NA",(SUM(L147:M147))/F147)</f>
        <v>0.99999999999999911</v>
      </c>
      <c r="J147" s="3227" t="s">
        <v>2146</v>
      </c>
      <c r="K147" s="3227">
        <v>1.6845848965896006E-3</v>
      </c>
      <c r="L147" s="3227">
        <v>5.7695098944133931E-4</v>
      </c>
      <c r="M147" s="3497" t="s">
        <v>2146</v>
      </c>
    </row>
    <row r="148" spans="2:13" ht="18" customHeight="1" x14ac:dyDescent="0.2">
      <c r="B148" s="2616" t="s">
        <v>560</v>
      </c>
      <c r="C148" s="2618" t="s">
        <v>560</v>
      </c>
      <c r="D148" s="3227">
        <v>0.40874513816334995</v>
      </c>
      <c r="E148" s="3227">
        <v>0.73096814647710195</v>
      </c>
      <c r="F148" s="3227">
        <v>9.017647018823477E-2</v>
      </c>
      <c r="G148" s="3103" t="str">
        <f t="shared" ref="G148:G158" si="78">IFERROR(J148/D148,"NA")</f>
        <v>NA</v>
      </c>
      <c r="H148" s="3103">
        <f t="shared" ref="H148:H158" si="79">IF(SUM(E148)=0,"NA",K148/E148)</f>
        <v>0.36020418942559412</v>
      </c>
      <c r="I148" s="3103">
        <f t="shared" si="77"/>
        <v>0.99999999999999933</v>
      </c>
      <c r="J148" s="3227" t="s">
        <v>2146</v>
      </c>
      <c r="K148" s="3227">
        <v>0.26329778869771348</v>
      </c>
      <c r="L148" s="3227">
        <v>9.0176470188234714E-2</v>
      </c>
      <c r="M148" s="3497" t="s">
        <v>2146</v>
      </c>
    </row>
    <row r="149" spans="2:13" ht="18" customHeight="1" x14ac:dyDescent="0.2">
      <c r="B149" s="2616" t="s">
        <v>562</v>
      </c>
      <c r="C149" s="2618" t="s">
        <v>562</v>
      </c>
      <c r="D149" s="3227">
        <v>6.0680533220029533E-3</v>
      </c>
      <c r="E149" s="3227">
        <v>1.0851636570992328E-2</v>
      </c>
      <c r="F149" s="3227">
        <v>1.3387208272396336E-3</v>
      </c>
      <c r="G149" s="3103" t="str">
        <f t="shared" si="78"/>
        <v>NA</v>
      </c>
      <c r="H149" s="3103">
        <f t="shared" si="79"/>
        <v>0.36020418942559418</v>
      </c>
      <c r="I149" s="3103">
        <f t="shared" si="77"/>
        <v>0.99999999999999789</v>
      </c>
      <c r="J149" s="3227" t="s">
        <v>2146</v>
      </c>
      <c r="K149" s="3227">
        <v>3.9088049549954257E-3</v>
      </c>
      <c r="L149" s="3227">
        <v>1.3387208272396308E-3</v>
      </c>
      <c r="M149" s="3497" t="s">
        <v>2146</v>
      </c>
    </row>
    <row r="150" spans="2:13" ht="18" customHeight="1" x14ac:dyDescent="0.2">
      <c r="B150" s="2616" t="s">
        <v>563</v>
      </c>
      <c r="C150" s="2618" t="s">
        <v>563</v>
      </c>
      <c r="D150" s="3227">
        <v>7.3975514536836906</v>
      </c>
      <c r="E150" s="3227">
        <v>13.229208055820761</v>
      </c>
      <c r="F150" s="3227">
        <v>1.6320318355993453</v>
      </c>
      <c r="G150" s="3103" t="str">
        <f t="shared" si="78"/>
        <v>NA</v>
      </c>
      <c r="H150" s="3103">
        <f t="shared" si="79"/>
        <v>0.36020418942559412</v>
      </c>
      <c r="I150" s="3103">
        <f t="shared" si="77"/>
        <v>0.99999999999999867</v>
      </c>
      <c r="J150" s="3227" t="s">
        <v>2146</v>
      </c>
      <c r="K150" s="3227">
        <v>4.7652161644894573</v>
      </c>
      <c r="L150" s="3227">
        <v>1.6320318355993431</v>
      </c>
      <c r="M150" s="3497" t="s">
        <v>2146</v>
      </c>
    </row>
    <row r="151" spans="2:13" ht="18" customHeight="1" x14ac:dyDescent="0.2">
      <c r="B151" s="2616" t="s">
        <v>564</v>
      </c>
      <c r="C151" s="2618" t="s">
        <v>564</v>
      </c>
      <c r="D151" s="3227">
        <v>8.2823236774977101E-3</v>
      </c>
      <c r="E151" s="3227">
        <v>1.4811466172459927E-2</v>
      </c>
      <c r="F151" s="3227">
        <v>1.8272283740160492E-3</v>
      </c>
      <c r="G151" s="3103" t="str">
        <f t="shared" si="78"/>
        <v>NA</v>
      </c>
      <c r="H151" s="3103">
        <f t="shared" si="79"/>
        <v>0.36020418942559418</v>
      </c>
      <c r="I151" s="3103">
        <f t="shared" si="77"/>
        <v>0.99999999999999856</v>
      </c>
      <c r="J151" s="3227" t="s">
        <v>2146</v>
      </c>
      <c r="K151" s="3227">
        <v>5.3351521668555356E-3</v>
      </c>
      <c r="L151" s="3227">
        <v>1.8272283740160466E-3</v>
      </c>
      <c r="M151" s="3497" t="s">
        <v>2146</v>
      </c>
    </row>
    <row r="152" spans="2:13" ht="18" customHeight="1" x14ac:dyDescent="0.2">
      <c r="B152" s="2616" t="s">
        <v>565</v>
      </c>
      <c r="C152" s="2618" t="s">
        <v>565</v>
      </c>
      <c r="D152" s="3227">
        <v>21.152722026212242</v>
      </c>
      <c r="E152" s="3227">
        <v>37.827889725911668</v>
      </c>
      <c r="F152" s="3227">
        <v>4.6666678795686263</v>
      </c>
      <c r="G152" s="3103" t="str">
        <f t="shared" si="78"/>
        <v>NA</v>
      </c>
      <c r="H152" s="3103">
        <f t="shared" si="79"/>
        <v>0.36020418942559429</v>
      </c>
      <c r="I152" s="3103">
        <f t="shared" si="77"/>
        <v>0.99999999999999845</v>
      </c>
      <c r="J152" s="3227" t="s">
        <v>2146</v>
      </c>
      <c r="K152" s="3227">
        <v>13.625764356402778</v>
      </c>
      <c r="L152" s="3227">
        <v>4.6666678795686192</v>
      </c>
      <c r="M152" s="3497" t="s">
        <v>2146</v>
      </c>
    </row>
    <row r="153" spans="2:13" ht="18" customHeight="1" x14ac:dyDescent="0.2">
      <c r="B153" s="2616" t="s">
        <v>567</v>
      </c>
      <c r="C153" s="2618" t="s">
        <v>567</v>
      </c>
      <c r="D153" s="3227">
        <v>0.70807813324864477</v>
      </c>
      <c r="E153" s="3227">
        <v>1.2662720905927518</v>
      </c>
      <c r="F153" s="3227">
        <v>0.15621466951447793</v>
      </c>
      <c r="G153" s="3103" t="str">
        <f t="shared" si="78"/>
        <v>NA</v>
      </c>
      <c r="H153" s="3103">
        <f t="shared" si="79"/>
        <v>0.36020418942559418</v>
      </c>
      <c r="I153" s="3103">
        <f t="shared" si="77"/>
        <v>0.99999999999999889</v>
      </c>
      <c r="J153" s="3227" t="s">
        <v>2146</v>
      </c>
      <c r="K153" s="3227">
        <v>0.45611651198421471</v>
      </c>
      <c r="L153" s="3227">
        <v>0.15621466951447777</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v>0.25121837622374998</v>
      </c>
      <c r="E155" s="3227">
        <v>0.44925948637430713</v>
      </c>
      <c r="F155" s="3227">
        <v>5.5423255958641768E-2</v>
      </c>
      <c r="G155" s="3103" t="str">
        <f t="shared" si="78"/>
        <v>NA</v>
      </c>
      <c r="H155" s="3103">
        <f t="shared" si="79"/>
        <v>0.36020418942559423</v>
      </c>
      <c r="I155" s="3103">
        <f t="shared" si="77"/>
        <v>0.99999999999999922</v>
      </c>
      <c r="J155" s="3227" t="s">
        <v>2146</v>
      </c>
      <c r="K155" s="3227">
        <v>0.1618251491312161</v>
      </c>
      <c r="L155" s="3227">
        <v>5.5423255958641726E-2</v>
      </c>
      <c r="M155" s="3497" t="s">
        <v>2146</v>
      </c>
    </row>
    <row r="156" spans="2:13" ht="18" customHeight="1" x14ac:dyDescent="0.2">
      <c r="B156" s="2616" t="s">
        <v>574</v>
      </c>
      <c r="C156" s="2618" t="s">
        <v>574</v>
      </c>
      <c r="D156" s="3227">
        <v>2.6908134104930838E-5</v>
      </c>
      <c r="E156" s="3227">
        <v>4.8120422912475398E-5</v>
      </c>
      <c r="F156" s="3227">
        <v>5.9364144704874893E-6</v>
      </c>
      <c r="G156" s="3103" t="str">
        <f t="shared" si="78"/>
        <v>NA</v>
      </c>
      <c r="H156" s="3103">
        <f t="shared" si="79"/>
        <v>0.36020418942559418</v>
      </c>
      <c r="I156" s="3103">
        <f t="shared" si="77"/>
        <v>0.99999999999999856</v>
      </c>
      <c r="J156" s="3227" t="s">
        <v>2146</v>
      </c>
      <c r="K156" s="3227">
        <v>1.733317793000499E-5</v>
      </c>
      <c r="L156" s="3227">
        <v>5.9364144704874808E-6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2.0251432118078747</v>
      </c>
      <c r="K162" s="3233">
        <f t="shared" ref="K162:M162" si="85">IF(SUM(K163,K165,K175)=0,"NO",SUM(K163,K165,K175))</f>
        <v>7.8474577878067997</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2.0251432118078747</v>
      </c>
      <c r="K163" s="3230">
        <f t="shared" ref="K163:M163" si="86">K164</f>
        <v>7.1770752239599442</v>
      </c>
      <c r="L163" s="3230" t="str">
        <f t="shared" si="86"/>
        <v>NO</v>
      </c>
      <c r="M163" s="3226" t="str">
        <f t="shared" si="86"/>
        <v>NO</v>
      </c>
    </row>
    <row r="164" spans="2:13" ht="18" customHeight="1" x14ac:dyDescent="0.2">
      <c r="B164" s="2616" t="s">
        <v>1621</v>
      </c>
      <c r="C164" s="2618" t="s">
        <v>1621</v>
      </c>
      <c r="D164" s="3235">
        <v>23.825214256563228</v>
      </c>
      <c r="E164" s="3235">
        <v>409.16030590766684</v>
      </c>
      <c r="F164" s="3235" t="s">
        <v>2146</v>
      </c>
      <c r="G164" s="3103">
        <f t="shared" ref="G164" si="87">IF(SUM(D164)=0,"NA",J164/D164)</f>
        <v>8.5000000000000006E-2</v>
      </c>
      <c r="H164" s="3103">
        <f t="shared" ref="H164" si="88">IF(SUM(E164)=0,"NA",K164/E164)</f>
        <v>1.7540986064223833E-2</v>
      </c>
      <c r="I164" s="3103" t="str">
        <f t="shared" ref="I164" si="89">IF(SUM(F164)=0,"NA",(SUM(L164:M164))/F164)</f>
        <v>NA</v>
      </c>
      <c r="J164" s="3142">
        <v>2.0251432118078747</v>
      </c>
      <c r="K164" s="3142">
        <v>7.1770752239599442</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0.67038256384685546</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0.67038256384685546</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0.67038256384685546</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0.67038256384685546</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1930.4128002981445</v>
      </c>
      <c r="D10" s="2500">
        <f t="shared" ref="D10:I10" si="0">IF(SUM(D11,D20,D31:D32,D42:D47)=0,"NO",SUM(D11,D20,D31:D32,D42:D47))</f>
        <v>2613.1836634629763</v>
      </c>
      <c r="E10" s="2500">
        <f t="shared" si="0"/>
        <v>46.553284740067411</v>
      </c>
      <c r="F10" s="2500">
        <f t="shared" si="0"/>
        <v>34.146524240253598</v>
      </c>
      <c r="G10" s="2500">
        <f t="shared" si="0"/>
        <v>554.6041122088559</v>
      </c>
      <c r="H10" s="2915">
        <f t="shared" si="0"/>
        <v>32.351906545516592</v>
      </c>
      <c r="I10" s="2924" t="str">
        <f t="shared" si="0"/>
        <v>NO</v>
      </c>
      <c r="J10" s="2925">
        <f>IF(SUM(C10:E10)=0,"NO",SUM(C10)+28*SUM(D10)+265*SUM(E10))</f>
        <v>87436.17583337934</v>
      </c>
    </row>
    <row r="11" spans="1:10" ht="18" customHeight="1" x14ac:dyDescent="0.2">
      <c r="B11" s="234" t="s">
        <v>694</v>
      </c>
      <c r="C11" s="2926"/>
      <c r="D11" s="2137">
        <f>SUM(D16:D19)</f>
        <v>2326.0779820086127</v>
      </c>
      <c r="E11" s="1929"/>
      <c r="F11" s="1929"/>
      <c r="G11" s="1929"/>
      <c r="H11" s="2927"/>
      <c r="I11" s="2928"/>
      <c r="J11" s="1880">
        <f>IF(SUM(C11:E11)=0,"NO",SUM(C11)+28*SUM(D11)+265*SUM(E11))</f>
        <v>65130.183496241152</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1587.060046153731</v>
      </c>
      <c r="E16" s="628"/>
      <c r="F16" s="628"/>
      <c r="G16" s="628"/>
      <c r="H16" s="2930"/>
      <c r="I16" s="2931"/>
      <c r="J16" s="2934">
        <f>IF(SUM(C16:E16)=0,"NO",SUM(C16)+28*SUM(D16)+265*SUM(E16))</f>
        <v>44437.681292304471</v>
      </c>
    </row>
    <row r="17" spans="2:10" ht="18" customHeight="1" x14ac:dyDescent="0.2">
      <c r="B17" s="228" t="s">
        <v>699</v>
      </c>
      <c r="C17" s="2936"/>
      <c r="D17" s="2920">
        <f>Table3.A!G24</f>
        <v>724.97896494605698</v>
      </c>
      <c r="E17" s="628"/>
      <c r="F17" s="628"/>
      <c r="G17" s="628"/>
      <c r="H17" s="2930"/>
      <c r="I17" s="2931"/>
      <c r="J17" s="2934">
        <f t="shared" ref="J17:J21" si="1">IF(SUM(C17:E17)=0,"NO",SUM(C17)+28*SUM(D17)+265*SUM(E17))</f>
        <v>20299.411018489594</v>
      </c>
    </row>
    <row r="18" spans="2:10" ht="18" customHeight="1" x14ac:dyDescent="0.2">
      <c r="B18" s="228" t="s">
        <v>700</v>
      </c>
      <c r="C18" s="2936"/>
      <c r="D18" s="2920">
        <f>Table3.A!G27</f>
        <v>4.6897327973160081</v>
      </c>
      <c r="E18" s="628"/>
      <c r="F18" s="628"/>
      <c r="G18" s="628"/>
      <c r="H18" s="2930"/>
      <c r="I18" s="2931"/>
      <c r="J18" s="2934">
        <f t="shared" si="1"/>
        <v>131.31251832484821</v>
      </c>
    </row>
    <row r="19" spans="2:10" ht="18" customHeight="1" thickBot="1" x14ac:dyDescent="0.25">
      <c r="B19" s="1297" t="s">
        <v>701</v>
      </c>
      <c r="C19" s="2937"/>
      <c r="D19" s="2500">
        <f>Table3.A!G30</f>
        <v>9.3492381115086918</v>
      </c>
      <c r="E19" s="1923"/>
      <c r="F19" s="1923"/>
      <c r="G19" s="1923"/>
      <c r="H19" s="2938"/>
      <c r="I19" s="2939"/>
      <c r="J19" s="2934">
        <f t="shared" si="1"/>
        <v>261.77866712224335</v>
      </c>
    </row>
    <row r="20" spans="2:10" ht="18" customHeight="1" x14ac:dyDescent="0.2">
      <c r="B20" s="1456" t="s">
        <v>702</v>
      </c>
      <c r="C20" s="2940"/>
      <c r="D20" s="2920">
        <f>IF(SUM(D26:D30)=0,"NO",SUM(D26:D30))</f>
        <v>249.91384359259771</v>
      </c>
      <c r="E20" s="2920">
        <f>IF(SUM(E26:E30)=0,"NO",SUM(E26:E30))</f>
        <v>1.5273295226789434</v>
      </c>
      <c r="F20" s="2134"/>
      <c r="G20" s="2134"/>
      <c r="H20" s="2920" t="str">
        <f>IF(SUM(H26:H30)=0,"NE",SUM(H26:H30))</f>
        <v>NE</v>
      </c>
      <c r="I20" s="2931"/>
      <c r="J20" s="2941">
        <f t="shared" si="1"/>
        <v>7402.3299441026566</v>
      </c>
    </row>
    <row r="21" spans="2:10" ht="18" customHeight="1" x14ac:dyDescent="0.2">
      <c r="B21" s="228" t="s">
        <v>2019</v>
      </c>
      <c r="C21" s="2936"/>
      <c r="D21" s="2920">
        <f>D26</f>
        <v>148.85983694497949</v>
      </c>
      <c r="E21" s="2920">
        <f>E26</f>
        <v>0.61700704768162984</v>
      </c>
      <c r="F21" s="2942"/>
      <c r="G21" s="2942"/>
      <c r="H21" s="2920" t="str">
        <f>H26</f>
        <v>NE</v>
      </c>
      <c r="I21" s="2931"/>
      <c r="J21" s="2934">
        <f t="shared" si="1"/>
        <v>4331.5823020950584</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148.85983694497949</v>
      </c>
      <c r="E26" s="2920">
        <f>'Table3.B(b)'!X15</f>
        <v>0.61700704768162984</v>
      </c>
      <c r="F26" s="628"/>
      <c r="G26" s="628"/>
      <c r="H26" s="2944" t="s">
        <v>2154</v>
      </c>
      <c r="I26" s="2931"/>
      <c r="J26" s="2934">
        <f t="shared" ref="J26:J48" si="2">IF(SUM(C26:E26)=0,"NO",SUM(C26)+28*SUM(D26)+265*SUM(E26))</f>
        <v>4331.5823020950584</v>
      </c>
    </row>
    <row r="27" spans="2:10" ht="18" customHeight="1" x14ac:dyDescent="0.2">
      <c r="B27" s="228" t="s">
        <v>705</v>
      </c>
      <c r="C27" s="2936"/>
      <c r="D27" s="2920">
        <f>'Table3.B(a)'!K24</f>
        <v>37.056117530516474</v>
      </c>
      <c r="E27" s="2920" t="str">
        <f>'Table3.B(b)'!X24</f>
        <v>NA</v>
      </c>
      <c r="F27" s="2942"/>
      <c r="G27" s="2942"/>
      <c r="H27" s="2944" t="s">
        <v>2154</v>
      </c>
      <c r="I27" s="2931"/>
      <c r="J27" s="2934">
        <f t="shared" si="2"/>
        <v>1037.5712908544613</v>
      </c>
    </row>
    <row r="28" spans="2:10" ht="18" customHeight="1" x14ac:dyDescent="0.2">
      <c r="B28" s="228" t="s">
        <v>706</v>
      </c>
      <c r="C28" s="2936"/>
      <c r="D28" s="2920">
        <f>'Table3.B(a)'!K27</f>
        <v>60.678569259583966</v>
      </c>
      <c r="E28" s="2920">
        <f>'Table3.B(b)'!X27</f>
        <v>0.338404770602585</v>
      </c>
      <c r="F28" s="2942"/>
      <c r="G28" s="2942"/>
      <c r="H28" s="2944" t="s">
        <v>2154</v>
      </c>
      <c r="I28" s="2931"/>
      <c r="J28" s="2934">
        <f t="shared" si="2"/>
        <v>1788.6772034780361</v>
      </c>
    </row>
    <row r="29" spans="2:10" ht="18" customHeight="1" x14ac:dyDescent="0.2">
      <c r="B29" s="228" t="s">
        <v>707</v>
      </c>
      <c r="C29" s="2936"/>
      <c r="D29" s="2920">
        <f>'Table3.B(a)'!K30</f>
        <v>3.3193198575178</v>
      </c>
      <c r="E29" s="2920">
        <f>'Table3.B(b)'!X30</f>
        <v>0.27076300167733325</v>
      </c>
      <c r="F29" s="2942"/>
      <c r="G29" s="2942"/>
      <c r="H29" s="2944" t="s">
        <v>2154</v>
      </c>
      <c r="I29" s="2931"/>
      <c r="J29" s="2934">
        <f t="shared" si="2"/>
        <v>164.69315145499172</v>
      </c>
    </row>
    <row r="30" spans="2:10" ht="18" customHeight="1" thickBot="1" x14ac:dyDescent="0.25">
      <c r="B30" s="1297" t="s">
        <v>708</v>
      </c>
      <c r="C30" s="2945"/>
      <c r="D30" s="2946"/>
      <c r="E30" s="2947">
        <f>SUM('Table3.B(b)'!Y46:Z46)</f>
        <v>0.30115470271739536</v>
      </c>
      <c r="F30" s="2948"/>
      <c r="G30" s="2948"/>
      <c r="H30" s="2949"/>
      <c r="I30" s="2950"/>
      <c r="J30" s="2934">
        <f t="shared" si="2"/>
        <v>79.805996220109776</v>
      </c>
    </row>
    <row r="31" spans="2:10" ht="18" customHeight="1" thickBot="1" x14ac:dyDescent="0.25">
      <c r="B31" s="2639" t="s">
        <v>709</v>
      </c>
      <c r="C31" s="2951"/>
      <c r="D31" s="2952">
        <f>Table3.C!G11</f>
        <v>22.971219600000001</v>
      </c>
      <c r="E31" s="2953"/>
      <c r="F31" s="2953"/>
      <c r="G31" s="2953"/>
      <c r="H31" s="2954" t="s">
        <v>2154</v>
      </c>
      <c r="I31" s="2955"/>
      <c r="J31" s="2956">
        <f t="shared" si="2"/>
        <v>643.19414879999999</v>
      </c>
    </row>
    <row r="32" spans="2:10" ht="18" customHeight="1" x14ac:dyDescent="0.2">
      <c r="B32" s="2638" t="s">
        <v>2020</v>
      </c>
      <c r="C32" s="2957"/>
      <c r="D32" s="2958" t="s">
        <v>2154</v>
      </c>
      <c r="E32" s="2958">
        <f>IF(SUM(E33,E41)=0,"NO",SUM(E33,E41))</f>
        <v>44.434930491408096</v>
      </c>
      <c r="F32" s="2958" t="str">
        <f>IF(SUM(F33,F41)=0,"NO",SUM(F33,F41))</f>
        <v>NO</v>
      </c>
      <c r="G32" s="2958" t="str">
        <f>IF(SUM(G33,G41)=0,"NO",SUM(G33,G41))</f>
        <v>NO</v>
      </c>
      <c r="H32" s="2958" t="str">
        <f>IF(SUM(H33,H41)=0,"NO",SUM(H33,H41))</f>
        <v>NO</v>
      </c>
      <c r="I32" s="2959"/>
      <c r="J32" s="2960">
        <f t="shared" si="2"/>
        <v>11775.256580223146</v>
      </c>
    </row>
    <row r="33" spans="2:10" ht="18" customHeight="1" x14ac:dyDescent="0.2">
      <c r="B33" s="228" t="s">
        <v>710</v>
      </c>
      <c r="C33" s="2961"/>
      <c r="D33" s="2962" t="s">
        <v>2154</v>
      </c>
      <c r="E33" s="2962">
        <f>IF(SUM(E34:E40)=0,"NO",SUM(E34:E40))</f>
        <v>33.600169069774125</v>
      </c>
      <c r="F33" s="2962" t="str">
        <f>IF(SUM(F34:F40)=0,"NO",SUM(F34:F40))</f>
        <v>NO</v>
      </c>
      <c r="G33" s="2962" t="str">
        <f>IF(SUM(G34:G40)=0,"NO",SUM(G34:G40))</f>
        <v>NO</v>
      </c>
      <c r="H33" s="2962" t="str">
        <f>IF(SUM(H34:H40)=0,"NO",SUM(H34:H40))</f>
        <v>NO</v>
      </c>
      <c r="I33" s="2931"/>
      <c r="J33" s="2963">
        <f t="shared" si="2"/>
        <v>8904.0448034901437</v>
      </c>
    </row>
    <row r="34" spans="2:10" ht="18" customHeight="1" x14ac:dyDescent="0.2">
      <c r="B34" s="232" t="s">
        <v>711</v>
      </c>
      <c r="C34" s="2961"/>
      <c r="D34" s="2905" t="s">
        <v>2154</v>
      </c>
      <c r="E34" s="2962">
        <f>Table3.D!F11</f>
        <v>7.6225683041631029</v>
      </c>
      <c r="F34" s="2964" t="s">
        <v>2147</v>
      </c>
      <c r="G34" s="2964" t="s">
        <v>2147</v>
      </c>
      <c r="H34" s="2964" t="s">
        <v>2147</v>
      </c>
      <c r="I34" s="2931"/>
      <c r="J34" s="2963">
        <f t="shared" si="2"/>
        <v>2019.9806006032222</v>
      </c>
    </row>
    <row r="35" spans="2:10" ht="18" customHeight="1" x14ac:dyDescent="0.2">
      <c r="B35" s="232" t="s">
        <v>712</v>
      </c>
      <c r="C35" s="2961"/>
      <c r="D35" s="2905" t="s">
        <v>2154</v>
      </c>
      <c r="E35" s="2962">
        <f>Table3.D!F12</f>
        <v>1.325795095947661</v>
      </c>
      <c r="F35" s="2964" t="s">
        <v>2147</v>
      </c>
      <c r="G35" s="2964" t="s">
        <v>2147</v>
      </c>
      <c r="H35" s="2965" t="s">
        <v>2147</v>
      </c>
      <c r="I35" s="2931"/>
      <c r="J35" s="2963">
        <f t="shared" si="2"/>
        <v>351.33570042613019</v>
      </c>
    </row>
    <row r="36" spans="2:10" ht="18" customHeight="1" x14ac:dyDescent="0.2">
      <c r="B36" s="232" t="s">
        <v>713</v>
      </c>
      <c r="C36" s="2961"/>
      <c r="D36" s="2905" t="s">
        <v>2154</v>
      </c>
      <c r="E36" s="2962">
        <f>Table3.D!F16</f>
        <v>12.407445320925975</v>
      </c>
      <c r="F36" s="2964" t="s">
        <v>2147</v>
      </c>
      <c r="G36" s="2964" t="s">
        <v>2147</v>
      </c>
      <c r="H36" s="2965" t="s">
        <v>2147</v>
      </c>
      <c r="I36" s="2931"/>
      <c r="J36" s="2963">
        <f t="shared" si="2"/>
        <v>3287.9730100453835</v>
      </c>
    </row>
    <row r="37" spans="2:10" ht="18" customHeight="1" x14ac:dyDescent="0.2">
      <c r="B37" s="232" t="s">
        <v>714</v>
      </c>
      <c r="C37" s="2961"/>
      <c r="D37" s="2905" t="s">
        <v>2154</v>
      </c>
      <c r="E37" s="2962">
        <f>Table3.D!F17</f>
        <v>12.061701843164808</v>
      </c>
      <c r="F37" s="2964" t="s">
        <v>2147</v>
      </c>
      <c r="G37" s="2964" t="s">
        <v>2147</v>
      </c>
      <c r="H37" s="2965" t="s">
        <v>2147</v>
      </c>
      <c r="I37" s="2931"/>
      <c r="J37" s="2963">
        <f t="shared" si="2"/>
        <v>3196.3509884386744</v>
      </c>
    </row>
    <row r="38" spans="2:10" ht="18" customHeight="1" x14ac:dyDescent="0.2">
      <c r="B38" s="1705" t="s">
        <v>715</v>
      </c>
      <c r="C38" s="2961"/>
      <c r="D38" s="2905" t="s">
        <v>2154</v>
      </c>
      <c r="E38" s="2962">
        <f>Table3.D!F18</f>
        <v>9.4658505572575644E-2</v>
      </c>
      <c r="F38" s="2964" t="s">
        <v>2147</v>
      </c>
      <c r="G38" s="2964" t="s">
        <v>2147</v>
      </c>
      <c r="H38" s="2965" t="s">
        <v>2147</v>
      </c>
      <c r="I38" s="2931"/>
      <c r="J38" s="2963">
        <f t="shared" si="2"/>
        <v>25.084503976732545</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10.834761421633974</v>
      </c>
      <c r="F41" s="2969" t="s">
        <v>2147</v>
      </c>
      <c r="G41" s="2969" t="s">
        <v>2147</v>
      </c>
      <c r="H41" s="2970" t="s">
        <v>2147</v>
      </c>
      <c r="I41" s="2971"/>
      <c r="J41" s="2972">
        <f t="shared" si="2"/>
        <v>2871.2117767330033</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14.220618261765532</v>
      </c>
      <c r="E43" s="2979">
        <f>SUM(Table3.F!J10,Table3.F!J20,Table3.F!J23,Table3.F!J26:J27)</f>
        <v>0.59102472598037292</v>
      </c>
      <c r="F43" s="2909">
        <v>34.146524240253598</v>
      </c>
      <c r="G43" s="2909">
        <v>554.6041122088559</v>
      </c>
      <c r="H43" s="2910">
        <v>32.351906545516592</v>
      </c>
      <c r="I43" s="2980" t="s">
        <v>2146</v>
      </c>
      <c r="J43" s="2981">
        <f t="shared" si="2"/>
        <v>554.79886371423368</v>
      </c>
    </row>
    <row r="44" spans="2:10" ht="18" customHeight="1" thickBot="1" x14ac:dyDescent="0.25">
      <c r="B44" s="2641" t="s">
        <v>721</v>
      </c>
      <c r="C44" s="2982">
        <f>'Table3.G-J'!E10</f>
        <v>1021.2878336833335</v>
      </c>
      <c r="D44" s="2983"/>
      <c r="E44" s="2983"/>
      <c r="F44" s="2983"/>
      <c r="G44" s="2983"/>
      <c r="H44" s="2984"/>
      <c r="I44" s="2985"/>
      <c r="J44" s="2981">
        <f t="shared" si="2"/>
        <v>1021.2878336833335</v>
      </c>
    </row>
    <row r="45" spans="2:10" ht="18" customHeight="1" thickBot="1" x14ac:dyDescent="0.25">
      <c r="B45" s="2641" t="s">
        <v>722</v>
      </c>
      <c r="C45" s="2982">
        <f>'Table3.G-J'!E13</f>
        <v>909.124966614811</v>
      </c>
      <c r="D45" s="2983"/>
      <c r="E45" s="2983"/>
      <c r="F45" s="2983"/>
      <c r="G45" s="2983"/>
      <c r="H45" s="2984"/>
      <c r="I45" s="2985"/>
      <c r="J45" s="2981">
        <f t="shared" si="2"/>
        <v>909.124966614811</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27993.828999999998</v>
      </c>
      <c r="D10" s="3241"/>
      <c r="E10" s="3241"/>
      <c r="F10" s="3131">
        <f>IF(SUM(C10)=0,"NA",G10*1000/C10)</f>
        <v>56.693210712751409</v>
      </c>
      <c r="G10" s="3242">
        <f>G15</f>
        <v>1587.060046153731</v>
      </c>
      <c r="I10" s="275" t="s">
        <v>738</v>
      </c>
      <c r="J10" s="276" t="s">
        <v>739</v>
      </c>
      <c r="K10" s="691">
        <v>462.17628336995199</v>
      </c>
      <c r="L10" s="691">
        <v>362.10343881154603</v>
      </c>
      <c r="M10" s="3147">
        <v>524.43046762699998</v>
      </c>
      <c r="N10" s="3147">
        <v>45.054479184906597</v>
      </c>
      <c r="O10" s="2911">
        <v>53.695839848495297</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14.723648548925301</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27993.828999999998</v>
      </c>
      <c r="D15" s="3248"/>
      <c r="E15" s="3248"/>
      <c r="F15" s="3131">
        <f>IF(SUM(C15)=0,"NA",G15*1000/C15)</f>
        <v>56.693210712751409</v>
      </c>
      <c r="G15" s="3249">
        <f>G20</f>
        <v>1587.060046153731</v>
      </c>
      <c r="I15" s="1777" t="s">
        <v>748</v>
      </c>
      <c r="J15" s="1849" t="s">
        <v>297</v>
      </c>
      <c r="K15" s="3445">
        <v>75</v>
      </c>
      <c r="L15" s="3445">
        <v>57.952902419942298</v>
      </c>
      <c r="M15" s="1560">
        <v>80.631405420311594</v>
      </c>
      <c r="N15" s="1560">
        <v>66.517771021003895</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1587.060046153731</v>
      </c>
      <c r="I20" s="72"/>
      <c r="J20" s="288"/>
      <c r="K20" s="288"/>
      <c r="L20" s="288"/>
      <c r="M20" s="288"/>
      <c r="N20" s="288"/>
      <c r="O20" s="288"/>
    </row>
    <row r="21" spans="2:15" ht="18" customHeight="1" x14ac:dyDescent="0.2">
      <c r="B21" s="2633" t="s">
        <v>2196</v>
      </c>
      <c r="C21" s="3272">
        <v>3135.335</v>
      </c>
      <c r="D21" s="3257">
        <v>235.677146524656</v>
      </c>
      <c r="E21" s="3257">
        <v>6.1548370848890697</v>
      </c>
      <c r="F21" s="3131">
        <f t="shared" ref="F21:F30" si="0">IF(SUM(C21)=0,"NA",G21*1000/C21)</f>
        <v>95.880546801360566</v>
      </c>
      <c r="G21" s="3239">
        <v>300.61763420544384</v>
      </c>
      <c r="I21" s="72"/>
      <c r="J21" s="288"/>
      <c r="K21" s="288"/>
      <c r="L21" s="288"/>
      <c r="M21" s="288"/>
      <c r="N21" s="288"/>
      <c r="O21" s="288"/>
    </row>
    <row r="22" spans="2:15" ht="18" customHeight="1" x14ac:dyDescent="0.2">
      <c r="B22" s="2633" t="s">
        <v>2197</v>
      </c>
      <c r="C22" s="3272">
        <v>24180.151999999998</v>
      </c>
      <c r="D22" s="3257">
        <v>125.003788220427</v>
      </c>
      <c r="E22" s="3257">
        <v>6.21225</v>
      </c>
      <c r="F22" s="3131">
        <f t="shared" si="0"/>
        <v>51.329679629311705</v>
      </c>
      <c r="G22" s="3239">
        <v>1241.1594555480606</v>
      </c>
      <c r="I22" s="72"/>
      <c r="J22" s="288"/>
      <c r="K22" s="288"/>
      <c r="L22" s="288"/>
      <c r="M22" s="288"/>
      <c r="N22" s="288"/>
      <c r="O22" s="288"/>
    </row>
    <row r="23" spans="2:15" ht="18" customHeight="1" x14ac:dyDescent="0.2">
      <c r="B23" s="2633" t="s">
        <v>2198</v>
      </c>
      <c r="C23" s="3272">
        <v>678.34199999999998</v>
      </c>
      <c r="D23" s="3257">
        <v>202.51155996359299</v>
      </c>
      <c r="E23" s="3257">
        <v>4.9870012523213099</v>
      </c>
      <c r="F23" s="3131">
        <f t="shared" si="0"/>
        <v>66.755348187531752</v>
      </c>
      <c r="G23" s="3239">
        <v>45.282956400226666</v>
      </c>
      <c r="I23" s="72"/>
      <c r="J23" s="288"/>
      <c r="K23" s="288"/>
      <c r="L23" s="288"/>
      <c r="M23" s="288"/>
      <c r="N23" s="288"/>
      <c r="O23" s="288"/>
    </row>
    <row r="24" spans="2:15" ht="18" customHeight="1" x14ac:dyDescent="0.2">
      <c r="B24" s="287" t="s">
        <v>753</v>
      </c>
      <c r="C24" s="2635">
        <f>C25</f>
        <v>106056.51300000001</v>
      </c>
      <c r="D24" s="3258"/>
      <c r="E24" s="3258"/>
      <c r="F24" s="3131">
        <f t="shared" si="0"/>
        <v>6.8357797596650842</v>
      </c>
      <c r="G24" s="3128">
        <f>G25</f>
        <v>724.97896494605698</v>
      </c>
      <c r="I24" s="72"/>
    </row>
    <row r="25" spans="2:15" ht="18" customHeight="1" x14ac:dyDescent="0.2">
      <c r="B25" s="282" t="s">
        <v>754</v>
      </c>
      <c r="C25" s="2635">
        <f>C26</f>
        <v>106056.51300000001</v>
      </c>
      <c r="D25" s="3258"/>
      <c r="E25" s="3258"/>
      <c r="F25" s="3131">
        <f t="shared" si="0"/>
        <v>6.8357797596650842</v>
      </c>
      <c r="G25" s="3128">
        <f>G26</f>
        <v>724.97896494605698</v>
      </c>
    </row>
    <row r="26" spans="2:15" ht="18" customHeight="1" x14ac:dyDescent="0.2">
      <c r="B26" s="2634" t="s">
        <v>2201</v>
      </c>
      <c r="C26" s="289">
        <v>106056.51300000001</v>
      </c>
      <c r="D26" s="3259">
        <v>16.783309173202301</v>
      </c>
      <c r="E26" s="3259">
        <v>6.1618908998844102</v>
      </c>
      <c r="F26" s="3131">
        <f t="shared" si="0"/>
        <v>6.8357797596650842</v>
      </c>
      <c r="G26" s="3240">
        <v>724.97896494605698</v>
      </c>
    </row>
    <row r="27" spans="2:15" ht="18" customHeight="1" x14ac:dyDescent="0.2">
      <c r="B27" s="287" t="s">
        <v>755</v>
      </c>
      <c r="C27" s="2635">
        <f>C28</f>
        <v>2980.1849999999999</v>
      </c>
      <c r="D27" s="3258"/>
      <c r="E27" s="3258"/>
      <c r="F27" s="3131">
        <f t="shared" si="0"/>
        <v>1.5736381457245132</v>
      </c>
      <c r="G27" s="3128">
        <f>G28</f>
        <v>4.6897327973160081</v>
      </c>
    </row>
    <row r="28" spans="2:15" ht="18" customHeight="1" x14ac:dyDescent="0.2">
      <c r="B28" s="282" t="s">
        <v>756</v>
      </c>
      <c r="C28" s="2635">
        <f>C29</f>
        <v>2980.1849999999999</v>
      </c>
      <c r="D28" s="3258"/>
      <c r="E28" s="3258"/>
      <c r="F28" s="3131">
        <f t="shared" si="0"/>
        <v>1.5736381457245132</v>
      </c>
      <c r="G28" s="3128">
        <f>G29</f>
        <v>4.6897327973160081</v>
      </c>
    </row>
    <row r="29" spans="2:15" ht="18" customHeight="1" x14ac:dyDescent="0.2">
      <c r="B29" s="2634" t="s">
        <v>817</v>
      </c>
      <c r="C29" s="289">
        <v>2980.1849999999999</v>
      </c>
      <c r="D29" s="3259">
        <v>34.010295704788</v>
      </c>
      <c r="E29" s="3259">
        <v>0.7</v>
      </c>
      <c r="F29" s="3131">
        <f t="shared" si="0"/>
        <v>1.5736381457245132</v>
      </c>
      <c r="G29" s="3240">
        <v>4.6897327973160081</v>
      </c>
    </row>
    <row r="30" spans="2:15" ht="18" customHeight="1" x14ac:dyDescent="0.2">
      <c r="B30" s="287" t="s">
        <v>757</v>
      </c>
      <c r="C30" s="2635">
        <f>SUM(C32:C39)</f>
        <v>60724.864000000001</v>
      </c>
      <c r="D30" s="3258"/>
      <c r="E30" s="3258"/>
      <c r="F30" s="3131">
        <f t="shared" si="0"/>
        <v>0.15396062659784124</v>
      </c>
      <c r="G30" s="3128">
        <f>SUM(G32:G39)</f>
        <v>9.3492381115086918</v>
      </c>
    </row>
    <row r="31" spans="2:15" ht="18" customHeight="1" x14ac:dyDescent="0.2">
      <c r="B31" s="1305" t="s">
        <v>345</v>
      </c>
      <c r="C31" s="3273"/>
      <c r="D31" s="3261"/>
      <c r="E31" s="3261"/>
      <c r="F31" s="3261"/>
      <c r="G31" s="3262"/>
    </row>
    <row r="32" spans="2:15" ht="18" customHeight="1" x14ac:dyDescent="0.2">
      <c r="B32" s="286" t="s">
        <v>758</v>
      </c>
      <c r="C32" s="3267">
        <v>13.609</v>
      </c>
      <c r="D32" s="3263" t="s">
        <v>2147</v>
      </c>
      <c r="E32" s="3263" t="s">
        <v>2147</v>
      </c>
      <c r="F32" s="3131">
        <f t="shared" ref="F32:F40" si="1">IF(SUM(C32)=0,"NA",G32*1000/C32)</f>
        <v>75.999999999999986</v>
      </c>
      <c r="G32" s="3239">
        <v>1.034284</v>
      </c>
    </row>
    <row r="33" spans="2:7" ht="18" customHeight="1" x14ac:dyDescent="0.2">
      <c r="B33" s="286" t="s">
        <v>759</v>
      </c>
      <c r="C33" s="3267">
        <v>2.577</v>
      </c>
      <c r="D33" s="3263" t="s">
        <v>2147</v>
      </c>
      <c r="E33" s="3263" t="s">
        <v>2147</v>
      </c>
      <c r="F33" s="3131">
        <f t="shared" si="1"/>
        <v>45.999650211165402</v>
      </c>
      <c r="G33" s="3239">
        <v>0.11854109859417325</v>
      </c>
    </row>
    <row r="34" spans="2:7" ht="18" customHeight="1" x14ac:dyDescent="0.2">
      <c r="B34" s="286" t="s">
        <v>760</v>
      </c>
      <c r="C34" s="3267">
        <v>101.226</v>
      </c>
      <c r="D34" s="3263" t="s">
        <v>2147</v>
      </c>
      <c r="E34" s="3263" t="s">
        <v>2147</v>
      </c>
      <c r="F34" s="3131">
        <f t="shared" si="1"/>
        <v>20.000059273309226</v>
      </c>
      <c r="G34" s="3239">
        <v>2.0245259999999998</v>
      </c>
    </row>
    <row r="35" spans="2:7" ht="18" customHeight="1" x14ac:dyDescent="0.2">
      <c r="B35" s="286" t="s">
        <v>761</v>
      </c>
      <c r="C35" s="3267">
        <v>386.697</v>
      </c>
      <c r="D35" s="3263" t="s">
        <v>2147</v>
      </c>
      <c r="E35" s="3263" t="s">
        <v>2147</v>
      </c>
      <c r="F35" s="3131">
        <f t="shared" si="1"/>
        <v>5.0000014704751443</v>
      </c>
      <c r="G35" s="3239">
        <v>1.9334855686283268</v>
      </c>
    </row>
    <row r="36" spans="2:7" ht="18" customHeight="1" x14ac:dyDescent="0.2">
      <c r="B36" s="286" t="s">
        <v>762</v>
      </c>
      <c r="C36" s="3267">
        <v>204.26499999999999</v>
      </c>
      <c r="D36" s="3263" t="s">
        <v>2147</v>
      </c>
      <c r="E36" s="3263" t="s">
        <v>2147</v>
      </c>
      <c r="F36" s="3131">
        <f t="shared" si="1"/>
        <v>18.000035248329372</v>
      </c>
      <c r="G36" s="3239">
        <v>3.6767771999999992</v>
      </c>
    </row>
    <row r="37" spans="2:7" ht="18" customHeight="1" x14ac:dyDescent="0.2">
      <c r="B37" s="286" t="s">
        <v>763</v>
      </c>
      <c r="C37" s="3267">
        <v>0.81200000000000006</v>
      </c>
      <c r="D37" s="3263" t="s">
        <v>2147</v>
      </c>
      <c r="E37" s="3263" t="s">
        <v>2147</v>
      </c>
      <c r="F37" s="3131">
        <f t="shared" si="1"/>
        <v>9.9949434190238389</v>
      </c>
      <c r="G37" s="3239">
        <v>8.1158940562473577E-3</v>
      </c>
    </row>
    <row r="38" spans="2:7" ht="18" customHeight="1" x14ac:dyDescent="0.2">
      <c r="B38" s="286" t="s">
        <v>764</v>
      </c>
      <c r="C38" s="3274">
        <v>59919.633000000002</v>
      </c>
      <c r="D38" s="3263" t="s">
        <v>2147</v>
      </c>
      <c r="E38" s="3263" t="s">
        <v>2147</v>
      </c>
      <c r="F38" s="3131" t="s">
        <v>2147</v>
      </c>
      <c r="G38" s="3264" t="s">
        <v>2154</v>
      </c>
    </row>
    <row r="39" spans="2:7" ht="18" customHeight="1" x14ac:dyDescent="0.2">
      <c r="B39" s="286" t="s">
        <v>765</v>
      </c>
      <c r="C39" s="2635">
        <f>SUM(C40:C44)</f>
        <v>96.045000000000002</v>
      </c>
      <c r="D39" s="3258"/>
      <c r="E39" s="3258"/>
      <c r="F39" s="3131">
        <f t="shared" si="1"/>
        <v>5.7630105703570651</v>
      </c>
      <c r="G39" s="3128">
        <f>SUM(G40:G44)</f>
        <v>0.55350835022994427</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71.617000000000004</v>
      </c>
      <c r="D42" s="2967" t="s">
        <v>2147</v>
      </c>
      <c r="E42" s="2967" t="s">
        <v>2147</v>
      </c>
      <c r="F42" s="3131">
        <f t="shared" si="2"/>
        <v>5.0000139631651708</v>
      </c>
      <c r="G42" s="3201">
        <v>0.35808600000000007</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24.428000000000001</v>
      </c>
      <c r="D44" s="3258"/>
      <c r="E44" s="3258"/>
      <c r="F44" s="3131">
        <f>IF(SUM(C44)=0,"NA",G44*1000/C44)</f>
        <v>7.9999324639734803</v>
      </c>
      <c r="G44" s="3128">
        <f>G45</f>
        <v>0.1954223502299442</v>
      </c>
    </row>
    <row r="45" spans="2:7" ht="18" customHeight="1" thickBot="1" x14ac:dyDescent="0.25">
      <c r="B45" s="2636" t="s">
        <v>2199</v>
      </c>
      <c r="C45" s="3276">
        <v>24.428000000000001</v>
      </c>
      <c r="D45" s="3137" t="s">
        <v>2147</v>
      </c>
      <c r="E45" s="3137" t="s">
        <v>2147</v>
      </c>
      <c r="F45" s="3265">
        <f>IF(SUM(C45)=0,"NA",G45*1000/C45)</f>
        <v>7.9999324639734803</v>
      </c>
      <c r="G45" s="3203">
        <v>0.1954223502299442</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27993.828999999998</v>
      </c>
      <c r="D10" s="2942"/>
      <c r="E10" s="2942"/>
      <c r="F10" s="2942"/>
      <c r="G10" s="2942"/>
      <c r="H10" s="2942"/>
      <c r="I10" s="3279"/>
      <c r="J10" s="3280">
        <f>IF(SUM(C10)=0,"NA",K10*1000/C10)</f>
        <v>5.3175947079257897</v>
      </c>
      <c r="K10" s="3281">
        <f>K15</f>
        <v>148.85983694497949</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27993.828999999998</v>
      </c>
      <c r="D15" s="3293"/>
      <c r="E15" s="3293"/>
      <c r="F15" s="3293"/>
      <c r="G15" s="3293"/>
      <c r="H15" s="3293"/>
      <c r="I15" s="3288"/>
      <c r="J15" s="3287">
        <f>IF(SUM(C15)=0,"NA",K15*1000/C15)</f>
        <v>5.3175947079257897</v>
      </c>
      <c r="K15" s="3281">
        <f>SUM(K17:K20)</f>
        <v>148.85983694497949</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27993.828999999998</v>
      </c>
      <c r="D20" s="3293"/>
      <c r="E20" s="3293"/>
      <c r="F20" s="3293"/>
      <c r="G20" s="3293"/>
      <c r="H20" s="3293"/>
      <c r="I20" s="3288"/>
      <c r="J20" s="3301">
        <f>IF(SUM(C20)=0,"NA",K20*1000/C20)</f>
        <v>5.3175947079257897</v>
      </c>
      <c r="K20" s="3281">
        <f>SUM(K21:K23)</f>
        <v>148.85983694497949</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3135.335</v>
      </c>
      <c r="D21" s="3325">
        <v>5.9943048020947902</v>
      </c>
      <c r="E21" s="3325">
        <v>93.932898696002596</v>
      </c>
      <c r="F21" s="3325">
        <v>7.2796501902620006E-2</v>
      </c>
      <c r="G21" s="3298">
        <f>Table3.A!K10</f>
        <v>462.17628336995199</v>
      </c>
      <c r="H21" s="3299">
        <v>3.38714685942095</v>
      </c>
      <c r="I21" s="3300">
        <v>0.24</v>
      </c>
      <c r="J21" s="3301">
        <f>IF(SUM(C21)=0,"NA",K21*1000/C21)</f>
        <v>10.939173064603072</v>
      </c>
      <c r="K21" s="3277">
        <v>34.297972180507273</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24180.151999999998</v>
      </c>
      <c r="D22" s="3325" t="s">
        <v>2146</v>
      </c>
      <c r="E22" s="3325">
        <v>84.578454884334903</v>
      </c>
      <c r="F22" s="3325">
        <v>15.421545115665101</v>
      </c>
      <c r="G22" s="3298">
        <f>Table3.A!L10</f>
        <v>362.10343881154603</v>
      </c>
      <c r="H22" s="3299" t="s">
        <v>2147</v>
      </c>
      <c r="I22" s="3300" t="s">
        <v>2147</v>
      </c>
      <c r="J22" s="3301">
        <f t="shared" ref="J22:J45" si="0">IF(SUM(C22)=0,"NA",K22*1000/C22)</f>
        <v>4.6391799917998817</v>
      </c>
      <c r="K22" s="3277">
        <v>112.17607735707988</v>
      </c>
      <c r="M22" s="1594" t="s">
        <v>800</v>
      </c>
      <c r="N22" s="4486" t="s">
        <v>2196</v>
      </c>
      <c r="O22" s="1690" t="s">
        <v>802</v>
      </c>
      <c r="P22" s="1691" t="s">
        <v>791</v>
      </c>
      <c r="Q22" s="3774">
        <v>4.3732360933024896</v>
      </c>
      <c r="R22" s="300" t="s">
        <v>2146</v>
      </c>
      <c r="S22" s="3772">
        <v>5.2884943465488696</v>
      </c>
      <c r="T22" s="3772">
        <v>0.72247844044309284</v>
      </c>
      <c r="U22" s="3772" t="s">
        <v>2146</v>
      </c>
      <c r="V22" s="3772" t="s">
        <v>2153</v>
      </c>
      <c r="W22" s="3772" t="s">
        <v>2146</v>
      </c>
      <c r="X22" s="3772">
        <v>89.615791119705605</v>
      </c>
      <c r="Y22" s="301" t="s">
        <v>2146</v>
      </c>
      <c r="Z22" s="301" t="s">
        <v>2146</v>
      </c>
      <c r="AA22" s="301" t="s">
        <v>2146</v>
      </c>
      <c r="AB22" s="1306" t="s">
        <v>2146</v>
      </c>
    </row>
    <row r="23" spans="2:28" s="84" customFormat="1" ht="18" customHeight="1" x14ac:dyDescent="0.2">
      <c r="B23" s="2642" t="s">
        <v>2198</v>
      </c>
      <c r="C23" s="3325">
        <f>Table3.A!C23</f>
        <v>678.34199999999998</v>
      </c>
      <c r="D23" s="3325" t="s">
        <v>2146</v>
      </c>
      <c r="E23" s="3325">
        <v>100</v>
      </c>
      <c r="F23" s="3325" t="s">
        <v>2146</v>
      </c>
      <c r="G23" s="3298">
        <f>Table3.A!M10</f>
        <v>524.43046762699998</v>
      </c>
      <c r="H23" s="3299">
        <v>1.7160343824028601</v>
      </c>
      <c r="I23" s="3300">
        <v>0.19</v>
      </c>
      <c r="J23" s="3301">
        <f t="shared" si="0"/>
        <v>3.5170863773617973</v>
      </c>
      <c r="K23" s="3277">
        <v>2.3857874073923564</v>
      </c>
      <c r="M23" s="1664" t="s">
        <v>813</v>
      </c>
      <c r="N23" s="4487"/>
      <c r="O23" s="1692" t="s">
        <v>794</v>
      </c>
      <c r="P23" s="1693" t="s">
        <v>792</v>
      </c>
      <c r="Q23" s="3776">
        <v>5.7367537876293602</v>
      </c>
      <c r="R23" s="277" t="s">
        <v>2146</v>
      </c>
      <c r="S23" s="691">
        <v>4.0347762661388398</v>
      </c>
      <c r="T23" s="3147">
        <v>1.1349653720471862</v>
      </c>
      <c r="U23" s="3147" t="s">
        <v>2146</v>
      </c>
      <c r="V23" s="3147" t="s">
        <v>2153</v>
      </c>
      <c r="W23" s="3147" t="s">
        <v>2146</v>
      </c>
      <c r="X23" s="3147">
        <v>89.093504574184607</v>
      </c>
      <c r="Y23" s="278" t="s">
        <v>2146</v>
      </c>
      <c r="Z23" s="278" t="s">
        <v>2146</v>
      </c>
      <c r="AA23" s="278" t="s">
        <v>2146</v>
      </c>
      <c r="AB23" s="279" t="s">
        <v>2146</v>
      </c>
    </row>
    <row r="24" spans="2:28" s="84" customFormat="1" ht="18" customHeight="1" thickBot="1" x14ac:dyDescent="0.25">
      <c r="B24" s="1643" t="s">
        <v>811</v>
      </c>
      <c r="C24" s="4184">
        <f>C25</f>
        <v>106056.51300000001</v>
      </c>
      <c r="D24" s="3303"/>
      <c r="E24" s="3303"/>
      <c r="F24" s="3303"/>
      <c r="G24" s="3303"/>
      <c r="H24" s="3303"/>
      <c r="I24" s="3304"/>
      <c r="J24" s="3301">
        <f t="shared" si="0"/>
        <v>0.34939973493675464</v>
      </c>
      <c r="K24" s="3281">
        <f>K25</f>
        <v>37.056117530516474</v>
      </c>
      <c r="M24" s="1656"/>
      <c r="N24" s="4487"/>
      <c r="O24" s="1694"/>
      <c r="P24" s="1693" t="s">
        <v>793</v>
      </c>
      <c r="Q24" s="4208">
        <v>3.93074807709068</v>
      </c>
      <c r="R24" s="304" t="s">
        <v>2146</v>
      </c>
      <c r="S24" s="1559">
        <v>6.78445277006049</v>
      </c>
      <c r="T24" s="1560">
        <v>1.8963327959734873</v>
      </c>
      <c r="U24" s="1560" t="s">
        <v>2146</v>
      </c>
      <c r="V24" s="1560" t="s">
        <v>2153</v>
      </c>
      <c r="W24" s="1560" t="s">
        <v>2146</v>
      </c>
      <c r="X24" s="1560">
        <v>87.388466356875398</v>
      </c>
      <c r="Y24" s="305" t="s">
        <v>2146</v>
      </c>
      <c r="Z24" s="305" t="s">
        <v>2146</v>
      </c>
      <c r="AA24" s="305" t="s">
        <v>2146</v>
      </c>
      <c r="AB24" s="442" t="s">
        <v>2146</v>
      </c>
    </row>
    <row r="25" spans="2:28" s="84" customFormat="1" ht="18" customHeight="1" x14ac:dyDescent="0.2">
      <c r="B25" s="1644" t="s">
        <v>812</v>
      </c>
      <c r="C25" s="4184">
        <f>C26</f>
        <v>106056.51300000001</v>
      </c>
      <c r="D25" s="3250"/>
      <c r="E25" s="3250"/>
      <c r="F25" s="3250"/>
      <c r="G25" s="3250"/>
      <c r="H25" s="3250"/>
      <c r="I25" s="3260"/>
      <c r="J25" s="3301">
        <f t="shared" si="0"/>
        <v>0.34939973493675464</v>
      </c>
      <c r="K25" s="3281">
        <f>K26</f>
        <v>37.056117530516474</v>
      </c>
      <c r="M25" s="1656"/>
      <c r="N25" s="4487"/>
      <c r="O25" s="1695" t="s">
        <v>2026</v>
      </c>
      <c r="P25" s="1691" t="s">
        <v>791</v>
      </c>
      <c r="Q25" s="4209">
        <v>0.70010162210404003</v>
      </c>
      <c r="R25" s="1308" t="s">
        <v>2146</v>
      </c>
      <c r="S25" s="692">
        <v>2.875165879269E-2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106056.51300000001</v>
      </c>
      <c r="D26" s="3325" t="s">
        <v>2146</v>
      </c>
      <c r="E26" s="3325">
        <v>100</v>
      </c>
      <c r="F26" s="3325" t="s">
        <v>2146</v>
      </c>
      <c r="G26" s="3305">
        <f>Table3.A!N10</f>
        <v>45.054479184906597</v>
      </c>
      <c r="H26" s="3033" t="s">
        <v>2147</v>
      </c>
      <c r="I26" s="3126" t="s">
        <v>2147</v>
      </c>
      <c r="J26" s="3301">
        <f t="shared" si="0"/>
        <v>0.34939973493675464</v>
      </c>
      <c r="K26" s="3277">
        <v>37.056117530516474</v>
      </c>
      <c r="M26" s="1656"/>
      <c r="N26" s="4487"/>
      <c r="O26" s="1696"/>
      <c r="P26" s="1693" t="s">
        <v>792</v>
      </c>
      <c r="Q26" s="3776">
        <v>0.74453030967933997</v>
      </c>
      <c r="R26" s="277" t="s">
        <v>2146</v>
      </c>
      <c r="S26" s="691">
        <v>7.4648779160150003E-2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2980.1849999999999</v>
      </c>
      <c r="D27" s="3250"/>
      <c r="E27" s="3250"/>
      <c r="F27" s="3250"/>
      <c r="G27" s="3250"/>
      <c r="H27" s="3250"/>
      <c r="I27" s="3260"/>
      <c r="J27" s="3301">
        <f t="shared" si="0"/>
        <v>20.360671991699832</v>
      </c>
      <c r="K27" s="3281">
        <f>K28</f>
        <v>60.678569259583966</v>
      </c>
      <c r="M27" s="1656"/>
      <c r="N27" s="4488"/>
      <c r="O27" s="1697"/>
      <c r="P27" s="1693" t="s">
        <v>793</v>
      </c>
      <c r="Q27" s="4208">
        <v>0.8</v>
      </c>
      <c r="R27" s="304" t="s">
        <v>2146</v>
      </c>
      <c r="S27" s="1559">
        <v>0.25865671641790999</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2980.1849999999999</v>
      </c>
      <c r="D28" s="3250"/>
      <c r="E28" s="3250"/>
      <c r="F28" s="3250"/>
      <c r="G28" s="3250"/>
      <c r="H28" s="3250"/>
      <c r="I28" s="3260"/>
      <c r="J28" s="3301">
        <f t="shared" si="0"/>
        <v>20.360671991699832</v>
      </c>
      <c r="K28" s="3281">
        <f>K29</f>
        <v>60.678569259583966</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2980.1849999999999</v>
      </c>
      <c r="D29" s="3325">
        <v>0.60475333537363996</v>
      </c>
      <c r="E29" s="3325">
        <v>99.395246664626356</v>
      </c>
      <c r="F29" s="3325" t="s">
        <v>2146</v>
      </c>
      <c r="G29" s="3305">
        <f>Table3.A!O10</f>
        <v>53.695839848495297</v>
      </c>
      <c r="H29" s="3033">
        <v>0.35215755721547998</v>
      </c>
      <c r="I29" s="3126">
        <v>0.45</v>
      </c>
      <c r="J29" s="3301">
        <f t="shared" si="0"/>
        <v>20.360671991699832</v>
      </c>
      <c r="K29" s="3277">
        <v>60.678569259583966</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60724.864000000001</v>
      </c>
      <c r="D30" s="3250"/>
      <c r="E30" s="3250"/>
      <c r="F30" s="3250"/>
      <c r="G30" s="3250"/>
      <c r="H30" s="3250"/>
      <c r="I30" s="3260"/>
      <c r="J30" s="3301">
        <f t="shared" si="0"/>
        <v>5.466162686700788E-2</v>
      </c>
      <c r="K30" s="3281">
        <f>SUM(K32:K39)</f>
        <v>3.3193198575178</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13.609</v>
      </c>
      <c r="D32" s="3325" t="s">
        <v>2146</v>
      </c>
      <c r="E32" s="3325" t="s">
        <v>2146</v>
      </c>
      <c r="F32" s="3325">
        <v>100</v>
      </c>
      <c r="G32" s="3307" t="s">
        <v>2147</v>
      </c>
      <c r="H32" s="3307" t="s">
        <v>2147</v>
      </c>
      <c r="I32" s="3307" t="s">
        <v>2147</v>
      </c>
      <c r="J32" s="3301">
        <f t="shared" si="0"/>
        <v>11.569996682399509</v>
      </c>
      <c r="K32" s="3277">
        <v>0.15745608485077492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2.577</v>
      </c>
      <c r="D33" s="3325" t="s">
        <v>2146</v>
      </c>
      <c r="E33" s="3325">
        <v>39.890889450975301</v>
      </c>
      <c r="F33" s="3325">
        <v>60.109110549024699</v>
      </c>
      <c r="G33" s="3307" t="s">
        <v>2147</v>
      </c>
      <c r="H33" s="3307" t="s">
        <v>2147</v>
      </c>
      <c r="I33" s="3307" t="s">
        <v>2147</v>
      </c>
      <c r="J33" s="3287">
        <f t="shared" si="0"/>
        <v>8.1511387101405344</v>
      </c>
      <c r="K33" s="3277">
        <v>2.1005484456032158E-2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101.226</v>
      </c>
      <c r="D34" s="3325" t="s">
        <v>2146</v>
      </c>
      <c r="E34" s="3325">
        <v>100</v>
      </c>
      <c r="F34" s="3325" t="e">
        <v>#VALUE!</v>
      </c>
      <c r="G34" s="3307" t="s">
        <v>2147</v>
      </c>
      <c r="H34" s="3307" t="s">
        <v>2147</v>
      </c>
      <c r="I34" s="3307" t="s">
        <v>2147</v>
      </c>
      <c r="J34" s="3287">
        <f t="shared" si="0"/>
        <v>0.99987921980238892</v>
      </c>
      <c r="K34" s="3277">
        <v>0.10121377390371661</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386.697</v>
      </c>
      <c r="D35" s="3325" t="s">
        <v>2146</v>
      </c>
      <c r="E35" s="3325">
        <v>99.940521924825333</v>
      </c>
      <c r="F35" s="3325">
        <v>5.947807517466E-2</v>
      </c>
      <c r="G35" s="3307" t="s">
        <v>2147</v>
      </c>
      <c r="H35" s="3307" t="s">
        <v>2147</v>
      </c>
      <c r="I35" s="3307" t="s">
        <v>2147</v>
      </c>
      <c r="J35" s="3287">
        <f t="shared" si="0"/>
        <v>0.35792987911012075</v>
      </c>
      <c r="K35" s="3277">
        <v>0.13841041046224636</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7.5</v>
      </c>
      <c r="Z35" s="278" t="s">
        <v>2146</v>
      </c>
      <c r="AA35" s="278" t="s">
        <v>2146</v>
      </c>
      <c r="AB35" s="279" t="s">
        <v>2146</v>
      </c>
    </row>
    <row r="36" spans="2:28" s="84" customFormat="1" ht="18" customHeight="1" thickBot="1" x14ac:dyDescent="0.25">
      <c r="B36" s="1644" t="s">
        <v>822</v>
      </c>
      <c r="C36" s="3307">
        <f>Table3.A!C36</f>
        <v>204.26499999999999</v>
      </c>
      <c r="D36" s="3325" t="s">
        <v>2146</v>
      </c>
      <c r="E36" s="3325">
        <v>96.289141479663215</v>
      </c>
      <c r="F36" s="3325">
        <v>3.7108585203367799</v>
      </c>
      <c r="G36" s="3307" t="s">
        <v>2147</v>
      </c>
      <c r="H36" s="3307" t="s">
        <v>2147</v>
      </c>
      <c r="I36" s="3307" t="s">
        <v>2147</v>
      </c>
      <c r="J36" s="3287">
        <f t="shared" si="0"/>
        <v>3.3176694942127338</v>
      </c>
      <c r="K36" s="3277">
        <v>0.67768375923536406</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0.81200000000000006</v>
      </c>
      <c r="D37" s="3325" t="s">
        <v>2146</v>
      </c>
      <c r="E37" s="3325">
        <v>98.488628739206376</v>
      </c>
      <c r="F37" s="3325">
        <v>1.51137126079363</v>
      </c>
      <c r="G37" s="3307" t="s">
        <v>2147</v>
      </c>
      <c r="H37" s="3307" t="s">
        <v>2147</v>
      </c>
      <c r="I37" s="3307" t="s">
        <v>2147</v>
      </c>
      <c r="J37" s="3287">
        <f t="shared" si="0"/>
        <v>1.0425255208603008</v>
      </c>
      <c r="K37" s="3277">
        <v>8.4653072293856422E-4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59919.633000000002</v>
      </c>
      <c r="D38" s="3325">
        <v>1.13169681827286</v>
      </c>
      <c r="E38" s="3325">
        <v>98.868303181727143</v>
      </c>
      <c r="F38" s="3325" t="s">
        <v>2146</v>
      </c>
      <c r="G38" s="3307" t="s">
        <v>2147</v>
      </c>
      <c r="H38" s="3307" t="s">
        <v>2147</v>
      </c>
      <c r="I38" s="3307" t="s">
        <v>2147</v>
      </c>
      <c r="J38" s="3287">
        <f t="shared" si="0"/>
        <v>3.652199892241953E-2</v>
      </c>
      <c r="K38" s="3277">
        <v>2.1883847718577734</v>
      </c>
      <c r="M38" s="1656"/>
      <c r="N38" s="4487"/>
      <c r="O38" s="1696"/>
      <c r="P38" s="1693" t="s">
        <v>792</v>
      </c>
      <c r="Q38" s="3776">
        <v>0.76213427893667995</v>
      </c>
      <c r="R38" s="277" t="s">
        <v>2146</v>
      </c>
      <c r="S38" s="277" t="s">
        <v>2146</v>
      </c>
      <c r="T38" s="3147" t="s">
        <v>2153</v>
      </c>
      <c r="U38" s="3147" t="s">
        <v>2146</v>
      </c>
      <c r="V38" s="3147">
        <v>2.1098622668253634E-2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96.045000000000002</v>
      </c>
      <c r="D39" s="3294"/>
      <c r="E39" s="3294"/>
      <c r="F39" s="3294"/>
      <c r="G39" s="3294"/>
      <c r="H39" s="3294"/>
      <c r="I39" s="3295"/>
      <c r="J39" s="3287">
        <f t="shared" si="0"/>
        <v>0.35732252620078347</v>
      </c>
      <c r="K39" s="3281">
        <f>SUM(K40:K44)</f>
        <v>3.431904202895425E-2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57.7</v>
      </c>
      <c r="R40" s="300" t="s">
        <v>2146</v>
      </c>
      <c r="S40" s="300" t="s">
        <v>2146</v>
      </c>
      <c r="T40" s="3773" t="s">
        <v>2153</v>
      </c>
      <c r="U40" s="3773" t="s">
        <v>2153</v>
      </c>
      <c r="V40" s="3773">
        <v>38.299999999999997</v>
      </c>
      <c r="W40" s="3773" t="s">
        <v>2153</v>
      </c>
      <c r="X40" s="301" t="s">
        <v>2146</v>
      </c>
      <c r="Y40" s="301" t="s">
        <v>2146</v>
      </c>
      <c r="Z40" s="3773" t="s">
        <v>2146</v>
      </c>
      <c r="AA40" s="301" t="s">
        <v>2146</v>
      </c>
      <c r="AB40" s="3775">
        <v>34.4</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66.223789635585803</v>
      </c>
      <c r="R41" s="277" t="s">
        <v>2146</v>
      </c>
      <c r="S41" s="277" t="s">
        <v>2146</v>
      </c>
      <c r="T41" s="3147" t="s">
        <v>2153</v>
      </c>
      <c r="U41" s="3147" t="s">
        <v>2153</v>
      </c>
      <c r="V41" s="3147">
        <v>30.448154762391283</v>
      </c>
      <c r="W41" s="3147" t="s">
        <v>2153</v>
      </c>
      <c r="X41" s="278" t="s">
        <v>2146</v>
      </c>
      <c r="Y41" s="278" t="s">
        <v>2146</v>
      </c>
      <c r="Z41" s="3147">
        <v>0.34349587081583999</v>
      </c>
      <c r="AA41" s="278" t="s">
        <v>2146</v>
      </c>
      <c r="AB41" s="2911">
        <v>25.779707789787</v>
      </c>
    </row>
    <row r="42" spans="2:28" s="84" customFormat="1" ht="18" customHeight="1" thickBot="1" x14ac:dyDescent="0.25">
      <c r="B42" s="350" t="s">
        <v>828</v>
      </c>
      <c r="C42" s="3307">
        <f>Table3.A!C42</f>
        <v>71.617000000000004</v>
      </c>
      <c r="D42" s="3325" t="s">
        <v>2146</v>
      </c>
      <c r="E42" s="3325">
        <v>100</v>
      </c>
      <c r="F42" s="3325" t="s">
        <v>2146</v>
      </c>
      <c r="G42" s="3307" t="s">
        <v>2147</v>
      </c>
      <c r="H42" s="3307" t="s">
        <v>2147</v>
      </c>
      <c r="I42" s="3307" t="s">
        <v>2147</v>
      </c>
      <c r="J42" s="3287">
        <f t="shared" si="0"/>
        <v>0.3573235472168913</v>
      </c>
      <c r="K42" s="3277">
        <v>2.5590440481032109E-2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1.8433420365535247</v>
      </c>
      <c r="W43" s="3773" t="s">
        <v>2153</v>
      </c>
      <c r="X43" s="301" t="s">
        <v>2146</v>
      </c>
      <c r="Y43" s="301" t="s">
        <v>2146</v>
      </c>
      <c r="Z43" s="3773" t="s">
        <v>2146</v>
      </c>
      <c r="AA43" s="301" t="s">
        <v>2146</v>
      </c>
      <c r="AB43" s="3775">
        <v>3.9302325581399997E-2</v>
      </c>
    </row>
    <row r="44" spans="2:28" s="84" customFormat="1" ht="18" customHeight="1" x14ac:dyDescent="0.2">
      <c r="B44" s="2644" t="s">
        <v>2091</v>
      </c>
      <c r="C44" s="4184">
        <f>C45</f>
        <v>24.428000000000001</v>
      </c>
      <c r="D44" s="3294"/>
      <c r="E44" s="3294"/>
      <c r="F44" s="3294"/>
      <c r="G44" s="3294"/>
      <c r="H44" s="3294"/>
      <c r="I44" s="3295"/>
      <c r="J44" s="3287">
        <f t="shared" si="0"/>
        <v>0.35731953282799006</v>
      </c>
      <c r="K44" s="3281">
        <f>K45</f>
        <v>8.7286015479221407E-3</v>
      </c>
      <c r="M44" s="4491"/>
      <c r="N44" s="4492"/>
      <c r="O44" s="1696"/>
      <c r="P44" s="1693" t="s">
        <v>792</v>
      </c>
      <c r="Q44" s="3776">
        <v>0.75458152358741004</v>
      </c>
      <c r="R44" s="277" t="s">
        <v>2146</v>
      </c>
      <c r="S44" s="277" t="s">
        <v>2146</v>
      </c>
      <c r="T44" s="3147" t="s">
        <v>2153</v>
      </c>
      <c r="U44" s="3147" t="s">
        <v>2153</v>
      </c>
      <c r="V44" s="3147">
        <v>1.8949310993062511</v>
      </c>
      <c r="W44" s="3147" t="s">
        <v>2153</v>
      </c>
      <c r="X44" s="278" t="s">
        <v>2146</v>
      </c>
      <c r="Y44" s="278" t="s">
        <v>2146</v>
      </c>
      <c r="Z44" s="3147">
        <v>0.1</v>
      </c>
      <c r="AA44" s="278" t="s">
        <v>2146</v>
      </c>
      <c r="AB44" s="2911">
        <v>3.9486301733299999E-2</v>
      </c>
    </row>
    <row r="45" spans="2:28" s="84" customFormat="1" ht="18" customHeight="1" thickBot="1" x14ac:dyDescent="0.25">
      <c r="B45" s="2648" t="s">
        <v>2199</v>
      </c>
      <c r="C45" s="4186">
        <f>Table3.A!C45</f>
        <v>24.428000000000001</v>
      </c>
      <c r="D45" s="3040" t="s">
        <v>2146</v>
      </c>
      <c r="E45" s="3040">
        <v>100</v>
      </c>
      <c r="F45" s="3040" t="s">
        <v>2146</v>
      </c>
      <c r="G45" s="3040" t="s">
        <v>2147</v>
      </c>
      <c r="H45" s="3040" t="s">
        <v>2147</v>
      </c>
      <c r="I45" s="3308" t="s">
        <v>2147</v>
      </c>
      <c r="J45" s="3309">
        <f t="shared" si="0"/>
        <v>0.35731953282799006</v>
      </c>
      <c r="K45" s="3278">
        <v>8.7286015479221407E-3</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52.32647203931392</v>
      </c>
      <c r="U46" s="3773" t="s">
        <v>2146</v>
      </c>
      <c r="V46" s="3773" t="s">
        <v>2146</v>
      </c>
      <c r="W46" s="3773" t="s">
        <v>2153</v>
      </c>
      <c r="X46" s="3773">
        <v>0.52812518636068995</v>
      </c>
      <c r="Y46" s="3773">
        <v>16.9726163818302</v>
      </c>
      <c r="Z46" s="3773">
        <v>0.58040708884087999</v>
      </c>
      <c r="AA46" s="301" t="s">
        <v>2146</v>
      </c>
      <c r="AB46" s="3775">
        <v>99.471874813639303</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44.805320769642144</v>
      </c>
      <c r="U47" s="3147" t="s">
        <v>2146</v>
      </c>
      <c r="V47" s="3147" t="s">
        <v>2146</v>
      </c>
      <c r="W47" s="3147" t="s">
        <v>2153</v>
      </c>
      <c r="X47" s="3147">
        <v>0.56609665594238001</v>
      </c>
      <c r="Y47" s="3147">
        <v>18.718639481870301</v>
      </c>
      <c r="Z47" s="3147">
        <v>0.27377797910132001</v>
      </c>
      <c r="AA47" s="278" t="s">
        <v>2146</v>
      </c>
      <c r="AB47" s="2911">
        <v>99.433903344057597</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1.3444241862470001E-2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27993.828999999998</v>
      </c>
      <c r="D10" s="3490"/>
      <c r="E10" s="3491"/>
      <c r="F10" s="3478">
        <f>F15</f>
        <v>23448562.312070463</v>
      </c>
      <c r="G10" s="3478" t="str">
        <f t="shared" ref="G10:R10" si="0">G15</f>
        <v>NO</v>
      </c>
      <c r="H10" s="3478">
        <f t="shared" si="0"/>
        <v>16154495.719569201</v>
      </c>
      <c r="I10" s="3478">
        <f t="shared" si="0"/>
        <v>4389238.3600987876</v>
      </c>
      <c r="J10" s="3478" t="str">
        <f t="shared" si="0"/>
        <v>NO</v>
      </c>
      <c r="K10" s="3478">
        <f t="shared" si="0"/>
        <v>64491124.475255668</v>
      </c>
      <c r="L10" s="3478">
        <f t="shared" si="0"/>
        <v>2824150.7413337501</v>
      </c>
      <c r="M10" s="3478">
        <f t="shared" si="0"/>
        <v>1216547287.689151</v>
      </c>
      <c r="N10" s="3478">
        <f t="shared" si="0"/>
        <v>2824150.7413337501</v>
      </c>
      <c r="O10" s="3478" t="str">
        <f t="shared" si="0"/>
        <v>NO</v>
      </c>
      <c r="P10" s="3478" t="str">
        <f t="shared" si="0"/>
        <v>NO</v>
      </c>
      <c r="Q10" s="3478" t="str">
        <f t="shared" si="0"/>
        <v>NO</v>
      </c>
      <c r="R10" s="3478">
        <f t="shared" si="0"/>
        <v>1330679010.0388126</v>
      </c>
      <c r="S10" s="2651"/>
      <c r="T10" s="2652"/>
      <c r="U10" s="3456">
        <f>IF(SUM(X10)=0,"NA",X10*1000/C10)</f>
        <v>2.2040823628722953E-2</v>
      </c>
      <c r="V10" s="3448"/>
      <c r="W10" s="3449"/>
      <c r="X10" s="3311">
        <f t="shared" ref="X10" si="1">X15</f>
        <v>0.61700704768162984</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27993.828999999998</v>
      </c>
      <c r="D15" s="3493"/>
      <c r="E15" s="3493"/>
      <c r="F15" s="2649">
        <f>F20</f>
        <v>23448562.312070463</v>
      </c>
      <c r="G15" s="2649" t="str">
        <f t="shared" ref="G15:R15" si="2">G20</f>
        <v>NO</v>
      </c>
      <c r="H15" s="2649">
        <f t="shared" si="2"/>
        <v>16154495.719569201</v>
      </c>
      <c r="I15" s="2649">
        <f t="shared" si="2"/>
        <v>4389238.3600987876</v>
      </c>
      <c r="J15" s="2649" t="str">
        <f t="shared" si="2"/>
        <v>NO</v>
      </c>
      <c r="K15" s="2649">
        <f t="shared" si="2"/>
        <v>64491124.475255668</v>
      </c>
      <c r="L15" s="2649">
        <f t="shared" si="2"/>
        <v>2824150.7413337501</v>
      </c>
      <c r="M15" s="2649">
        <f t="shared" si="2"/>
        <v>1216547287.689151</v>
      </c>
      <c r="N15" s="2649">
        <f t="shared" si="2"/>
        <v>2824150.7413337501</v>
      </c>
      <c r="O15" s="2649" t="str">
        <f t="shared" si="2"/>
        <v>NO</v>
      </c>
      <c r="P15" s="2649" t="str">
        <f t="shared" si="2"/>
        <v>NO</v>
      </c>
      <c r="Q15" s="2649" t="str">
        <f t="shared" si="2"/>
        <v>NO</v>
      </c>
      <c r="R15" s="2649">
        <f t="shared" si="2"/>
        <v>1330679010.0388126</v>
      </c>
      <c r="S15" s="2657"/>
      <c r="T15" s="2658"/>
      <c r="U15" s="3456">
        <f>IF(SUM(X15)=0,"NA",X15*1000/C15)</f>
        <v>2.2040823628722953E-2</v>
      </c>
      <c r="V15" s="3454"/>
      <c r="W15" s="3455"/>
      <c r="X15" s="3314">
        <f t="shared" ref="X15" si="3">X20</f>
        <v>0.61700704768162984</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27993.828999999998</v>
      </c>
      <c r="D20" s="3492"/>
      <c r="E20" s="3492"/>
      <c r="F20" s="2649">
        <f>IF(SUM(F21:F23)=0,"NO",SUM(F21:F23))</f>
        <v>23448562.312070463</v>
      </c>
      <c r="G20" s="2649" t="str">
        <f t="shared" ref="G20:Q20" si="6">IF(SUM(G21:G23)=0,"NO",SUM(G21:G23))</f>
        <v>NO</v>
      </c>
      <c r="H20" s="2649">
        <f t="shared" si="6"/>
        <v>16154495.719569201</v>
      </c>
      <c r="I20" s="2649">
        <f t="shared" si="6"/>
        <v>4389238.3600987876</v>
      </c>
      <c r="J20" s="2649" t="str">
        <f t="shared" si="6"/>
        <v>NO</v>
      </c>
      <c r="K20" s="2649">
        <f t="shared" si="6"/>
        <v>64491124.475255668</v>
      </c>
      <c r="L20" s="2649">
        <f t="shared" si="6"/>
        <v>2824150.7413337501</v>
      </c>
      <c r="M20" s="2649">
        <f t="shared" si="6"/>
        <v>1216547287.689151</v>
      </c>
      <c r="N20" s="2649">
        <f t="shared" si="6"/>
        <v>2824150.7413337501</v>
      </c>
      <c r="O20" s="2649" t="str">
        <f t="shared" si="6"/>
        <v>NO</v>
      </c>
      <c r="P20" s="2649" t="str">
        <f t="shared" si="6"/>
        <v>NO</v>
      </c>
      <c r="Q20" s="2649" t="str">
        <f t="shared" si="6"/>
        <v>NO</v>
      </c>
      <c r="R20" s="3482">
        <f>IF(SUM(F20:Q20)=0,"NO",SUM(F20:Q20))</f>
        <v>1330679010.0388126</v>
      </c>
      <c r="S20" s="2657"/>
      <c r="T20" s="2658"/>
      <c r="U20" s="3456">
        <f t="shared" si="4"/>
        <v>2.2040823628722953E-2</v>
      </c>
      <c r="V20" s="3454"/>
      <c r="W20" s="3455"/>
      <c r="X20" s="3314">
        <f t="shared" ref="X20" si="7">IF(SUM(X21:X23)=0,"NO",SUM(X21:X23))</f>
        <v>0.61700704768162984</v>
      </c>
      <c r="Y20" s="3173"/>
      <c r="Z20" s="3457"/>
    </row>
    <row r="21" spans="2:26" ht="18" customHeight="1" x14ac:dyDescent="0.2">
      <c r="B21" s="2647" t="s">
        <v>2196</v>
      </c>
      <c r="C21" s="3495">
        <f>Table3.A!C21</f>
        <v>3135.335</v>
      </c>
      <c r="D21" s="3307">
        <v>127.98510847518972</v>
      </c>
      <c r="E21" s="3494">
        <f>'Table3.B(a)'!G21</f>
        <v>462.17628336995199</v>
      </c>
      <c r="F21" s="3479">
        <v>22548673.6000151</v>
      </c>
      <c r="G21" s="3479" t="s">
        <v>2146</v>
      </c>
      <c r="H21" s="3479">
        <v>16154495.719569201</v>
      </c>
      <c r="I21" s="3479">
        <v>4389238.3600987876</v>
      </c>
      <c r="J21" s="3479" t="s">
        <v>2146</v>
      </c>
      <c r="K21" s="3479" t="s">
        <v>2153</v>
      </c>
      <c r="L21" s="3479" t="s">
        <v>2146</v>
      </c>
      <c r="M21" s="3479">
        <v>358183788.68668801</v>
      </c>
      <c r="N21" s="3479" t="s">
        <v>2146</v>
      </c>
      <c r="O21" s="3479" t="s">
        <v>2146</v>
      </c>
      <c r="P21" s="3479" t="s">
        <v>2146</v>
      </c>
      <c r="Q21" s="3479" t="s">
        <v>2146</v>
      </c>
      <c r="R21" s="3482">
        <f t="shared" ref="R21:R45" si="8">IF(SUM(F21:Q21)=0,"NO",SUM(F21:Q21))</f>
        <v>401276196.3663711</v>
      </c>
      <c r="S21" s="2657"/>
      <c r="T21" s="2658"/>
      <c r="U21" s="3456">
        <f t="shared" si="4"/>
        <v>1.0999422016896956E-2</v>
      </c>
      <c r="V21" s="3454"/>
      <c r="W21" s="3455"/>
      <c r="X21" s="3315">
        <v>3.448687282934762E-2</v>
      </c>
      <c r="Y21" s="3173"/>
      <c r="Z21" s="3457"/>
    </row>
    <row r="22" spans="2:26" ht="18" customHeight="1" x14ac:dyDescent="0.2">
      <c r="B22" s="2647" t="s">
        <v>2197</v>
      </c>
      <c r="C22" s="3495">
        <f>Table3.A!C22</f>
        <v>24180.151999999998</v>
      </c>
      <c r="D22" s="3307">
        <v>35.498681488779376</v>
      </c>
      <c r="E22" s="3494">
        <f>'Table3.B(a)'!G22</f>
        <v>362.10343881154603</v>
      </c>
      <c r="F22" s="3483" t="s">
        <v>2146</v>
      </c>
      <c r="G22" s="3479" t="s">
        <v>2146</v>
      </c>
      <c r="H22" s="3483" t="s">
        <v>2146</v>
      </c>
      <c r="I22" s="3483" t="s">
        <v>2146</v>
      </c>
      <c r="J22" s="3483" t="s">
        <v>2146</v>
      </c>
      <c r="K22" s="3483" t="s">
        <v>2146</v>
      </c>
      <c r="L22" s="3483" t="s">
        <v>2146</v>
      </c>
      <c r="M22" s="3483">
        <v>858363499.00246298</v>
      </c>
      <c r="N22" s="3483" t="s">
        <v>2146</v>
      </c>
      <c r="O22" s="3483" t="s">
        <v>2146</v>
      </c>
      <c r="P22" s="3483" t="s">
        <v>2146</v>
      </c>
      <c r="Q22" s="3483" t="s">
        <v>2146</v>
      </c>
      <c r="R22" s="3482">
        <f t="shared" si="8"/>
        <v>858363499.00246298</v>
      </c>
      <c r="S22" s="2657"/>
      <c r="T22" s="2658"/>
      <c r="U22" s="3456" t="str">
        <f>IF(SUM(X22)=0,"NA",X22*1000/C22)</f>
        <v>NA</v>
      </c>
      <c r="V22" s="3454"/>
      <c r="W22" s="3455"/>
      <c r="X22" s="3315" t="s">
        <v>2147</v>
      </c>
      <c r="Y22" s="3173"/>
      <c r="Z22" s="3457"/>
    </row>
    <row r="23" spans="2:26" ht="18" customHeight="1" x14ac:dyDescent="0.2">
      <c r="B23" s="2647" t="s">
        <v>2198</v>
      </c>
      <c r="C23" s="3495">
        <f>Table3.A!C23</f>
        <v>678.34199999999998</v>
      </c>
      <c r="D23" s="3307">
        <v>73.699965505319057</v>
      </c>
      <c r="E23" s="3494">
        <f>'Table3.B(a)'!G23</f>
        <v>524.43046762699998</v>
      </c>
      <c r="F23" s="3483">
        <v>899888.71205536404</v>
      </c>
      <c r="G23" s="3479" t="s">
        <v>2146</v>
      </c>
      <c r="H23" s="3483" t="s">
        <v>2146</v>
      </c>
      <c r="I23" s="3483" t="s">
        <v>2153</v>
      </c>
      <c r="J23" s="3483" t="s">
        <v>2153</v>
      </c>
      <c r="K23" s="3483">
        <v>64491124.475255668</v>
      </c>
      <c r="L23" s="3483">
        <v>2824150.7413337501</v>
      </c>
      <c r="M23" s="3483" t="s">
        <v>2146</v>
      </c>
      <c r="N23" s="3483">
        <v>2824150.7413337501</v>
      </c>
      <c r="O23" s="3483" t="s">
        <v>2146</v>
      </c>
      <c r="P23" s="3483" t="s">
        <v>2146</v>
      </c>
      <c r="Q23" s="3483" t="s">
        <v>2146</v>
      </c>
      <c r="R23" s="3482">
        <f t="shared" si="8"/>
        <v>71039314.669978529</v>
      </c>
      <c r="S23" s="2657"/>
      <c r="T23" s="2658"/>
      <c r="U23" s="3456">
        <f t="shared" ref="U23:U30" si="9">IF(SUM(X23)=0,"NA",X23*1000/C23)</f>
        <v>0.85874112888820431</v>
      </c>
      <c r="V23" s="3454"/>
      <c r="W23" s="3455"/>
      <c r="X23" s="3315">
        <v>0.58252017485228225</v>
      </c>
      <c r="Y23" s="3173"/>
      <c r="Z23" s="3457"/>
    </row>
    <row r="24" spans="2:26" ht="18" customHeight="1" x14ac:dyDescent="0.2">
      <c r="B24" s="351" t="s">
        <v>811</v>
      </c>
      <c r="C24" s="3314">
        <f>C25</f>
        <v>106056.51300000001</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743706241.93421805</v>
      </c>
      <c r="N24" s="2649" t="str">
        <f t="shared" si="10"/>
        <v>NO</v>
      </c>
      <c r="O24" s="2649" t="str">
        <f t="shared" si="10"/>
        <v>NO</v>
      </c>
      <c r="P24" s="2649" t="str">
        <f t="shared" si="10"/>
        <v>NO</v>
      </c>
      <c r="Q24" s="2649" t="str">
        <f t="shared" si="10"/>
        <v>NO</v>
      </c>
      <c r="R24" s="3482">
        <f t="shared" si="8"/>
        <v>743706241.93421805</v>
      </c>
      <c r="S24" s="2657"/>
      <c r="T24" s="2658"/>
      <c r="U24" s="3456" t="str">
        <f t="shared" si="9"/>
        <v>NA</v>
      </c>
      <c r="V24" s="3454"/>
      <c r="W24" s="3455"/>
      <c r="X24" s="3314" t="str">
        <f t="shared" ref="X24:X25" si="11">X25</f>
        <v>NA</v>
      </c>
      <c r="Y24" s="3173"/>
      <c r="Z24" s="3457"/>
    </row>
    <row r="25" spans="2:26" ht="18" customHeight="1" x14ac:dyDescent="0.2">
      <c r="B25" s="350" t="s">
        <v>812</v>
      </c>
      <c r="C25" s="3314">
        <f>C26</f>
        <v>106056.51300000001</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743706241.93421805</v>
      </c>
      <c r="N25" s="2649" t="str">
        <f t="shared" si="10"/>
        <v>NO</v>
      </c>
      <c r="O25" s="2649" t="str">
        <f t="shared" si="10"/>
        <v>NO</v>
      </c>
      <c r="P25" s="2649" t="str">
        <f t="shared" si="10"/>
        <v>NO</v>
      </c>
      <c r="Q25" s="2649" t="str">
        <f t="shared" si="10"/>
        <v>NO</v>
      </c>
      <c r="R25" s="3482">
        <f t="shared" si="8"/>
        <v>743706241.93421805</v>
      </c>
      <c r="S25" s="2657"/>
      <c r="T25" s="2658"/>
      <c r="U25" s="3456" t="str">
        <f t="shared" si="9"/>
        <v>NA</v>
      </c>
      <c r="V25" s="3454"/>
      <c r="W25" s="3455"/>
      <c r="X25" s="3314" t="str">
        <f t="shared" si="11"/>
        <v>NA</v>
      </c>
      <c r="Y25" s="3173"/>
      <c r="Z25" s="3457"/>
    </row>
    <row r="26" spans="2:26" ht="18" customHeight="1" x14ac:dyDescent="0.2">
      <c r="B26" s="2642" t="s">
        <v>2201</v>
      </c>
      <c r="C26" s="3495">
        <f>Table3.A!C26</f>
        <v>106056.51300000001</v>
      </c>
      <c r="D26" s="3307">
        <v>7.0123580411229467</v>
      </c>
      <c r="E26" s="3494">
        <f>'Table3.B(a)'!G26</f>
        <v>45.054479184906597</v>
      </c>
      <c r="F26" s="3483" t="s">
        <v>2146</v>
      </c>
      <c r="G26" s="3479" t="s">
        <v>2146</v>
      </c>
      <c r="H26" s="3483" t="s">
        <v>2146</v>
      </c>
      <c r="I26" s="3483" t="s">
        <v>2146</v>
      </c>
      <c r="J26" s="3483" t="s">
        <v>2146</v>
      </c>
      <c r="K26" s="3483" t="s">
        <v>2146</v>
      </c>
      <c r="L26" s="3483" t="s">
        <v>2146</v>
      </c>
      <c r="M26" s="3479">
        <v>743706241.93421805</v>
      </c>
      <c r="N26" s="3483" t="s">
        <v>2146</v>
      </c>
      <c r="O26" s="3483" t="s">
        <v>2146</v>
      </c>
      <c r="P26" s="3483" t="s">
        <v>2146</v>
      </c>
      <c r="Q26" s="3483" t="s">
        <v>2146</v>
      </c>
      <c r="R26" s="3482">
        <f t="shared" si="8"/>
        <v>743706241.93421805</v>
      </c>
      <c r="S26" s="2657"/>
      <c r="T26" s="2658"/>
      <c r="U26" s="3456" t="str">
        <f t="shared" si="9"/>
        <v>NA</v>
      </c>
      <c r="V26" s="3454"/>
      <c r="W26" s="3455"/>
      <c r="X26" s="3315" t="s">
        <v>2147</v>
      </c>
      <c r="Y26" s="3173"/>
      <c r="Z26" s="3457"/>
    </row>
    <row r="27" spans="2:26" ht="18" customHeight="1" x14ac:dyDescent="0.2">
      <c r="B27" s="351" t="s">
        <v>814</v>
      </c>
      <c r="C27" s="3314">
        <f>C28</f>
        <v>2980.1849999999999</v>
      </c>
      <c r="D27" s="3492"/>
      <c r="E27" s="3492"/>
      <c r="F27" s="2649">
        <f>F28</f>
        <v>30665546.896127</v>
      </c>
      <c r="G27" s="2649" t="str">
        <f t="shared" ref="G27:G28" si="12">G28</f>
        <v>NO</v>
      </c>
      <c r="H27" s="2649" t="str">
        <f t="shared" ref="H27:H28" si="13">H28</f>
        <v>NO</v>
      </c>
      <c r="I27" s="2649" t="str">
        <f t="shared" ref="I27:I28" si="14">I28</f>
        <v>IE</v>
      </c>
      <c r="J27" s="2649" t="str">
        <f t="shared" ref="J27:J28" si="15">J28</f>
        <v>IE</v>
      </c>
      <c r="K27" s="2649">
        <f t="shared" ref="K27:K28" si="16">K28</f>
        <v>13127205.233044608</v>
      </c>
      <c r="L27" s="2649" t="str">
        <f t="shared" ref="L27:L28" si="17">L28</f>
        <v>IE</v>
      </c>
      <c r="M27" s="2649" t="str">
        <f t="shared" ref="M27:M28" si="18">M28</f>
        <v>NO</v>
      </c>
      <c r="N27" s="2649" t="str">
        <f t="shared" ref="N27:N28" si="19">N28</f>
        <v>NO</v>
      </c>
      <c r="O27" s="2649">
        <f t="shared" ref="O27:O28" si="20">O28</f>
        <v>157644.40436768101</v>
      </c>
      <c r="P27" s="2649" t="str">
        <f t="shared" ref="P27:P28" si="21">P28</f>
        <v>NO</v>
      </c>
      <c r="Q27" s="2649">
        <f t="shared" ref="Q27:Q28" si="22">Q28</f>
        <v>11939063.755893501</v>
      </c>
      <c r="R27" s="3482">
        <f t="shared" si="8"/>
        <v>55889460.289432786</v>
      </c>
      <c r="S27" s="2657"/>
      <c r="T27" s="2658"/>
      <c r="U27" s="3456">
        <f t="shared" si="9"/>
        <v>0.11355159850901371</v>
      </c>
      <c r="V27" s="3454"/>
      <c r="W27" s="3455"/>
      <c r="X27" s="3314">
        <f t="shared" ref="X27:X28" si="23">X28</f>
        <v>0.338404770602585</v>
      </c>
      <c r="Y27" s="3173"/>
      <c r="Z27" s="3457"/>
    </row>
    <row r="28" spans="2:26" ht="18" customHeight="1" x14ac:dyDescent="0.2">
      <c r="B28" s="350" t="s">
        <v>815</v>
      </c>
      <c r="C28" s="3314">
        <f>C29</f>
        <v>2980.1849999999999</v>
      </c>
      <c r="D28" s="3492"/>
      <c r="E28" s="3492"/>
      <c r="F28" s="2649">
        <f>F29</f>
        <v>30665546.896127</v>
      </c>
      <c r="G28" s="2649" t="str">
        <f t="shared" si="12"/>
        <v>NO</v>
      </c>
      <c r="H28" s="2649" t="str">
        <f t="shared" si="13"/>
        <v>NO</v>
      </c>
      <c r="I28" s="2649" t="str">
        <f t="shared" si="14"/>
        <v>IE</v>
      </c>
      <c r="J28" s="2649" t="str">
        <f t="shared" si="15"/>
        <v>IE</v>
      </c>
      <c r="K28" s="2649">
        <f t="shared" si="16"/>
        <v>13127205.233044608</v>
      </c>
      <c r="L28" s="2649" t="str">
        <f t="shared" si="17"/>
        <v>IE</v>
      </c>
      <c r="M28" s="2649" t="str">
        <f t="shared" si="18"/>
        <v>NO</v>
      </c>
      <c r="N28" s="2649" t="str">
        <f t="shared" si="19"/>
        <v>NO</v>
      </c>
      <c r="O28" s="2649">
        <f t="shared" si="20"/>
        <v>157644.40436768101</v>
      </c>
      <c r="P28" s="2649" t="str">
        <f t="shared" si="21"/>
        <v>NO</v>
      </c>
      <c r="Q28" s="2649">
        <f t="shared" si="22"/>
        <v>11939063.755893501</v>
      </c>
      <c r="R28" s="3482">
        <f t="shared" si="8"/>
        <v>55889460.289432786</v>
      </c>
      <c r="S28" s="2657"/>
      <c r="T28" s="2658"/>
      <c r="U28" s="3456">
        <f t="shared" si="9"/>
        <v>0.11355159850901371</v>
      </c>
      <c r="V28" s="3454"/>
      <c r="W28" s="3455"/>
      <c r="X28" s="3314">
        <f t="shared" si="23"/>
        <v>0.338404770602585</v>
      </c>
      <c r="Y28" s="3173"/>
      <c r="Z28" s="3457"/>
    </row>
    <row r="29" spans="2:26" ht="18" customHeight="1" x14ac:dyDescent="0.2">
      <c r="B29" s="2642" t="s">
        <v>817</v>
      </c>
      <c r="C29" s="3495">
        <f>Table3.A!C29</f>
        <v>2980.1849999999999</v>
      </c>
      <c r="D29" s="3307">
        <v>15.402450057813569</v>
      </c>
      <c r="E29" s="3494">
        <f>'Table3.B(a)'!G29</f>
        <v>53.695839848495297</v>
      </c>
      <c r="F29" s="3479">
        <v>30665546.896127</v>
      </c>
      <c r="G29" s="3479" t="s">
        <v>2146</v>
      </c>
      <c r="H29" s="3479" t="s">
        <v>2146</v>
      </c>
      <c r="I29" s="3479" t="s">
        <v>2153</v>
      </c>
      <c r="J29" s="3479" t="s">
        <v>2153</v>
      </c>
      <c r="K29" s="3479">
        <v>13127205.233044608</v>
      </c>
      <c r="L29" s="3479" t="s">
        <v>2153</v>
      </c>
      <c r="M29" s="3479" t="s">
        <v>2146</v>
      </c>
      <c r="N29" s="3479" t="s">
        <v>2146</v>
      </c>
      <c r="O29" s="3479">
        <v>157644.40436768101</v>
      </c>
      <c r="P29" s="3479" t="s">
        <v>2146</v>
      </c>
      <c r="Q29" s="3479">
        <v>11939063.755893501</v>
      </c>
      <c r="R29" s="3482">
        <f t="shared" si="8"/>
        <v>55889460.289432786</v>
      </c>
      <c r="S29" s="2657"/>
      <c r="T29" s="2658"/>
      <c r="U29" s="3456">
        <f t="shared" si="9"/>
        <v>0.11355159850901371</v>
      </c>
      <c r="V29" s="3454"/>
      <c r="W29" s="3455"/>
      <c r="X29" s="3315">
        <v>0.338404770602585</v>
      </c>
      <c r="Y29" s="3173"/>
      <c r="Z29" s="3457"/>
    </row>
    <row r="30" spans="2:26" ht="18" customHeight="1" x14ac:dyDescent="0.2">
      <c r="B30" s="351" t="s">
        <v>861</v>
      </c>
      <c r="C30" s="3314">
        <f>IF(SUM(C32:C39)=0,"NO",SUM(C32:C39))</f>
        <v>60724.864000000001</v>
      </c>
      <c r="D30" s="3492"/>
      <c r="E30" s="3492"/>
      <c r="F30" s="2649" t="str">
        <f>IF(SUM(F32:F39)=0,"NO",SUM(F32:F39))</f>
        <v>NO</v>
      </c>
      <c r="G30" s="2649" t="str">
        <f t="shared" ref="G30:Q30" si="24">IF(SUM(G32:G39)=0,"NO",SUM(G32:G39))</f>
        <v>NO</v>
      </c>
      <c r="H30" s="2649" t="str">
        <f t="shared" si="24"/>
        <v>NO</v>
      </c>
      <c r="I30" s="2649">
        <f t="shared" si="24"/>
        <v>14386155.189924832</v>
      </c>
      <c r="J30" s="2649" t="str">
        <f t="shared" si="24"/>
        <v>NO</v>
      </c>
      <c r="K30" s="2649" t="str">
        <f t="shared" si="24"/>
        <v>NO</v>
      </c>
      <c r="L30" s="2649" t="str">
        <f t="shared" si="24"/>
        <v>NO</v>
      </c>
      <c r="M30" s="2649">
        <f t="shared" si="24"/>
        <v>13658225.978490924</v>
      </c>
      <c r="N30" s="2649">
        <f t="shared" si="24"/>
        <v>6108694.83587135</v>
      </c>
      <c r="O30" s="2649">
        <f t="shared" si="24"/>
        <v>85010.267338774996</v>
      </c>
      <c r="P30" s="2649" t="str">
        <f t="shared" si="24"/>
        <v>NO</v>
      </c>
      <c r="Q30" s="2649">
        <f t="shared" si="24"/>
        <v>39286004.031783499</v>
      </c>
      <c r="R30" s="3482">
        <f t="shared" si="8"/>
        <v>73524090.303409383</v>
      </c>
      <c r="S30" s="2657"/>
      <c r="T30" s="2658"/>
      <c r="U30" s="3456">
        <f t="shared" si="9"/>
        <v>4.4588490420881506E-3</v>
      </c>
      <c r="V30" s="3454"/>
      <c r="W30" s="3455"/>
      <c r="X30" s="3314">
        <f t="shared" ref="X30" si="25">IF(SUM(X32:X39)=0,"NO",SUM(X32:X39))</f>
        <v>0.27076300167733325</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13.609</v>
      </c>
      <c r="D32" s="3307">
        <v>39.5</v>
      </c>
      <c r="E32" s="3494" t="str">
        <f>'Table3.B(a)'!G32</f>
        <v>NA</v>
      </c>
      <c r="F32" s="3479" t="s">
        <v>2146</v>
      </c>
      <c r="G32" s="3479" t="s">
        <v>2146</v>
      </c>
      <c r="H32" s="3479" t="s">
        <v>2146</v>
      </c>
      <c r="I32" s="3479" t="s">
        <v>2146</v>
      </c>
      <c r="J32" s="3479" t="s">
        <v>2146</v>
      </c>
      <c r="K32" s="3479" t="s">
        <v>2146</v>
      </c>
      <c r="L32" s="3479" t="s">
        <v>2146</v>
      </c>
      <c r="M32" s="3479">
        <v>537555.5</v>
      </c>
      <c r="N32" s="3479" t="s">
        <v>2146</v>
      </c>
      <c r="O32" s="3479" t="s">
        <v>2146</v>
      </c>
      <c r="P32" s="3479" t="s">
        <v>2146</v>
      </c>
      <c r="Q32" s="3479" t="s">
        <v>2146</v>
      </c>
      <c r="R32" s="3482">
        <f t="shared" si="8"/>
        <v>537555.5</v>
      </c>
      <c r="S32" s="2657"/>
      <c r="T32" s="2658"/>
      <c r="U32" s="3456" t="str">
        <f>IF(SUM(X32)=0,"NA",X32*1000/C32)</f>
        <v>NA</v>
      </c>
      <c r="V32" s="3454"/>
      <c r="W32" s="3455"/>
      <c r="X32" s="3315" t="s">
        <v>2147</v>
      </c>
      <c r="Y32" s="3173"/>
      <c r="Z32" s="3457"/>
    </row>
    <row r="33" spans="2:26" ht="18" customHeight="1" x14ac:dyDescent="0.2">
      <c r="B33" s="350" t="s">
        <v>819</v>
      </c>
      <c r="C33" s="3495">
        <f>Table3.A!C33</f>
        <v>2.577</v>
      </c>
      <c r="D33" s="3307">
        <v>39.5</v>
      </c>
      <c r="E33" s="3494" t="str">
        <f>'Table3.B(a)'!G33</f>
        <v>NA</v>
      </c>
      <c r="F33" s="3479" t="s">
        <v>2146</v>
      </c>
      <c r="G33" s="3479" t="s">
        <v>2146</v>
      </c>
      <c r="H33" s="3479" t="s">
        <v>2146</v>
      </c>
      <c r="I33" s="3479" t="s">
        <v>2146</v>
      </c>
      <c r="J33" s="3479" t="s">
        <v>2146</v>
      </c>
      <c r="K33" s="3479" t="s">
        <v>2146</v>
      </c>
      <c r="L33" s="3479" t="s">
        <v>2146</v>
      </c>
      <c r="M33" s="3479">
        <v>101790.72596673571</v>
      </c>
      <c r="N33" s="3479" t="s">
        <v>2146</v>
      </c>
      <c r="O33" s="3479" t="s">
        <v>2146</v>
      </c>
      <c r="P33" s="3479" t="s">
        <v>2146</v>
      </c>
      <c r="Q33" s="3479" t="s">
        <v>2146</v>
      </c>
      <c r="R33" s="3482">
        <f t="shared" si="8"/>
        <v>101790.72596673571</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101.226</v>
      </c>
      <c r="D34" s="3307">
        <v>13.2</v>
      </c>
      <c r="E34" s="3494" t="str">
        <f>'Table3.B(a)'!G34</f>
        <v>NA</v>
      </c>
      <c r="F34" s="3479" t="s">
        <v>2146</v>
      </c>
      <c r="G34" s="3479" t="s">
        <v>2146</v>
      </c>
      <c r="H34" s="3479" t="s">
        <v>2146</v>
      </c>
      <c r="I34" s="3479" t="s">
        <v>2146</v>
      </c>
      <c r="J34" s="3479" t="s">
        <v>2146</v>
      </c>
      <c r="K34" s="3479" t="s">
        <v>2146</v>
      </c>
      <c r="L34" s="3479" t="s">
        <v>2146</v>
      </c>
      <c r="M34" s="3479">
        <v>1336187.1599999999</v>
      </c>
      <c r="N34" s="3479" t="s">
        <v>2146</v>
      </c>
      <c r="O34" s="3479" t="s">
        <v>2146</v>
      </c>
      <c r="P34" s="3479" t="s">
        <v>2146</v>
      </c>
      <c r="Q34" s="3479" t="s">
        <v>2146</v>
      </c>
      <c r="R34" s="3482">
        <f t="shared" si="8"/>
        <v>1336187.1599999999</v>
      </c>
      <c r="S34" s="2657"/>
      <c r="T34" s="2658"/>
      <c r="U34" s="3456" t="str">
        <f t="shared" si="26"/>
        <v>NA</v>
      </c>
      <c r="V34" s="3454"/>
      <c r="W34" s="3455"/>
      <c r="X34" s="3315" t="s">
        <v>2147</v>
      </c>
      <c r="Y34" s="3173"/>
      <c r="Z34" s="3457"/>
    </row>
    <row r="35" spans="2:26" ht="18" customHeight="1" x14ac:dyDescent="0.2">
      <c r="B35" s="350" t="s">
        <v>821</v>
      </c>
      <c r="C35" s="3495">
        <f>Table3.A!C35</f>
        <v>386.697</v>
      </c>
      <c r="D35" s="3307">
        <v>7</v>
      </c>
      <c r="E35" s="3494" t="str">
        <f>'Table3.B(a)'!G35</f>
        <v>NA</v>
      </c>
      <c r="F35" s="3479" t="s">
        <v>2146</v>
      </c>
      <c r="G35" s="3479" t="s">
        <v>2146</v>
      </c>
      <c r="H35" s="3479" t="s">
        <v>2146</v>
      </c>
      <c r="I35" s="3479" t="s">
        <v>2146</v>
      </c>
      <c r="J35" s="3479" t="s">
        <v>2146</v>
      </c>
      <c r="K35" s="3479" t="s">
        <v>2146</v>
      </c>
      <c r="L35" s="3479" t="s">
        <v>2146</v>
      </c>
      <c r="M35" s="3479">
        <v>2706879.7960796575</v>
      </c>
      <c r="N35" s="3479" t="s">
        <v>2146</v>
      </c>
      <c r="O35" s="3479" t="s">
        <v>2146</v>
      </c>
      <c r="P35" s="3479" t="s">
        <v>2146</v>
      </c>
      <c r="Q35" s="3479" t="s">
        <v>2146</v>
      </c>
      <c r="R35" s="3482">
        <f t="shared" si="8"/>
        <v>2706879.7960796575</v>
      </c>
      <c r="S35" s="2657"/>
      <c r="T35" s="2658"/>
      <c r="U35" s="3456" t="str">
        <f t="shared" si="26"/>
        <v>NA</v>
      </c>
      <c r="V35" s="3454"/>
      <c r="W35" s="3455"/>
      <c r="X35" s="3315" t="s">
        <v>2147</v>
      </c>
      <c r="Y35" s="3173"/>
      <c r="Z35" s="3457"/>
    </row>
    <row r="36" spans="2:26" ht="18" customHeight="1" x14ac:dyDescent="0.2">
      <c r="B36" s="350" t="s">
        <v>822</v>
      </c>
      <c r="C36" s="3495">
        <f>Table3.A!C36</f>
        <v>204.26499999999999</v>
      </c>
      <c r="D36" s="3307">
        <v>39.5</v>
      </c>
      <c r="E36" s="3494" t="str">
        <f>'Table3.B(a)'!G36</f>
        <v>NA</v>
      </c>
      <c r="F36" s="3479" t="s">
        <v>2146</v>
      </c>
      <c r="G36" s="3479" t="s">
        <v>2146</v>
      </c>
      <c r="H36" s="3479" t="s">
        <v>2146</v>
      </c>
      <c r="I36" s="3479" t="s">
        <v>2146</v>
      </c>
      <c r="J36" s="3479" t="s">
        <v>2146</v>
      </c>
      <c r="K36" s="3479" t="s">
        <v>2146</v>
      </c>
      <c r="L36" s="3479" t="s">
        <v>2146</v>
      </c>
      <c r="M36" s="3479">
        <v>8068483.3000000007</v>
      </c>
      <c r="N36" s="3479" t="s">
        <v>2146</v>
      </c>
      <c r="O36" s="3479" t="s">
        <v>2146</v>
      </c>
      <c r="P36" s="3479" t="s">
        <v>2146</v>
      </c>
      <c r="Q36" s="3479" t="s">
        <v>2146</v>
      </c>
      <c r="R36" s="3482">
        <f t="shared" si="8"/>
        <v>8068483.3000000007</v>
      </c>
      <c r="S36" s="2657"/>
      <c r="T36" s="2658"/>
      <c r="U36" s="3456" t="str">
        <f t="shared" si="26"/>
        <v>NA</v>
      </c>
      <c r="V36" s="3454"/>
      <c r="W36" s="3455"/>
      <c r="X36" s="3315" t="s">
        <v>2147</v>
      </c>
      <c r="Y36" s="3173"/>
      <c r="Z36" s="3457"/>
    </row>
    <row r="37" spans="2:26" ht="18" customHeight="1" x14ac:dyDescent="0.2">
      <c r="B37" s="350" t="s">
        <v>862</v>
      </c>
      <c r="C37" s="3495">
        <f>Table3.A!C37</f>
        <v>0.81200000000000006</v>
      </c>
      <c r="D37" s="3307">
        <v>13.2</v>
      </c>
      <c r="E37" s="3494" t="str">
        <f>'Table3.B(a)'!G37</f>
        <v>NA</v>
      </c>
      <c r="F37" s="3479" t="s">
        <v>2146</v>
      </c>
      <c r="G37" s="3479" t="s">
        <v>2146</v>
      </c>
      <c r="H37" s="3479" t="s">
        <v>2146</v>
      </c>
      <c r="I37" s="3479" t="s">
        <v>2146</v>
      </c>
      <c r="J37" s="3479" t="s">
        <v>2146</v>
      </c>
      <c r="K37" s="3479" t="s">
        <v>2146</v>
      </c>
      <c r="L37" s="3479" t="s">
        <v>2146</v>
      </c>
      <c r="M37" s="3479">
        <v>10712.98015424651</v>
      </c>
      <c r="N37" s="3479" t="s">
        <v>2146</v>
      </c>
      <c r="O37" s="3479" t="s">
        <v>2146</v>
      </c>
      <c r="P37" s="3479" t="s">
        <v>2146</v>
      </c>
      <c r="Q37" s="3479" t="s">
        <v>2146</v>
      </c>
      <c r="R37" s="3482">
        <f t="shared" si="8"/>
        <v>10712.98015424651</v>
      </c>
      <c r="S37" s="2657"/>
      <c r="T37" s="2658"/>
      <c r="U37" s="3456" t="str">
        <f t="shared" si="26"/>
        <v>NA</v>
      </c>
      <c r="V37" s="3454"/>
      <c r="W37" s="3455"/>
      <c r="X37" s="3315" t="s">
        <v>2147</v>
      </c>
      <c r="Y37" s="3173"/>
      <c r="Z37" s="3457"/>
    </row>
    <row r="38" spans="2:26" ht="18" customHeight="1" x14ac:dyDescent="0.2">
      <c r="B38" s="350" t="s">
        <v>824</v>
      </c>
      <c r="C38" s="3495">
        <f>Table3.A!C38</f>
        <v>59919.633000000002</v>
      </c>
      <c r="D38" s="3307">
        <v>0.65938830853680996</v>
      </c>
      <c r="E38" s="3494" t="str">
        <f>'Table3.B(a)'!G38</f>
        <v>NA</v>
      </c>
      <c r="F38" s="3479" t="s">
        <v>2146</v>
      </c>
      <c r="G38" s="3479" t="s">
        <v>2146</v>
      </c>
      <c r="H38" s="3479" t="s">
        <v>2146</v>
      </c>
      <c r="I38" s="3479">
        <v>14386155.189924832</v>
      </c>
      <c r="J38" s="3479" t="s">
        <v>2153</v>
      </c>
      <c r="K38" s="3479" t="s">
        <v>2153</v>
      </c>
      <c r="L38" s="3479" t="s">
        <v>2153</v>
      </c>
      <c r="M38" s="3479">
        <v>224301.55983908201</v>
      </c>
      <c r="N38" s="3479">
        <v>6108694.83587135</v>
      </c>
      <c r="O38" s="3479">
        <v>85010.267338774996</v>
      </c>
      <c r="P38" s="3479" t="s">
        <v>2146</v>
      </c>
      <c r="Q38" s="3479">
        <v>39286004.031783499</v>
      </c>
      <c r="R38" s="3482">
        <f t="shared" si="8"/>
        <v>60090165.884757541</v>
      </c>
      <c r="S38" s="2657"/>
      <c r="T38" s="2658"/>
      <c r="U38" s="3456">
        <f t="shared" si="26"/>
        <v>4.5187693602417962E-3</v>
      </c>
      <c r="V38" s="3454"/>
      <c r="W38" s="3455"/>
      <c r="X38" s="3315">
        <v>0.27076300167733325</v>
      </c>
      <c r="Y38" s="3173"/>
      <c r="Z38" s="3457"/>
    </row>
    <row r="39" spans="2:26" ht="18" customHeight="1" x14ac:dyDescent="0.2">
      <c r="B39" s="350" t="s">
        <v>825</v>
      </c>
      <c r="C39" s="3314">
        <f>IF(SUM(C40:C44)=0,"NO",SUM(C40:C44))</f>
        <v>96.045000000000002</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672314.95645120123</v>
      </c>
      <c r="N39" s="2649" t="str">
        <f t="shared" si="27"/>
        <v>NO</v>
      </c>
      <c r="O39" s="2649" t="str">
        <f t="shared" si="27"/>
        <v>NO</v>
      </c>
      <c r="P39" s="2649" t="str">
        <f t="shared" si="27"/>
        <v>NO</v>
      </c>
      <c r="Q39" s="2649" t="str">
        <f t="shared" si="27"/>
        <v>NO</v>
      </c>
      <c r="R39" s="3482">
        <f t="shared" si="8"/>
        <v>672314.95645120123</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71.617000000000004</v>
      </c>
      <c r="D42" s="3307">
        <v>7</v>
      </c>
      <c r="E42" s="3494" t="str">
        <f>'Table3.B(a)'!G42</f>
        <v>NA</v>
      </c>
      <c r="F42" s="3479" t="s">
        <v>2146</v>
      </c>
      <c r="G42" s="3479" t="s">
        <v>2146</v>
      </c>
      <c r="H42" s="3479" t="s">
        <v>2146</v>
      </c>
      <c r="I42" s="3479" t="s">
        <v>2146</v>
      </c>
      <c r="J42" s="3479" t="s">
        <v>2146</v>
      </c>
      <c r="K42" s="3479" t="s">
        <v>2146</v>
      </c>
      <c r="L42" s="3479" t="s">
        <v>2146</v>
      </c>
      <c r="M42" s="3479">
        <v>501320.40000000008</v>
      </c>
      <c r="N42" s="3479" t="s">
        <v>2146</v>
      </c>
      <c r="O42" s="3479" t="s">
        <v>2146</v>
      </c>
      <c r="P42" s="3479" t="s">
        <v>2146</v>
      </c>
      <c r="Q42" s="3479" t="s">
        <v>2146</v>
      </c>
      <c r="R42" s="3482">
        <f t="shared" si="8"/>
        <v>501320.40000000008</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24.428000000000001</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170994.55645120118</v>
      </c>
      <c r="N44" s="2649" t="str">
        <f t="shared" si="28"/>
        <v>NO</v>
      </c>
      <c r="O44" s="2649" t="str">
        <f t="shared" si="28"/>
        <v>NO</v>
      </c>
      <c r="P44" s="2649" t="str">
        <f t="shared" si="28"/>
        <v>NO</v>
      </c>
      <c r="Q44" s="2649" t="str">
        <f t="shared" si="28"/>
        <v>NO</v>
      </c>
      <c r="R44" s="3482">
        <f t="shared" si="8"/>
        <v>170994.55645120118</v>
      </c>
      <c r="S44" s="2657"/>
      <c r="T44" s="2658"/>
      <c r="U44" s="3456" t="str">
        <f t="shared" si="26"/>
        <v>NA</v>
      </c>
      <c r="V44" s="3454"/>
      <c r="W44" s="3455"/>
      <c r="X44" s="3314" t="str">
        <f>X45</f>
        <v>NA</v>
      </c>
      <c r="Y44" s="3173"/>
      <c r="Z44" s="3457"/>
    </row>
    <row r="45" spans="2:26" ht="18" customHeight="1" x14ac:dyDescent="0.2">
      <c r="B45" s="2646" t="s">
        <v>2199</v>
      </c>
      <c r="C45" s="3495">
        <f>Table3.A!C45</f>
        <v>24.428000000000001</v>
      </c>
      <c r="D45" s="3307">
        <v>7</v>
      </c>
      <c r="E45" s="3494" t="str">
        <f>'Table3.B(a)'!G45</f>
        <v>NA</v>
      </c>
      <c r="F45" s="3479" t="s">
        <v>2146</v>
      </c>
      <c r="G45" s="3479" t="s">
        <v>2146</v>
      </c>
      <c r="H45" s="3479" t="s">
        <v>2146</v>
      </c>
      <c r="I45" s="3479" t="s">
        <v>2146</v>
      </c>
      <c r="J45" s="3479" t="s">
        <v>2146</v>
      </c>
      <c r="K45" s="3479" t="s">
        <v>2146</v>
      </c>
      <c r="L45" s="3479" t="s">
        <v>2146</v>
      </c>
      <c r="M45" s="3479">
        <v>170994.55645120118</v>
      </c>
      <c r="N45" s="3479" t="s">
        <v>2146</v>
      </c>
      <c r="O45" s="3479" t="s">
        <v>2146</v>
      </c>
      <c r="P45" s="3479" t="s">
        <v>2146</v>
      </c>
      <c r="Q45" s="3479" t="s">
        <v>2146</v>
      </c>
      <c r="R45" s="3482">
        <f t="shared" si="8"/>
        <v>170994.55645120118</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83277123.159738094</v>
      </c>
      <c r="T46" s="3447">
        <v>240976.858230463</v>
      </c>
      <c r="U46" s="3466"/>
      <c r="V46" s="3467">
        <f>IF(SUM(S46)=0,"NA",Y46*1000000/S46)</f>
        <v>3.5662764793986013E-3</v>
      </c>
      <c r="W46" s="3468">
        <f>IF(SUM(T46)=0,"NA",Z46*1000000/T46)</f>
        <v>1.728571428571431E-2</v>
      </c>
      <c r="X46" s="3316"/>
      <c r="Y46" s="3320">
        <v>0.29698924559655449</v>
      </c>
      <c r="Z46" s="3321">
        <v>4.165457120840866E-3</v>
      </c>
    </row>
    <row r="47" spans="2:26" ht="18" customHeight="1" x14ac:dyDescent="0.2">
      <c r="B47" s="358" t="s">
        <v>863</v>
      </c>
      <c r="C47" s="359"/>
      <c r="D47" s="359"/>
      <c r="E47" s="359"/>
      <c r="F47" s="3485">
        <f>IF(SUM(F30,F27,F24,F10)=0,"NO",SUM(F30,F27,F24,F10))</f>
        <v>54114109.20819746</v>
      </c>
      <c r="G47" s="3485" t="str">
        <f t="shared" ref="G47:Q47" si="29">IF(SUM(G30,G27,G24,G10)=0,"NO",SUM(G30,G27,G24,G10))</f>
        <v>NO</v>
      </c>
      <c r="H47" s="3485">
        <f t="shared" si="29"/>
        <v>16154495.719569201</v>
      </c>
      <c r="I47" s="3485">
        <f t="shared" si="29"/>
        <v>18775393.550023619</v>
      </c>
      <c r="J47" s="3485" t="str">
        <f t="shared" si="29"/>
        <v>NO</v>
      </c>
      <c r="K47" s="3485">
        <f t="shared" si="29"/>
        <v>77618329.708300278</v>
      </c>
      <c r="L47" s="3485">
        <f t="shared" si="29"/>
        <v>2824150.7413337501</v>
      </c>
      <c r="M47" s="3409"/>
      <c r="N47" s="3485">
        <f t="shared" si="29"/>
        <v>8932845.5772050992</v>
      </c>
      <c r="O47" s="3485">
        <f t="shared" si="29"/>
        <v>242654.67170645599</v>
      </c>
      <c r="P47" s="3409"/>
      <c r="Q47" s="3485">
        <f t="shared" si="29"/>
        <v>51225067.787676997</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4.4943793665634592E-2</v>
      </c>
      <c r="J48" s="3486" t="str">
        <f t="shared" si="30"/>
        <v>NA</v>
      </c>
      <c r="K48" s="3486" t="str">
        <f t="shared" si="30"/>
        <v>NA</v>
      </c>
      <c r="L48" s="3486" t="str">
        <f t="shared" si="30"/>
        <v>NA</v>
      </c>
      <c r="M48" s="87"/>
      <c r="N48" s="3486">
        <f t="shared" si="30"/>
        <v>1.5714285714285219E-2</v>
      </c>
      <c r="O48" s="3486" t="str">
        <f t="shared" si="30"/>
        <v>NA</v>
      </c>
      <c r="P48" s="87"/>
      <c r="Q48" s="3486">
        <f t="shared" si="30"/>
        <v>4.7235490174327953E-3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0.84383741370334808</v>
      </c>
      <c r="J49" s="3487" t="s">
        <v>2153</v>
      </c>
      <c r="K49" s="3487" t="s">
        <v>2153</v>
      </c>
      <c r="L49" s="3487" t="s">
        <v>2153</v>
      </c>
      <c r="M49" s="3474"/>
      <c r="N49" s="3488">
        <v>0.14037328764179</v>
      </c>
      <c r="O49" s="3488" t="s">
        <v>2147</v>
      </c>
      <c r="P49" s="3474"/>
      <c r="Q49" s="3488">
        <v>0.24196411861641001</v>
      </c>
      <c r="R49" s="1312"/>
      <c r="S49" s="1313"/>
      <c r="T49" s="1314"/>
      <c r="U49" s="3473">
        <f>X49*1000/SUM(C10,C24,C27,C30)</f>
        <v>6.2004621657143497E-3</v>
      </c>
      <c r="V49" s="3474"/>
      <c r="W49" s="3475"/>
      <c r="X49" s="3319">
        <f>SUM(X10,X24,X27,X30)</f>
        <v>1.2261748199615481</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22.971219600000001</v>
      </c>
    </row>
    <row r="11" spans="1:9" ht="18" customHeight="1" x14ac:dyDescent="0.2">
      <c r="B11" s="439" t="s">
        <v>876</v>
      </c>
      <c r="C11" s="4147">
        <v>1.44564</v>
      </c>
      <c r="D11" s="243" t="s">
        <v>2146</v>
      </c>
      <c r="E11" s="283" t="s">
        <v>2146</v>
      </c>
      <c r="F11" s="2305">
        <f>IF(SUM(C11)=0,"NA",G11/C11)</f>
        <v>15.89</v>
      </c>
      <c r="G11" s="3093">
        <v>22.971219600000001</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1.44564</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33.600169069774125</v>
      </c>
      <c r="H10" s="397" t="s">
        <v>897</v>
      </c>
      <c r="I10" s="398" t="s">
        <v>898</v>
      </c>
      <c r="J10" s="399">
        <v>0.21</v>
      </c>
    </row>
    <row r="11" spans="2:10" ht="24" customHeight="1" x14ac:dyDescent="0.2">
      <c r="B11" s="2431" t="s">
        <v>1949</v>
      </c>
      <c r="C11" s="2432" t="s">
        <v>899</v>
      </c>
      <c r="D11" s="3720">
        <v>971634.2074769201</v>
      </c>
      <c r="E11" s="3714">
        <f>IF(SUM(D11)=0,"NA",F11*1000/D11/(44/28))</f>
        <v>4.9923368765118856E-3</v>
      </c>
      <c r="F11" s="3425">
        <v>7.6225683041631029</v>
      </c>
      <c r="H11" s="397" t="s">
        <v>900</v>
      </c>
      <c r="I11" s="398" t="s">
        <v>901</v>
      </c>
      <c r="J11" s="399">
        <v>0.24</v>
      </c>
    </row>
    <row r="12" spans="2:10" ht="24" customHeight="1" thickBot="1" x14ac:dyDescent="0.25">
      <c r="B12" s="2431" t="s">
        <v>1950</v>
      </c>
      <c r="C12" s="2433" t="s">
        <v>902</v>
      </c>
      <c r="D12" s="3721">
        <f>IF(SUM(D13:D15)=0,"NO",SUM(D13:D15))</f>
        <v>99933.667763762627</v>
      </c>
      <c r="E12" s="3715">
        <f t="shared" ref="E12:E23" si="0">IF(SUM(D12)=0,"NA",F12*1000/D12/(44/28))</f>
        <v>8.4424779677331422E-3</v>
      </c>
      <c r="F12" s="3426">
        <f>IF(SUM(F13:F15)=0,"NO",SUM(F13:F15))</f>
        <v>1.325795095947661</v>
      </c>
      <c r="H12" s="407" t="s">
        <v>903</v>
      </c>
      <c r="I12" s="408" t="s">
        <v>2147</v>
      </c>
      <c r="J12" s="2668" t="s">
        <v>2147</v>
      </c>
    </row>
    <row r="13" spans="2:10" ht="24" customHeight="1" x14ac:dyDescent="0.2">
      <c r="B13" s="2431" t="s">
        <v>904</v>
      </c>
      <c r="C13" s="2432" t="s">
        <v>905</v>
      </c>
      <c r="D13" s="3722">
        <v>93020.860015487895</v>
      </c>
      <c r="E13" s="3714">
        <f t="shared" si="0"/>
        <v>8.4010459424449825E-3</v>
      </c>
      <c r="F13" s="3425">
        <v>1.2280282435077756</v>
      </c>
      <c r="H13" s="1436" t="s">
        <v>906</v>
      </c>
      <c r="I13" s="1078"/>
      <c r="J13" s="1078"/>
    </row>
    <row r="14" spans="2:10" ht="24" customHeight="1" x14ac:dyDescent="0.2">
      <c r="B14" s="2431" t="s">
        <v>907</v>
      </c>
      <c r="C14" s="2432" t="s">
        <v>908</v>
      </c>
      <c r="D14" s="3722">
        <v>6912.8077482747294</v>
      </c>
      <c r="E14" s="3714">
        <f t="shared" si="0"/>
        <v>8.9999999999999993E-3</v>
      </c>
      <c r="F14" s="3425">
        <v>9.7766852439885449E-2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1973911.7556018597</v>
      </c>
      <c r="E16" s="3714">
        <f t="shared" si="0"/>
        <v>4.0000000000000001E-3</v>
      </c>
      <c r="F16" s="3425">
        <v>12.407445320925975</v>
      </c>
    </row>
    <row r="17" spans="2:11" ht="24" customHeight="1" x14ac:dyDescent="0.2">
      <c r="B17" s="2431" t="s">
        <v>913</v>
      </c>
      <c r="C17" s="2432" t="s">
        <v>914</v>
      </c>
      <c r="D17" s="3722">
        <v>767562.84456503345</v>
      </c>
      <c r="E17" s="3714">
        <f t="shared" si="0"/>
        <v>9.9999999999999985E-3</v>
      </c>
      <c r="F17" s="3425">
        <v>12.061701843164808</v>
      </c>
    </row>
    <row r="18" spans="2:11" ht="24" customHeight="1" x14ac:dyDescent="0.2">
      <c r="B18" s="2431" t="s">
        <v>1951</v>
      </c>
      <c r="C18" s="2432" t="s">
        <v>915</v>
      </c>
      <c r="D18" s="3722">
        <v>30118.615409455899</v>
      </c>
      <c r="E18" s="3716">
        <f t="shared" si="0"/>
        <v>1.9999999999999992E-3</v>
      </c>
      <c r="F18" s="3427">
        <v>9.4658505572575644E-2</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10.834761421633974</v>
      </c>
    </row>
    <row r="22" spans="2:11" ht="24" customHeight="1" x14ac:dyDescent="0.2">
      <c r="B22" s="2438" t="s">
        <v>1953</v>
      </c>
      <c r="C22" s="2432" t="s">
        <v>919</v>
      </c>
      <c r="D22" s="3722">
        <v>542318.17365175905</v>
      </c>
      <c r="E22" s="3714">
        <f t="shared" si="0"/>
        <v>2.9570937810723713E-3</v>
      </c>
      <c r="F22" s="3425">
        <v>2.5200775264785102</v>
      </c>
    </row>
    <row r="23" spans="2:11" ht="24" customHeight="1" thickBot="1" x14ac:dyDescent="0.25">
      <c r="B23" s="410" t="s">
        <v>920</v>
      </c>
      <c r="C23" s="411" t="s">
        <v>921</v>
      </c>
      <c r="D23" s="3725">
        <v>481674.629715544</v>
      </c>
      <c r="E23" s="3719">
        <f t="shared" si="0"/>
        <v>1.0984930806631904E-2</v>
      </c>
      <c r="F23" s="3430">
        <v>8.3146838951554631</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24299335</v>
      </c>
      <c r="N9" s="4179">
        <v>8279768.7000000002</v>
      </c>
      <c r="O9" s="4179">
        <v>453852.6</v>
      </c>
      <c r="P9" s="4180">
        <v>2020844.1</v>
      </c>
      <c r="Q9" s="4180">
        <v>1433651.1</v>
      </c>
      <c r="R9" s="4180">
        <v>184016.13</v>
      </c>
      <c r="S9" s="4180">
        <v>1192202.3</v>
      </c>
      <c r="T9" s="4180">
        <v>859650.9</v>
      </c>
      <c r="U9" s="4180">
        <v>2725593.7146999999</v>
      </c>
      <c r="V9" s="4180">
        <v>32229342.970000003</v>
      </c>
      <c r="W9" s="4180">
        <v>29316.037499999999</v>
      </c>
      <c r="X9" s="4181">
        <v>1827439.1</v>
      </c>
    </row>
    <row r="10" spans="2:24" ht="18" customHeight="1" thickTop="1" x14ac:dyDescent="0.2">
      <c r="B10" s="437" t="s">
        <v>947</v>
      </c>
      <c r="C10" s="376"/>
      <c r="D10" s="438"/>
      <c r="E10" s="438"/>
      <c r="F10" s="4149">
        <f>IF(SUM(F11:F14)=0,"NO",SUM(F11:F14))</f>
        <v>6168.7296884735242</v>
      </c>
      <c r="G10" s="4150">
        <f>IF(SUM($F10)=0,"NA",I10/$F10*1000)</f>
        <v>1.8824517183214799</v>
      </c>
      <c r="H10" s="4151">
        <f>IF(SUM($F10)=0,"NA",J10/$F10*1000)</f>
        <v>7.6207539693931417E-2</v>
      </c>
      <c r="I10" s="3192">
        <f>IF(SUM(I11:I14)=0,"NO",SUM(I11:I14))</f>
        <v>11.612335801927713</v>
      </c>
      <c r="J10" s="420">
        <f>IF(SUM(J11:J14)=0,"NO",SUM(J11:J14))</f>
        <v>0.47010371259547923</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3529.4791650616298</v>
      </c>
      <c r="G11" s="4153">
        <f>IF(SUM($F11)=0,"NA",I11/$F11*1000)</f>
        <v>1.8666666666666665</v>
      </c>
      <c r="H11" s="4154">
        <f>IF(SUM($F11)=0,"NA",J11/$F11*1000)</f>
        <v>7.1657142857142836E-2</v>
      </c>
      <c r="I11" s="3326">
        <v>6.5883611081150413</v>
      </c>
      <c r="J11" s="3327">
        <v>0.2529123927421304</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1005.98344955099</v>
      </c>
      <c r="G12" s="4155">
        <f t="shared" ref="G12:G28" si="0">IF(SUM($F12)=0,"NA",I12/$F12*1000)</f>
        <v>1.8666666666666618</v>
      </c>
      <c r="H12" s="4154">
        <f t="shared" ref="H12:H28" si="1">IF(SUM($F12)=0,"NA",J12/$F12*1000)</f>
        <v>8.3599999999999786E-2</v>
      </c>
      <c r="I12" s="3180">
        <v>1.8778357724951766</v>
      </c>
      <c r="J12" s="3327">
        <v>8.4100216382462553E-2</v>
      </c>
      <c r="L12" s="1324" t="s">
        <v>952</v>
      </c>
      <c r="M12" s="4177">
        <v>0.2292456299318</v>
      </c>
      <c r="N12" s="4177">
        <v>0.23196744360595001</v>
      </c>
      <c r="O12" s="4177">
        <v>0.21914025842731</v>
      </c>
      <c r="P12" s="4178">
        <v>0.18581273261129999</v>
      </c>
      <c r="Q12" s="4178">
        <v>0.22840060168179999</v>
      </c>
      <c r="R12" s="4178">
        <v>0.20731166036479001</v>
      </c>
      <c r="S12" s="4178">
        <v>0.81499999999999995</v>
      </c>
      <c r="T12" s="4178">
        <v>0.28229400618993999</v>
      </c>
      <c r="U12" s="4178">
        <v>0.21758190542503034</v>
      </c>
      <c r="V12" s="4178">
        <v>0.39772788874479492</v>
      </c>
      <c r="W12" s="4178">
        <v>0.1327208136835204</v>
      </c>
      <c r="X12" s="4152">
        <v>0.25180315261252162</v>
      </c>
    </row>
    <row r="13" spans="2:24" ht="18" customHeight="1" thickBot="1" x14ac:dyDescent="0.25">
      <c r="B13" s="439" t="s">
        <v>953</v>
      </c>
      <c r="C13" s="440" t="s">
        <v>2147</v>
      </c>
      <c r="D13" s="440" t="s">
        <v>2147</v>
      </c>
      <c r="E13" s="440" t="s">
        <v>2147</v>
      </c>
      <c r="F13" s="4152">
        <v>65.737347275269101</v>
      </c>
      <c r="G13" s="4155">
        <f t="shared" si="0"/>
        <v>1.9600000000000013</v>
      </c>
      <c r="H13" s="4154">
        <f t="shared" si="1"/>
        <v>5.9714285714285747E-2</v>
      </c>
      <c r="I13" s="3180">
        <v>0.12884520065952751</v>
      </c>
      <c r="J13" s="3327">
        <v>3.9254587372946426E-3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1567.5297265856354</v>
      </c>
      <c r="G14" s="4157">
        <f t="shared" si="0"/>
        <v>1.924871770840469</v>
      </c>
      <c r="H14" s="4158">
        <f t="shared" si="1"/>
        <v>8.2400762513727785E-2</v>
      </c>
      <c r="I14" s="3199">
        <f>IF(SUM(I15:I19)=0,"NO",SUM(I15:I19))</f>
        <v>3.0172937206579684</v>
      </c>
      <c r="J14" s="3085">
        <f>IF(SUM(J15:J19)=0,"NO",SUM(J15:J19))</f>
        <v>0.1291656447335916</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216.28717309579301</v>
      </c>
      <c r="G15" s="4159">
        <f t="shared" si="0"/>
        <v>1.8666666666666629</v>
      </c>
      <c r="H15" s="4160">
        <f t="shared" si="1"/>
        <v>9.5542857142856943E-2</v>
      </c>
      <c r="I15" s="3328">
        <v>0.4037360564454795</v>
      </c>
      <c r="J15" s="3327">
        <v>2.0664694480923725E-2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196.40519452448899</v>
      </c>
      <c r="G16" s="4161">
        <f t="shared" si="0"/>
        <v>1.8666666666666667</v>
      </c>
      <c r="H16" s="4162">
        <f t="shared" si="1"/>
        <v>7.165714285714285E-2</v>
      </c>
      <c r="I16" s="3329">
        <v>0.36662302977904609</v>
      </c>
      <c r="J16" s="3327">
        <v>1.4073835081926238E-2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23.526449374997501</v>
      </c>
      <c r="G17" s="4161">
        <f t="shared" si="0"/>
        <v>1.8666666666666625</v>
      </c>
      <c r="H17" s="4162">
        <f t="shared" si="1"/>
        <v>7.1657142857142711E-2</v>
      </c>
      <c r="I17" s="3329">
        <v>4.391603883332857E-2</v>
      </c>
      <c r="J17" s="3327">
        <v>1.6858381437855317E-3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977.55247533696001</v>
      </c>
      <c r="G18" s="4161">
        <f t="shared" si="0"/>
        <v>1.96</v>
      </c>
      <c r="H18" s="4162">
        <f t="shared" si="1"/>
        <v>8.3600000000000008E-2</v>
      </c>
      <c r="I18" s="3329">
        <v>1.9160028516604417</v>
      </c>
      <c r="J18" s="3327">
        <v>8.172338693816987E-2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153.75843425339599</v>
      </c>
      <c r="G19" s="4161">
        <f t="shared" si="0"/>
        <v>1.8666666666666689</v>
      </c>
      <c r="H19" s="4162">
        <f t="shared" si="1"/>
        <v>7.1657142857142933E-2</v>
      </c>
      <c r="I19" s="3329">
        <v>0.28701574393967283</v>
      </c>
      <c r="J19" s="3327">
        <v>1.1017890088786217E-2</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339.28522831317002</v>
      </c>
      <c r="G20" s="4165">
        <f t="shared" si="0"/>
        <v>1.8666666666666676</v>
      </c>
      <c r="H20" s="4166">
        <f t="shared" si="1"/>
        <v>0.10748571428571432</v>
      </c>
      <c r="I20" s="3220">
        <f>I21</f>
        <v>0.6333324261845843</v>
      </c>
      <c r="J20" s="449">
        <f>J21</f>
        <v>3.6468315111832746E-2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339.28522831317002</v>
      </c>
      <c r="G21" s="4168">
        <f t="shared" si="0"/>
        <v>1.8666666666666676</v>
      </c>
      <c r="H21" s="4158">
        <f t="shared" si="1"/>
        <v>0.10748571428571432</v>
      </c>
      <c r="I21" s="3199">
        <f>I22</f>
        <v>0.6333324261845843</v>
      </c>
      <c r="J21" s="3085">
        <f>J22</f>
        <v>3.6468315111832746E-2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339.28522831317002</v>
      </c>
      <c r="G22" s="4170">
        <f t="shared" si="0"/>
        <v>1.8666666666666676</v>
      </c>
      <c r="H22" s="4171">
        <f t="shared" si="1"/>
        <v>0.10748571428571432</v>
      </c>
      <c r="I22" s="3330">
        <v>0.6333324261845843</v>
      </c>
      <c r="J22" s="3331">
        <v>3.6468315111832746E-2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615.28840968431996</v>
      </c>
      <c r="G26" s="4175">
        <f t="shared" si="0"/>
        <v>1.8666666666666674</v>
      </c>
      <c r="H26" s="4176">
        <f t="shared" si="1"/>
        <v>5.9714285714285727E-2</v>
      </c>
      <c r="I26" s="3332">
        <v>1.1485383647440643</v>
      </c>
      <c r="J26" s="3333">
        <v>3.674150789257797E-2</v>
      </c>
      <c r="L26" s="159"/>
    </row>
    <row r="27" spans="2:24" ht="18" customHeight="1" x14ac:dyDescent="0.2">
      <c r="B27" s="446" t="s">
        <v>963</v>
      </c>
      <c r="C27" s="447"/>
      <c r="D27" s="448"/>
      <c r="E27" s="448"/>
      <c r="F27" s="4164">
        <f>IF(SUM(F28:F29)=0,"NO",SUM(F28:F29))</f>
        <v>442.64060332710426</v>
      </c>
      <c r="G27" s="4165">
        <f t="shared" si="0"/>
        <v>1.8670037558630062</v>
      </c>
      <c r="H27" s="4166">
        <f t="shared" si="1"/>
        <v>0.10778764989443394</v>
      </c>
      <c r="I27" s="3220">
        <f>IF(SUM(I28:I29)=0,"NO",SUM(I28:I29))</f>
        <v>0.82641166890917073</v>
      </c>
      <c r="J27" s="449">
        <f>IF(SUM(J28:J29)=0,"NO",SUM(J28:J29))</f>
        <v>4.7711190380482923E-2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1.5986717704492599</v>
      </c>
      <c r="G28" s="4161">
        <f t="shared" si="0"/>
        <v>1.9600000000000055</v>
      </c>
      <c r="H28" s="4162">
        <f t="shared" si="1"/>
        <v>0.1910857142857148</v>
      </c>
      <c r="I28" s="3329">
        <v>3.133396670080558E-3</v>
      </c>
      <c r="J28" s="3327">
        <v>3.0548333716470512E-4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441.04193155665502</v>
      </c>
      <c r="G29" s="4161">
        <f t="shared" ref="G29" si="2">IF(SUM($F29)=0,"NA",I29/$F29*1000)</f>
        <v>1.8666666666666685</v>
      </c>
      <c r="H29" s="4162">
        <f t="shared" ref="H29" si="3">IF(SUM($F29)=0,"NA",J29/$F29*1000)</f>
        <v>0.10748571428571438</v>
      </c>
      <c r="I29" s="3329">
        <v>0.82327827223909011</v>
      </c>
      <c r="J29" s="3327">
        <v>4.7405707043318215E-2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1021.2878336833335</v>
      </c>
    </row>
    <row r="11" spans="2:5" s="83" customFormat="1" ht="18" customHeight="1" x14ac:dyDescent="0.2">
      <c r="B11" s="1854" t="s">
        <v>972</v>
      </c>
      <c r="C11" s="4187">
        <v>2353185.7000000002</v>
      </c>
      <c r="D11" s="3594">
        <f>IF(SUM(C11)=0,"NA",E11*1000/(44/12)/C11)</f>
        <v>0.10800000000000001</v>
      </c>
      <c r="E11" s="3431">
        <v>931.86153720000016</v>
      </c>
    </row>
    <row r="12" spans="2:5" s="83" customFormat="1" ht="18" customHeight="1" x14ac:dyDescent="0.2">
      <c r="B12" s="1854" t="s">
        <v>973</v>
      </c>
      <c r="C12" s="4187">
        <v>197481.7</v>
      </c>
      <c r="D12" s="3594">
        <f t="shared" ref="D12:D16" si="0">IF(SUM(C12)=0,"NA",E12*1000/(44/12)/C12)</f>
        <v>0.12350000000000001</v>
      </c>
      <c r="E12" s="3431">
        <v>89.426296483333346</v>
      </c>
    </row>
    <row r="13" spans="2:5" s="83" customFormat="1" ht="18" customHeight="1" x14ac:dyDescent="0.2">
      <c r="B13" s="846" t="s">
        <v>974</v>
      </c>
      <c r="C13" s="4188">
        <v>1239715.8635656501</v>
      </c>
      <c r="D13" s="4189">
        <f t="shared" si="0"/>
        <v>0.20000000000000021</v>
      </c>
      <c r="E13" s="3432">
        <v>909.124966614811</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44897.60215589514</v>
      </c>
      <c r="D10" s="2989">
        <f t="shared" ref="D10:H10" si="0">IF(SUM(D11,D14,D17,D20,D23,D26,D29:D30)=0,"NO",SUM(D11,D14,D17,D20,D23,D26,D29:D30))</f>
        <v>714.72712296061309</v>
      </c>
      <c r="E10" s="2989">
        <f t="shared" si="0"/>
        <v>16.768273043612375</v>
      </c>
      <c r="F10" s="2989">
        <f t="shared" si="0"/>
        <v>995.05823893509785</v>
      </c>
      <c r="G10" s="2989">
        <f t="shared" si="0"/>
        <v>26448.550013182299</v>
      </c>
      <c r="H10" s="2990">
        <f t="shared" si="0"/>
        <v>802.50097589599955</v>
      </c>
      <c r="I10" s="2991">
        <f>IF(SUM(C10:E10)=0,"NO",SUM(C10)+28*SUM(D10)+265*SUM(E10))</f>
        <v>69353.553955349576</v>
      </c>
    </row>
    <row r="11" spans="2:9" ht="18" customHeight="1" x14ac:dyDescent="0.2">
      <c r="B11" s="473" t="s">
        <v>981</v>
      </c>
      <c r="C11" s="2992">
        <f>IF(SUM(C12:C13)=0,"NO",SUM(C12:C13))</f>
        <v>-32448.668831322979</v>
      </c>
      <c r="D11" s="2992">
        <f t="shared" ref="D11:H11" si="1">IF(SUM(D12:D13)=0,"NO",SUM(D12:D13))</f>
        <v>238.05376762398771</v>
      </c>
      <c r="E11" s="2992">
        <f t="shared" si="1"/>
        <v>4.7650262664799552</v>
      </c>
      <c r="F11" s="2992">
        <f t="shared" si="1"/>
        <v>264.48486765167388</v>
      </c>
      <c r="G11" s="2992">
        <f t="shared" si="1"/>
        <v>7024.4787891725837</v>
      </c>
      <c r="H11" s="2993">
        <f t="shared" si="1"/>
        <v>216.11550218752129</v>
      </c>
      <c r="I11" s="2994">
        <f t="shared" ref="I11:I32" si="2">IF(SUM(C11:E11)=0,"NO",SUM(C11)+28*SUM(D11)+265*SUM(E11))</f>
        <v>-24520.431377234134</v>
      </c>
    </row>
    <row r="12" spans="2:9" ht="18" customHeight="1" x14ac:dyDescent="0.2">
      <c r="B12" s="474" t="s">
        <v>982</v>
      </c>
      <c r="C12" s="2995">
        <f>IF(SUM(Table4.A!U11,'Table4(IV)'!J12)=0,"NO",SUM(Table4.A!U11,'Table4(IV)'!J12))</f>
        <v>-12031.978380880282</v>
      </c>
      <c r="D12" s="2995">
        <f>'Table4(IV)'!K12</f>
        <v>236.36971698572535</v>
      </c>
      <c r="E12" s="2995">
        <f>IF(SUM('Table4(III)'!I12,'Table4(IV)'!L12)=0,"NO",SUM('Table4(III)'!I12,'Table4(IV)'!L12))</f>
        <v>4.2436965576255892</v>
      </c>
      <c r="F12" s="2905">
        <v>263.35196891812484</v>
      </c>
      <c r="G12" s="2905">
        <v>6982.3992990907054</v>
      </c>
      <c r="H12" s="2906">
        <v>211.4639388641954</v>
      </c>
      <c r="I12" s="2996">
        <f t="shared" si="2"/>
        <v>-4289.0467175091908</v>
      </c>
    </row>
    <row r="13" spans="2:9" ht="18" customHeight="1" thickBot="1" x14ac:dyDescent="0.25">
      <c r="B13" s="475" t="s">
        <v>983</v>
      </c>
      <c r="C13" s="2997">
        <f>IF(SUM(Table4.A!U16,'Table4(IV)'!J19)=0,"NO",SUM(Table4.A!U16,'Table4(IV)'!J19))</f>
        <v>-20416.690450442697</v>
      </c>
      <c r="D13" s="2997">
        <f>'Table4(IV)'!K19</f>
        <v>1.6840506382623492</v>
      </c>
      <c r="E13" s="2997">
        <f>IF(SUM('Table4(III)'!I13,'Table4(IV)'!L19)=0,"NO",SUM('Table4(III)'!I13,'Table4(IV)'!L19))</f>
        <v>0.52132970885436625</v>
      </c>
      <c r="F13" s="2908">
        <v>1.1328987335490412</v>
      </c>
      <c r="G13" s="2908">
        <v>42.079490081878077</v>
      </c>
      <c r="H13" s="2907">
        <v>4.65156332332589</v>
      </c>
      <c r="I13" s="2998">
        <f t="shared" si="2"/>
        <v>-20231.384659724947</v>
      </c>
    </row>
    <row r="14" spans="2:9" ht="18" customHeight="1" x14ac:dyDescent="0.2">
      <c r="B14" s="473" t="s">
        <v>984</v>
      </c>
      <c r="C14" s="2992">
        <f>IF(SUM(C15:C16)=0,"NO",SUM(C15:C16))</f>
        <v>6036.0685759903345</v>
      </c>
      <c r="D14" s="2992">
        <f t="shared" ref="D14" si="3">IF(SUM(D15:D16)=0,"NO",SUM(D15:D16))</f>
        <v>4.8257640000000004</v>
      </c>
      <c r="E14" s="2992">
        <f t="shared" ref="E14" si="4">IF(SUM(E15:E16)=0,"NO",SUM(E15:E16))</f>
        <v>0.19250837028800044</v>
      </c>
      <c r="F14" s="2992">
        <f t="shared" ref="F14" si="5">IF(SUM(F15:F16)=0,"NO",SUM(F15:F16))</f>
        <v>3.6336853928571422</v>
      </c>
      <c r="G14" s="2992">
        <f t="shared" ref="G14" si="6">IF(SUM(G15:G16)=0,"NO",SUM(G15:G16))</f>
        <v>142.31535500000001</v>
      </c>
      <c r="H14" s="2993">
        <f t="shared" ref="H14" si="7">IF(SUM(H15:H16)=0,"NO",SUM(H15:H16))</f>
        <v>17.202954999999999</v>
      </c>
      <c r="I14" s="2999">
        <f t="shared" si="2"/>
        <v>6222.2046861166546</v>
      </c>
    </row>
    <row r="15" spans="2:9" ht="18" customHeight="1" x14ac:dyDescent="0.2">
      <c r="B15" s="474" t="s">
        <v>985</v>
      </c>
      <c r="C15" s="2995">
        <f>IF(SUM(Table4.B!S11,'Table4(IV)'!J26)=0,"NO",SUM(Table4.B!S11,'Table4(IV)'!J26))</f>
        <v>-157.00393081804455</v>
      </c>
      <c r="D15" s="2995" t="str">
        <f>'Table4(IV)'!K26</f>
        <v>IE</v>
      </c>
      <c r="E15" s="2995" t="str">
        <f>'Table4(IV)'!L26</f>
        <v>IE</v>
      </c>
      <c r="F15" s="2905" t="s">
        <v>2153</v>
      </c>
      <c r="G15" s="2905" t="s">
        <v>2153</v>
      </c>
      <c r="H15" s="2906" t="s">
        <v>2153</v>
      </c>
      <c r="I15" s="2996">
        <f t="shared" si="2"/>
        <v>-157.00393081804455</v>
      </c>
    </row>
    <row r="16" spans="2:9" ht="18" customHeight="1" thickBot="1" x14ac:dyDescent="0.25">
      <c r="B16" s="475" t="s">
        <v>986</v>
      </c>
      <c r="C16" s="2997">
        <f>IF(SUM(Table4.B!S13,'Table4(IV)'!J31)=0,"IE",SUM(Table4.B!S13,'Table4(IV)'!J31))</f>
        <v>6193.0725068083793</v>
      </c>
      <c r="D16" s="2997">
        <f>'Table4(IV)'!K31</f>
        <v>4.8257640000000004</v>
      </c>
      <c r="E16" s="2997">
        <f>IF(SUM('Table4(III)'!I21,'Table4(IV)'!L31)=0,"IE",SUM('Table4(III)'!I21,'Table4(IV)'!L31))</f>
        <v>0.19250837028800044</v>
      </c>
      <c r="F16" s="2908">
        <v>3.6336853928571422</v>
      </c>
      <c r="G16" s="2908">
        <v>142.31535500000001</v>
      </c>
      <c r="H16" s="2907">
        <v>17.202954999999999</v>
      </c>
      <c r="I16" s="2998">
        <f t="shared" si="2"/>
        <v>6379.2086169346994</v>
      </c>
    </row>
    <row r="17" spans="2:9" ht="18" customHeight="1" x14ac:dyDescent="0.2">
      <c r="B17" s="473" t="s">
        <v>987</v>
      </c>
      <c r="C17" s="2992">
        <f>IF(SUM(C18:C19)=0,"NO",SUM(C18:C19))</f>
        <v>72736.645187142451</v>
      </c>
      <c r="D17" s="2992">
        <f t="shared" ref="D17" si="8">IF(SUM(D18:D19)=0,"NO",SUM(D18:D19))</f>
        <v>375.68223636915826</v>
      </c>
      <c r="E17" s="2992">
        <f t="shared" ref="E17" si="9">IF(SUM(E18:E19)=0,"NO",SUM(E18:E19))</f>
        <v>11.29404283536058</v>
      </c>
      <c r="F17" s="2992">
        <f t="shared" ref="F17" si="10">IF(SUM(F18:F19)=0,"NO",SUM(F18:F19))</f>
        <v>698.78400945090789</v>
      </c>
      <c r="G17" s="2992">
        <f t="shared" ref="G17" si="11">IF(SUM(G18:G19)=0,"NO",SUM(G18:G19))</f>
        <v>18570.728018504058</v>
      </c>
      <c r="H17" s="2993">
        <f t="shared" ref="H17" si="12">IF(SUM(H18:H19)=0,"NO",SUM(H18:H19))</f>
        <v>557.59879146203707</v>
      </c>
      <c r="I17" s="2999">
        <f t="shared" si="2"/>
        <v>86248.669156849428</v>
      </c>
    </row>
    <row r="18" spans="2:9" ht="18" customHeight="1" x14ac:dyDescent="0.2">
      <c r="B18" s="474" t="s">
        <v>988</v>
      </c>
      <c r="C18" s="2995">
        <f>IF(SUM(Table4.C!S11,'Table4(IV)'!J37)=0,"IE",SUM(Table4.C!S11,'Table4(IV)'!J37))</f>
        <v>-6171.7038735678816</v>
      </c>
      <c r="D18" s="2995">
        <f>'Table4(IV)'!K37</f>
        <v>266.56027206054358</v>
      </c>
      <c r="E18" s="2995">
        <f>IF(SUM('Table4(III)'!I29,'Table4(IV)'!L37)=0,"NO",SUM('Table4(III)'!I29,'Table4(IV)'!L37))</f>
        <v>8.9189831078100994</v>
      </c>
      <c r="F18" s="2905">
        <v>615.66760456770862</v>
      </c>
      <c r="G18" s="2905">
        <v>15340.337596505142</v>
      </c>
      <c r="H18" s="2906">
        <v>171.84132671004798</v>
      </c>
      <c r="I18" s="2996">
        <f t="shared" si="2"/>
        <v>3655.5142676970149</v>
      </c>
    </row>
    <row r="19" spans="2:9" ht="18" customHeight="1" thickBot="1" x14ac:dyDescent="0.25">
      <c r="B19" s="475" t="s">
        <v>989</v>
      </c>
      <c r="C19" s="2997">
        <f>IF(SUM(Table4.C!S15,'Table4(IV)'!J42)=0,"IE",SUM(Table4.C!S15,'Table4(IV)'!J42))</f>
        <v>78908.34906071033</v>
      </c>
      <c r="D19" s="2997">
        <f>'Table4(IV)'!K42</f>
        <v>109.12196430861466</v>
      </c>
      <c r="E19" s="2997">
        <f>IF(SUM('Table4(III)'!I30,'Table4(IV)'!L42)=0,"NO",SUM('Table4(III)'!I30,'Table4(IV)'!L42))</f>
        <v>2.3750597275504806</v>
      </c>
      <c r="F19" s="2908">
        <v>83.116404883199309</v>
      </c>
      <c r="G19" s="2908">
        <v>3230.3904219989176</v>
      </c>
      <c r="H19" s="2907">
        <v>385.75746475198906</v>
      </c>
      <c r="I19" s="2998">
        <f t="shared" si="2"/>
        <v>82593.154889152414</v>
      </c>
    </row>
    <row r="20" spans="2:9" ht="18" customHeight="1" x14ac:dyDescent="0.2">
      <c r="B20" s="473" t="s">
        <v>2027</v>
      </c>
      <c r="C20" s="2992">
        <f>IF(SUM(C21:C22)=0,"NO",SUM(C21:C22))</f>
        <v>870.65990739696156</v>
      </c>
      <c r="D20" s="2992">
        <f t="shared" ref="D20" si="13">IF(SUM(D21:D22)=0,"NO",SUM(D21:D22))</f>
        <v>93.027220567467154</v>
      </c>
      <c r="E20" s="2992">
        <f t="shared" ref="E20" si="14">IF(SUM(E21:E22)=0,"NO",SUM(E21:E22))</f>
        <v>0.35398587456775088</v>
      </c>
      <c r="F20" s="2992">
        <f t="shared" ref="F20" si="15">IF(SUM(F21:F22)=0,"NO",SUM(F21:F22))</f>
        <v>25.792735953944618</v>
      </c>
      <c r="G20" s="2992">
        <f t="shared" ref="G20" si="16">IF(SUM(G21:G22)=0,"NO",SUM(G21:G22))</f>
        <v>618.48194250565507</v>
      </c>
      <c r="H20" s="2993">
        <f t="shared" ref="H20" si="17">IF(SUM(H21:H22)=0,"NO",SUM(H21:H22))</f>
        <v>0.39685924644112863</v>
      </c>
      <c r="I20" s="2999">
        <f t="shared" si="2"/>
        <v>3569.2283400464958</v>
      </c>
    </row>
    <row r="21" spans="2:9" ht="18" customHeight="1" x14ac:dyDescent="0.2">
      <c r="B21" s="474" t="s">
        <v>990</v>
      </c>
      <c r="C21" s="2995">
        <f>IF(SUM(Table4.D!S11,'Table4(IV)'!J49)=0,"IE",SUM(Table4.D!S11,'Table4(IV)'!J49))</f>
        <v>827.46290739696155</v>
      </c>
      <c r="D21" s="2995">
        <f>IF(SUM('Table4(IV)'!K49,'Table4(II)'!J270)=0,"NO",SUM('Table4(IV)'!K49,'Table4(II)'!J270))</f>
        <v>80.635514740557426</v>
      </c>
      <c r="E21" s="2995">
        <f>IF(SUM('Table4(II)'!I270,'Table4(III)'!I38,'Table4(IV)'!L49)=0,"NO",SUM('Table4(II)'!I270,'Table4(III)'!I38,'Table4(IV)'!L49))</f>
        <v>0.35398587456775088</v>
      </c>
      <c r="F21" s="2905">
        <v>25.792735953944618</v>
      </c>
      <c r="G21" s="2905">
        <v>618.48194250565507</v>
      </c>
      <c r="H21" s="2906">
        <v>0.39685924644112863</v>
      </c>
      <c r="I21" s="2996">
        <f t="shared" si="2"/>
        <v>3179.0635768930233</v>
      </c>
    </row>
    <row r="22" spans="2:9" ht="18" customHeight="1" thickBot="1" x14ac:dyDescent="0.25">
      <c r="B22" s="475" t="s">
        <v>991</v>
      </c>
      <c r="C22" s="2997">
        <f>IF(SUM(Table4.D!S23,'Table4(II)'!H320,'Table4(IV)'!J54)=0,"NO",SUM(Table4.D!S23,'Table4(II)'!H320,'Table4(IV)'!J54))</f>
        <v>43.197000000000003</v>
      </c>
      <c r="D22" s="2997">
        <f>IF(SUM('Table4(IV)'!K54,'Table4(II)'!J320)=0,"NO",SUM('Table4(IV)'!K54,'Table4(II)'!J320))</f>
        <v>12.391705826909723</v>
      </c>
      <c r="E22" s="2997" t="str">
        <f>IF(SUM('Table4(II)'!I320,'Table4(III)'!I39,'Table4(IV)'!L54)=0,"NO",SUM('Table4(II)'!I320,'Table4(III)'!I39,'Table4(IV)'!L54))</f>
        <v>NO</v>
      </c>
      <c r="F22" s="2908" t="s">
        <v>2153</v>
      </c>
      <c r="G22" s="2908" t="s">
        <v>2153</v>
      </c>
      <c r="H22" s="2907" t="s">
        <v>2153</v>
      </c>
      <c r="I22" s="2998">
        <f t="shared" si="2"/>
        <v>390.16476315347222</v>
      </c>
    </row>
    <row r="23" spans="2:9" ht="18" customHeight="1" x14ac:dyDescent="0.2">
      <c r="B23" s="473" t="s">
        <v>992</v>
      </c>
      <c r="C23" s="2992">
        <f>IF(SUM(C24:C25)=0,"NO",SUM(C24:C25))</f>
        <v>4540.8835016655894</v>
      </c>
      <c r="D23" s="2992">
        <f t="shared" ref="D23" si="18">IF(SUM(D24:D25)=0,"NO",SUM(D24:D25))</f>
        <v>3.1381344000000002</v>
      </c>
      <c r="E23" s="2992">
        <f t="shared" ref="E23" si="19">IF(SUM(E24:E25)=0,"NO",SUM(E24:E25))</f>
        <v>8.2051072951802972E-2</v>
      </c>
      <c r="F23" s="2992">
        <f>IF(SUM(F24:F25)=0,"NO",SUM(F24:F25))</f>
        <v>2.3629404857142857</v>
      </c>
      <c r="G23" s="2992">
        <f t="shared" ref="G23" si="20">IF(SUM(G24:G25)=0,"NO",SUM(G24:G25))</f>
        <v>92.545908000000011</v>
      </c>
      <c r="H23" s="2993">
        <f t="shared" ref="H23" si="21">IF(SUM(H24:H25)=0,"NO",SUM(H24:H25))</f>
        <v>11.186868000000002</v>
      </c>
      <c r="I23" s="2999">
        <f t="shared" si="2"/>
        <v>4650.494799197817</v>
      </c>
    </row>
    <row r="24" spans="2:9" ht="18" customHeight="1" x14ac:dyDescent="0.2">
      <c r="B24" s="474" t="s">
        <v>993</v>
      </c>
      <c r="C24" s="2995">
        <f>IF(SUM(Table4.E!S11,'Table4(IV)'!J60)=0,"IE",SUM(Table4.E!S11,'Table4(IV)'!J60))</f>
        <v>19.521474077270401</v>
      </c>
      <c r="D24" s="2995" t="str">
        <f>'Table4(IV)'!K60</f>
        <v>IE</v>
      </c>
      <c r="E24" s="2995">
        <f>IF(SUM('Table4(III)'!I47,'Table4(IV)'!L60)=0,"IE",SUM('Table4(III)'!I47,'Table4(IV)'!L60))</f>
        <v>9.5931848870852853E-4</v>
      </c>
      <c r="F24" s="2905" t="s">
        <v>2154</v>
      </c>
      <c r="G24" s="2905" t="s">
        <v>2154</v>
      </c>
      <c r="H24" s="2906" t="s">
        <v>2154</v>
      </c>
      <c r="I24" s="2996">
        <f t="shared" si="2"/>
        <v>19.775693476778162</v>
      </c>
    </row>
    <row r="25" spans="2:9" ht="18" customHeight="1" thickBot="1" x14ac:dyDescent="0.25">
      <c r="B25" s="475" t="s">
        <v>994</v>
      </c>
      <c r="C25" s="2997">
        <f>IF(SUM(Table4.E!S13,'Table4(IV)'!J65)=0,"IE",SUM(Table4.E!S13,'Table4(IV)'!J65))</f>
        <v>4521.3620275883186</v>
      </c>
      <c r="D25" s="2997">
        <f>'Table4(IV)'!K65</f>
        <v>3.1381344000000002</v>
      </c>
      <c r="E25" s="2997">
        <f>IF(SUM('Table4(III)'!I48,'Table4(IV)'!L65)=0,"NO",SUM('Table4(III)'!I48,'Table4(IV)'!L65))</f>
        <v>8.109175446309444E-2</v>
      </c>
      <c r="F25" s="2908">
        <v>2.3629404857142857</v>
      </c>
      <c r="G25" s="2908">
        <v>92.545908000000011</v>
      </c>
      <c r="H25" s="2907">
        <v>11.186868000000002</v>
      </c>
      <c r="I25" s="2998">
        <f t="shared" si="2"/>
        <v>4630.7191057210384</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-6842.5868497042429</v>
      </c>
      <c r="D29" s="3004"/>
      <c r="E29" s="3004"/>
      <c r="F29" s="3004"/>
      <c r="G29" s="3004"/>
      <c r="H29" s="3005"/>
      <c r="I29" s="3006">
        <f t="shared" si="2"/>
        <v>-6842.5868497042429</v>
      </c>
    </row>
    <row r="30" spans="2:9" ht="18" customHeight="1" x14ac:dyDescent="0.2">
      <c r="B30" s="1168" t="s">
        <v>2063</v>
      </c>
      <c r="C30" s="3007">
        <f>IF(SUM(C31:C32)=0,"NO",SUM(C31:C32))</f>
        <v>4.6006647270185557</v>
      </c>
      <c r="D30" s="3007" t="str">
        <f t="shared" ref="D30" si="27">IF(SUM(D31:D32)=0,"NO",SUM(D31:D32))</f>
        <v>NO</v>
      </c>
      <c r="E30" s="3007">
        <f t="shared" ref="E30" si="28">IF(SUM(E31:E32)=0,"NO",SUM(E31:E32))</f>
        <v>8.0658623964285719E-2</v>
      </c>
      <c r="F30" s="3007" t="str">
        <f t="shared" ref="F30" si="29">IF(SUM(F31:F32)=0,"NO",SUM(F31:F32))</f>
        <v>NO</v>
      </c>
      <c r="G30" s="3007" t="str">
        <f t="shared" ref="G30" si="30">IF(SUM(G31:G32)=0,"NO",SUM(G31:G32))</f>
        <v>NO</v>
      </c>
      <c r="H30" s="3008" t="str">
        <f t="shared" ref="H30" si="31">IF(SUM(H31:H32)=0,"NO",SUM(H31:H32))</f>
        <v>NO</v>
      </c>
      <c r="I30" s="3009">
        <f t="shared" si="2"/>
        <v>25.97520007755427</v>
      </c>
    </row>
    <row r="31" spans="2:9" ht="18" customHeight="1" x14ac:dyDescent="0.2">
      <c r="B31" s="2677" t="s">
        <v>2218</v>
      </c>
      <c r="C31" s="3010" t="s">
        <v>2146</v>
      </c>
      <c r="D31" s="3010" t="s">
        <v>2146</v>
      </c>
      <c r="E31" s="3010">
        <v>8.0658623964285719E-2</v>
      </c>
      <c r="F31" s="3010" t="s">
        <v>2146</v>
      </c>
      <c r="G31" s="3010" t="s">
        <v>2146</v>
      </c>
      <c r="H31" s="3011" t="s">
        <v>2146</v>
      </c>
      <c r="I31" s="3012">
        <f t="shared" si="2"/>
        <v>21.374535350535716</v>
      </c>
    </row>
    <row r="32" spans="2:9" ht="18" customHeight="1" thickBot="1" x14ac:dyDescent="0.25">
      <c r="B32" s="2676" t="s">
        <v>2219</v>
      </c>
      <c r="C32" s="3013">
        <v>4.6006647270185557</v>
      </c>
      <c r="D32" s="3013" t="s">
        <v>2146</v>
      </c>
      <c r="E32" s="3013" t="s">
        <v>2146</v>
      </c>
      <c r="F32" s="3014" t="s">
        <v>2146</v>
      </c>
      <c r="G32" s="3014" t="s">
        <v>2146</v>
      </c>
      <c r="H32" s="3014" t="s">
        <v>2146</v>
      </c>
      <c r="I32" s="2998">
        <f t="shared" si="2"/>
        <v>4.6006647270185557</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339322.03834284138</v>
      </c>
      <c r="D10" s="3765">
        <f t="shared" ref="D10:I10" si="0">IF(SUM(D11,D37,D47)=0,"NO",SUM(D11,D37,D47))</f>
        <v>1335.3140884653776</v>
      </c>
      <c r="E10" s="3765">
        <f t="shared" si="0"/>
        <v>11.384888177803591</v>
      </c>
      <c r="F10" s="3765">
        <f t="shared" si="0"/>
        <v>1978.4559595682679</v>
      </c>
      <c r="G10" s="3765">
        <f t="shared" si="0"/>
        <v>4425.9263089550941</v>
      </c>
      <c r="H10" s="3765">
        <f t="shared" si="0"/>
        <v>759.2579386407723</v>
      </c>
      <c r="I10" s="3766">
        <f t="shared" si="0"/>
        <v>731.43002439201177</v>
      </c>
      <c r="J10" s="3028">
        <f t="shared" ref="J10:J40" si="1">IF(SUM(C10:E10)=0,"NO",SUM(C10,IFERROR(28*D10,0),IFERROR(265*E10,0)))</f>
        <v>379727.82818698988</v>
      </c>
    </row>
    <row r="11" spans="2:10" s="83" customFormat="1" ht="18" customHeight="1" thickBot="1" x14ac:dyDescent="0.25">
      <c r="B11" s="18" t="s">
        <v>75</v>
      </c>
      <c r="C11" s="3029">
        <f>IF(SUM(C12,C16,C24,C30,C34)=0,"NO",SUM(C12,C16,C24,C30,C34))</f>
        <v>331314.54276073747</v>
      </c>
      <c r="D11" s="3029">
        <f t="shared" ref="D11:I11" si="2">IF(SUM(D12,D16,D24,D30,D34)=0,"NO",SUM(D12,D16,D24,D30,D34))</f>
        <v>96.643076039675989</v>
      </c>
      <c r="E11" s="3029">
        <f t="shared" si="2"/>
        <v>11.285943354458036</v>
      </c>
      <c r="F11" s="3029">
        <f t="shared" si="2"/>
        <v>1975.4630876835224</v>
      </c>
      <c r="G11" s="3029">
        <f t="shared" si="2"/>
        <v>4408.5684520235709</v>
      </c>
      <c r="H11" s="3029">
        <f t="shared" si="2"/>
        <v>542.92320421153204</v>
      </c>
      <c r="I11" s="3030">
        <f t="shared" si="2"/>
        <v>731.43002439201177</v>
      </c>
      <c r="J11" s="3031">
        <f t="shared" si="1"/>
        <v>337011.32387877977</v>
      </c>
    </row>
    <row r="12" spans="2:10" s="83" customFormat="1" ht="18" customHeight="1" x14ac:dyDescent="0.2">
      <c r="B12" s="26" t="s">
        <v>76</v>
      </c>
      <c r="C12" s="3029">
        <f>IF(SUM(C13:C15)=0,"NO",SUM(C13:C15))</f>
        <v>201393.4683450931</v>
      </c>
      <c r="D12" s="3029">
        <f t="shared" ref="D12:I12" si="3">IF(SUM(D13:D15)=0,"NO",SUM(D13:D15))</f>
        <v>12.967320809346326</v>
      </c>
      <c r="E12" s="3029">
        <f t="shared" si="3"/>
        <v>2.9973257240636362</v>
      </c>
      <c r="F12" s="3029">
        <f t="shared" si="3"/>
        <v>736.81085182198512</v>
      </c>
      <c r="G12" s="3029">
        <f t="shared" si="3"/>
        <v>112.25419012423671</v>
      </c>
      <c r="H12" s="3029">
        <f>IF(SUM(H13:H15)=0,"NO",SUM(H13:H15))</f>
        <v>18.753822196687558</v>
      </c>
      <c r="I12" s="3030">
        <f t="shared" si="3"/>
        <v>601.21085593566272</v>
      </c>
      <c r="J12" s="3031">
        <f t="shared" si="1"/>
        <v>202550.84464463167</v>
      </c>
    </row>
    <row r="13" spans="2:10" s="83" customFormat="1" ht="18" customHeight="1" x14ac:dyDescent="0.2">
      <c r="B13" s="20" t="s">
        <v>77</v>
      </c>
      <c r="C13" s="3032">
        <f>'Table1.A(a)s1'!H24</f>
        <v>183978.83950748999</v>
      </c>
      <c r="D13" s="3032">
        <f>'Table1.A(a)s1'!I24</f>
        <v>5.9858301002746748</v>
      </c>
      <c r="E13" s="3032">
        <f>'Table1.A(a)s1'!J24</f>
        <v>2.7079258433538165</v>
      </c>
      <c r="F13" s="3033">
        <v>593.44728324922312</v>
      </c>
      <c r="G13" s="3033">
        <v>77.341160106698979</v>
      </c>
      <c r="H13" s="3033">
        <v>7.1385994125688006</v>
      </c>
      <c r="I13" s="3034">
        <v>588.48212581077519</v>
      </c>
      <c r="J13" s="3035">
        <f t="shared" si="1"/>
        <v>184864.04309878644</v>
      </c>
    </row>
    <row r="14" spans="2:10" s="83" customFormat="1" ht="18" customHeight="1" x14ac:dyDescent="0.2">
      <c r="B14" s="20" t="s">
        <v>78</v>
      </c>
      <c r="C14" s="3032">
        <f>'Table1.A(a)s1'!H53</f>
        <v>6190.7861534327794</v>
      </c>
      <c r="D14" s="3032">
        <f>'Table1.A(a)s1'!I53</f>
        <v>7.4208780017315942E-2</v>
      </c>
      <c r="E14" s="3032">
        <f>'Table1.A(a)s1'!J53</f>
        <v>5.1172651622510779E-2</v>
      </c>
      <c r="F14" s="3033">
        <v>38.042770739653648</v>
      </c>
      <c r="G14" s="3033">
        <v>4.9015935429437176</v>
      </c>
      <c r="H14" s="3033">
        <v>8.9131614867532363E-2</v>
      </c>
      <c r="I14" s="3034">
        <v>5.2675599797570793</v>
      </c>
      <c r="J14" s="3035">
        <f t="shared" si="1"/>
        <v>6206.4247519532291</v>
      </c>
    </row>
    <row r="15" spans="2:10" s="83" customFormat="1" ht="18" customHeight="1" thickBot="1" x14ac:dyDescent="0.25">
      <c r="B15" s="21" t="s">
        <v>79</v>
      </c>
      <c r="C15" s="3036">
        <f>'Table1.A(a)s1'!H60</f>
        <v>11223.842684170355</v>
      </c>
      <c r="D15" s="3036">
        <f>'Table1.A(a)s1'!I60</f>
        <v>6.9072819290543359</v>
      </c>
      <c r="E15" s="3036">
        <f>'Table1.A(a)s1'!J60</f>
        <v>0.23822722908730892</v>
      </c>
      <c r="F15" s="3037">
        <v>105.32079783310832</v>
      </c>
      <c r="G15" s="3037">
        <v>30.011436474594028</v>
      </c>
      <c r="H15" s="3037">
        <v>11.526091169251224</v>
      </c>
      <c r="I15" s="3038">
        <v>7.4611701451304482</v>
      </c>
      <c r="J15" s="3039">
        <f t="shared" si="1"/>
        <v>11480.376793892014</v>
      </c>
    </row>
    <row r="16" spans="2:10" s="83" customFormat="1" ht="18" customHeight="1" x14ac:dyDescent="0.2">
      <c r="B16" s="25" t="s">
        <v>80</v>
      </c>
      <c r="C16" s="3029">
        <f>IF(SUM(C17:C23)=0,"NO",SUM(C17:C23))</f>
        <v>38705.238695703512</v>
      </c>
      <c r="D16" s="3029">
        <f t="shared" ref="D16:I16" si="4">IF(SUM(D17:D23)=0,"NO",SUM(D17:D23))</f>
        <v>2.0836131048420281</v>
      </c>
      <c r="E16" s="3029">
        <f t="shared" si="4"/>
        <v>1.2472585483209395</v>
      </c>
      <c r="F16" s="3029">
        <f t="shared" si="4"/>
        <v>554.95375393660163</v>
      </c>
      <c r="G16" s="3029">
        <f t="shared" si="4"/>
        <v>168.38324580316032</v>
      </c>
      <c r="H16" s="3029">
        <f t="shared" si="4"/>
        <v>65.189750979421092</v>
      </c>
      <c r="I16" s="3030">
        <f t="shared" si="4"/>
        <v>97.219040421454778</v>
      </c>
      <c r="J16" s="3031">
        <f t="shared" si="1"/>
        <v>39094.103377944142</v>
      </c>
    </row>
    <row r="17" spans="2:10" s="83" customFormat="1" ht="18" customHeight="1" x14ac:dyDescent="0.2">
      <c r="B17" s="20" t="s">
        <v>81</v>
      </c>
      <c r="C17" s="3032">
        <f>'Table1.A(a)s2'!H17</f>
        <v>2756.8649302742715</v>
      </c>
      <c r="D17" s="3032">
        <f>'Table1.A(a)s2'!I17</f>
        <v>7.3147899211957856E-2</v>
      </c>
      <c r="E17" s="3032">
        <f>'Table1.A(a)s2'!J17</f>
        <v>3.3785340337564328E-2</v>
      </c>
      <c r="F17" s="3033">
        <v>28.998672095802824</v>
      </c>
      <c r="G17" s="3033">
        <v>6.2141244178464428</v>
      </c>
      <c r="H17" s="3033">
        <v>1.7562221411269456</v>
      </c>
      <c r="I17" s="3034">
        <v>10.971971462887993</v>
      </c>
      <c r="J17" s="3035">
        <f t="shared" si="1"/>
        <v>2767.8661866416605</v>
      </c>
    </row>
    <row r="18" spans="2:10" s="83" customFormat="1" ht="18" customHeight="1" x14ac:dyDescent="0.2">
      <c r="B18" s="20" t="s">
        <v>82</v>
      </c>
      <c r="C18" s="3032">
        <f>'Table1.A(a)s2'!H24</f>
        <v>12694.445554027559</v>
      </c>
      <c r="D18" s="3032">
        <f>'Table1.A(a)s2'!I24</f>
        <v>0.23704919780693068</v>
      </c>
      <c r="E18" s="3032">
        <f>'Table1.A(a)s2'!J24</f>
        <v>0.13673191024186576</v>
      </c>
      <c r="F18" s="3033">
        <v>82.650197565632553</v>
      </c>
      <c r="G18" s="3033">
        <v>13.179891761986054</v>
      </c>
      <c r="H18" s="3033">
        <v>1.5009506130605637</v>
      </c>
      <c r="I18" s="3034">
        <v>53.734716239160477</v>
      </c>
      <c r="J18" s="3035">
        <f t="shared" si="1"/>
        <v>12737.316887780249</v>
      </c>
    </row>
    <row r="19" spans="2:10" s="83" customFormat="1" ht="18" customHeight="1" x14ac:dyDescent="0.2">
      <c r="B19" s="20" t="s">
        <v>83</v>
      </c>
      <c r="C19" s="3032">
        <f>'Table1.A(a)s2'!H31</f>
        <v>6133.8156487592005</v>
      </c>
      <c r="D19" s="3032">
        <f>'Table1.A(a)s2'!I31</f>
        <v>0.23017969168308278</v>
      </c>
      <c r="E19" s="3032">
        <f>'Table1.A(a)s2'!J31</f>
        <v>6.9765992681504657E-2</v>
      </c>
      <c r="F19" s="3033">
        <v>47.134152230773275</v>
      </c>
      <c r="G19" s="3033">
        <v>16.354803595230443</v>
      </c>
      <c r="H19" s="3033">
        <v>10.848830692375335</v>
      </c>
      <c r="I19" s="3034">
        <v>4.5433312537984802</v>
      </c>
      <c r="J19" s="3035">
        <f t="shared" si="1"/>
        <v>6158.748668186925</v>
      </c>
    </row>
    <row r="20" spans="2:10" s="83" customFormat="1" ht="18" customHeight="1" x14ac:dyDescent="0.2">
      <c r="B20" s="20" t="s">
        <v>84</v>
      </c>
      <c r="C20" s="3032">
        <f>'Table1.A(a)s2'!H38</f>
        <v>1463.6228729442555</v>
      </c>
      <c r="D20" s="3032">
        <f>'Table1.A(a)s2'!I38</f>
        <v>0.18758557142857141</v>
      </c>
      <c r="E20" s="3032">
        <f>'Table1.A(a)s2'!J38</f>
        <v>0.12487593809523811</v>
      </c>
      <c r="F20" s="3033">
        <v>5.5671772380952369</v>
      </c>
      <c r="G20" s="3033">
        <v>4.4506449999999997</v>
      </c>
      <c r="H20" s="3033">
        <v>0.15234371904761901</v>
      </c>
      <c r="I20" s="3034">
        <v>2.7544584345479084</v>
      </c>
      <c r="J20" s="3035">
        <f t="shared" si="1"/>
        <v>1501.9673925394936</v>
      </c>
    </row>
    <row r="21" spans="2:10" s="83" customFormat="1" ht="18" customHeight="1" x14ac:dyDescent="0.2">
      <c r="B21" s="20" t="s">
        <v>85</v>
      </c>
      <c r="C21" s="3032">
        <f>'Table1.A(a)s2'!H45</f>
        <v>2489.6015910083179</v>
      </c>
      <c r="D21" s="3032">
        <f>'Table1.A(a)s2'!I45</f>
        <v>0.8067537476825406</v>
      </c>
      <c r="E21" s="3032">
        <f>'Table1.A(a)s2'!J45</f>
        <v>0.52461202868475487</v>
      </c>
      <c r="F21" s="3033">
        <v>20.695781901035026</v>
      </c>
      <c r="G21" s="3033">
        <v>19.975596657754682</v>
      </c>
      <c r="H21" s="3033">
        <v>0.97680989615459768</v>
      </c>
      <c r="I21" s="3034">
        <v>4.3516468151147105</v>
      </c>
      <c r="J21" s="3035">
        <f t="shared" si="1"/>
        <v>2651.2128835448893</v>
      </c>
    </row>
    <row r="22" spans="2:10" s="83" customFormat="1" ht="18" customHeight="1" x14ac:dyDescent="0.2">
      <c r="B22" s="20" t="s">
        <v>86</v>
      </c>
      <c r="C22" s="3032">
        <f>'Table1.A(a)s2'!H52</f>
        <v>5478.0536556278585</v>
      </c>
      <c r="D22" s="3032">
        <f>'Table1.A(a)s2'!I52</f>
        <v>0.16873134288710515</v>
      </c>
      <c r="E22" s="3032">
        <f>'Table1.A(a)s2'!J52</f>
        <v>4.3542659002004637E-2</v>
      </c>
      <c r="F22" s="3033">
        <v>73.815152760539505</v>
      </c>
      <c r="G22" s="3033">
        <v>13.885391779168978</v>
      </c>
      <c r="H22" s="3033">
        <v>6.2986550949146984</v>
      </c>
      <c r="I22" s="3034">
        <v>10.683690999297777</v>
      </c>
      <c r="J22" s="3035">
        <f t="shared" si="1"/>
        <v>5494.3169378642287</v>
      </c>
    </row>
    <row r="23" spans="2:10" s="83" customFormat="1" ht="18" customHeight="1" thickBot="1" x14ac:dyDescent="0.25">
      <c r="B23" s="3060" t="s">
        <v>2115</v>
      </c>
      <c r="C23" s="3032">
        <f>'Table1.A(a)s2'!H59</f>
        <v>7688.8344430620491</v>
      </c>
      <c r="D23" s="3032">
        <f>'Table1.A(a)s2'!I59</f>
        <v>0.38016565414183967</v>
      </c>
      <c r="E23" s="3032">
        <f>'Table1.A(a)s2'!J59</f>
        <v>0.31394467927800723</v>
      </c>
      <c r="F23" s="3033">
        <v>296.09262014472318</v>
      </c>
      <c r="G23" s="3033">
        <v>94.322792591173709</v>
      </c>
      <c r="H23" s="3033">
        <v>43.655938822741334</v>
      </c>
      <c r="I23" s="3034">
        <v>10.179225216647419</v>
      </c>
      <c r="J23" s="3035">
        <f t="shared" si="1"/>
        <v>7782.6744213866932</v>
      </c>
    </row>
    <row r="24" spans="2:10" s="83" customFormat="1" ht="18" customHeight="1" x14ac:dyDescent="0.2">
      <c r="B24" s="25" t="s">
        <v>87</v>
      </c>
      <c r="C24" s="3029">
        <f>IF(SUM(C25:C29)=0,"NO",SUM(C25:C29))</f>
        <v>73052.312407992649</v>
      </c>
      <c r="D24" s="3029">
        <f t="shared" ref="D24:I24" si="5">IF(SUM(D25:D29)=0,"NO",SUM(D25:D29))</f>
        <v>26.322056482199386</v>
      </c>
      <c r="E24" s="3029">
        <f t="shared" si="5"/>
        <v>6.4041698370851234</v>
      </c>
      <c r="F24" s="3029">
        <f t="shared" si="5"/>
        <v>362.23113515766823</v>
      </c>
      <c r="G24" s="3029">
        <f t="shared" si="5"/>
        <v>3311.7269104807315</v>
      </c>
      <c r="H24" s="3029">
        <f t="shared" si="5"/>
        <v>330.66427554318403</v>
      </c>
      <c r="I24" s="3030">
        <f t="shared" si="5"/>
        <v>25.585236766764865</v>
      </c>
      <c r="J24" s="3031">
        <f t="shared" si="1"/>
        <v>75486.434996321783</v>
      </c>
    </row>
    <row r="25" spans="2:10" s="83" customFormat="1" ht="18" customHeight="1" x14ac:dyDescent="0.2">
      <c r="B25" s="20" t="s">
        <v>88</v>
      </c>
      <c r="C25" s="1878">
        <f>'Table1.A(a)s3'!H16</f>
        <v>4929.6235640423147</v>
      </c>
      <c r="D25" s="1878">
        <f>'Table1.A(a)s3'!I16</f>
        <v>2.9697673519499122E-2</v>
      </c>
      <c r="E25" s="1878">
        <f>'Table1.A(a)s3'!J16</f>
        <v>4.2947028804596304E-2</v>
      </c>
      <c r="F25" s="3033">
        <v>16.756687952232486</v>
      </c>
      <c r="G25" s="3033">
        <v>11.164302227032334</v>
      </c>
      <c r="H25" s="3033">
        <v>1.0965379809433189</v>
      </c>
      <c r="I25" s="3034">
        <v>0.58174799882960837</v>
      </c>
      <c r="J25" s="3035">
        <f t="shared" si="1"/>
        <v>4941.836061534078</v>
      </c>
    </row>
    <row r="26" spans="2:10" s="83" customFormat="1" ht="18" customHeight="1" x14ac:dyDescent="0.2">
      <c r="B26" s="20" t="s">
        <v>89</v>
      </c>
      <c r="C26" s="1878">
        <f>'Table1.A(a)s3'!H20</f>
        <v>63932.213247558786</v>
      </c>
      <c r="D26" s="1878">
        <f>'Table1.A(a)s3'!I20</f>
        <v>22.024783459133182</v>
      </c>
      <c r="E26" s="1878">
        <f>'Table1.A(a)s3'!J20</f>
        <v>5.6540293516436293</v>
      </c>
      <c r="F26" s="3033">
        <v>287.6961735186602</v>
      </c>
      <c r="G26" s="3033">
        <v>3075.0539606099355</v>
      </c>
      <c r="H26" s="3033">
        <v>291.18951877713471</v>
      </c>
      <c r="I26" s="3034">
        <v>12.396929347499707</v>
      </c>
      <c r="J26" s="3035">
        <f t="shared" si="1"/>
        <v>66047.22496260007</v>
      </c>
    </row>
    <row r="27" spans="2:10" s="83" customFormat="1" ht="18" customHeight="1" x14ac:dyDescent="0.2">
      <c r="B27" s="20" t="s">
        <v>90</v>
      </c>
      <c r="C27" s="1878">
        <f>'Table1.A(a)s3'!H81</f>
        <v>1567.3264683667851</v>
      </c>
      <c r="D27" s="1878">
        <f>'Table1.A(a)s3'!I81</f>
        <v>8.963080000000001E-2</v>
      </c>
      <c r="E27" s="1878">
        <f>'Table1.A(a)s3'!J81</f>
        <v>0.67223099999999991</v>
      </c>
      <c r="F27" s="3033">
        <v>34.283780999999991</v>
      </c>
      <c r="G27" s="3033">
        <v>4.526355399999999</v>
      </c>
      <c r="H27" s="3033">
        <v>1.5909466999999999</v>
      </c>
      <c r="I27" s="3034">
        <v>1.2776780175438593</v>
      </c>
      <c r="J27" s="3035">
        <f t="shared" si="1"/>
        <v>1747.9773457667852</v>
      </c>
    </row>
    <row r="28" spans="2:10" s="83" customFormat="1" ht="18" customHeight="1" x14ac:dyDescent="0.2">
      <c r="B28" s="20" t="s">
        <v>91</v>
      </c>
      <c r="C28" s="1878">
        <f>'Table1.A(a)s3'!H88</f>
        <v>1850.3113358639084</v>
      </c>
      <c r="D28" s="1878">
        <f>'Table1.A(a)s3'!I88</f>
        <v>4.0356682545816085</v>
      </c>
      <c r="E28" s="1878">
        <f>'Table1.A(a)s3'!J88</f>
        <v>3.3418933192197811E-2</v>
      </c>
      <c r="F28" s="3033">
        <v>20.597476597184546</v>
      </c>
      <c r="G28" s="3033">
        <v>216.00577167924382</v>
      </c>
      <c r="H28" s="3033">
        <v>36.085873702901026</v>
      </c>
      <c r="I28" s="3034">
        <v>11.323784281658968</v>
      </c>
      <c r="J28" s="3035">
        <f t="shared" si="1"/>
        <v>1972.1660642881259</v>
      </c>
    </row>
    <row r="29" spans="2:10" s="83" customFormat="1" ht="18" customHeight="1" thickBot="1" x14ac:dyDescent="0.25">
      <c r="B29" s="22" t="s">
        <v>92</v>
      </c>
      <c r="C29" s="1881">
        <f>'Table1.A(a)s3'!H99</f>
        <v>772.83779216086236</v>
      </c>
      <c r="D29" s="1881">
        <f>'Table1.A(a)s3'!I99</f>
        <v>0.14227629496509572</v>
      </c>
      <c r="E29" s="1881">
        <f>'Table1.A(a)s3'!J99</f>
        <v>1.5435234447005654E-3</v>
      </c>
      <c r="F29" s="3040">
        <v>2.8970160895910273</v>
      </c>
      <c r="G29" s="3040">
        <v>4.9765205645197925</v>
      </c>
      <c r="H29" s="3040">
        <v>0.70139838220497164</v>
      </c>
      <c r="I29" s="3041">
        <v>5.0971212327231867E-3</v>
      </c>
      <c r="J29" s="3042">
        <f t="shared" si="1"/>
        <v>777.2305621327306</v>
      </c>
    </row>
    <row r="30" spans="2:10" ht="18" customHeight="1" x14ac:dyDescent="0.2">
      <c r="B30" s="26" t="s">
        <v>93</v>
      </c>
      <c r="C30" s="3029">
        <f>IF(SUM(C31:C33)=0,"NO",SUM(C31:C33))</f>
        <v>17571.427876691756</v>
      </c>
      <c r="D30" s="3029">
        <f t="shared" ref="D30" si="6">IF(SUM(D31:D33)=0,"NO",SUM(D31:D33))</f>
        <v>55.246256990482443</v>
      </c>
      <c r="E30" s="3029">
        <f t="shared" ref="E30" si="7">IF(SUM(E31:E33)=0,"NO",SUM(E31:E33))</f>
        <v>0.62101485581758986</v>
      </c>
      <c r="F30" s="3029">
        <f t="shared" ref="F30" si="8">IF(SUM(F31:F33)=0,"NO",SUM(F31:F33))</f>
        <v>317.1030769118226</v>
      </c>
      <c r="G30" s="3029">
        <f t="shared" ref="G30" si="9">IF(SUM(G31:G33)=0,"NO",SUM(G31:G33))</f>
        <v>811.12186785227277</v>
      </c>
      <c r="H30" s="3029">
        <f t="shared" ref="H30" si="10">IF(SUM(H31:H33)=0,"NO",SUM(H31:H33))</f>
        <v>127.80605300814679</v>
      </c>
      <c r="I30" s="3030">
        <f t="shared" ref="I30" si="11">IF(SUM(I31:I33)=0,"NO",SUM(I31:I33))</f>
        <v>7.23503881764805</v>
      </c>
      <c r="J30" s="3043">
        <f t="shared" si="1"/>
        <v>19282.892009216925</v>
      </c>
    </row>
    <row r="31" spans="2:10" ht="18" customHeight="1" x14ac:dyDescent="0.2">
      <c r="B31" s="20" t="s">
        <v>94</v>
      </c>
      <c r="C31" s="3032">
        <f>'Table1.A(a)s4'!H17</f>
        <v>4374.7328609918577</v>
      </c>
      <c r="D31" s="3032">
        <f>'Table1.A(a)s4'!I17</f>
        <v>7.9769712280503252E-2</v>
      </c>
      <c r="E31" s="3032">
        <f>'Table1.A(a)s4'!J17</f>
        <v>8.1326071287269472E-2</v>
      </c>
      <c r="F31" s="3033">
        <v>23.216688596690286</v>
      </c>
      <c r="G31" s="3033">
        <v>6.9300582372683177</v>
      </c>
      <c r="H31" s="3033">
        <v>2.7027540557569663</v>
      </c>
      <c r="I31" s="3034">
        <v>2.3257851944513788</v>
      </c>
      <c r="J31" s="3035">
        <f t="shared" si="1"/>
        <v>4398.5178218268384</v>
      </c>
    </row>
    <row r="32" spans="2:10" ht="18" customHeight="1" x14ac:dyDescent="0.2">
      <c r="B32" s="20" t="s">
        <v>95</v>
      </c>
      <c r="C32" s="3032">
        <f>'Table1.A(a)s4'!H38</f>
        <v>7707.2938238659717</v>
      </c>
      <c r="D32" s="3032">
        <f>'Table1.A(a)s4'!I38</f>
        <v>54.679853511968176</v>
      </c>
      <c r="E32" s="3032">
        <f>'Table1.A(a)s4'!J38</f>
        <v>0.25493120877274461</v>
      </c>
      <c r="F32" s="3033">
        <v>10.771933769677675</v>
      </c>
      <c r="G32" s="3033">
        <v>686.7124243336192</v>
      </c>
      <c r="H32" s="3033">
        <v>81.790232718623585</v>
      </c>
      <c r="I32" s="3034">
        <v>0.70685292144228573</v>
      </c>
      <c r="J32" s="3035">
        <f t="shared" si="1"/>
        <v>9305.8864925258586</v>
      </c>
    </row>
    <row r="33" spans="2:10" ht="18" customHeight="1" thickBot="1" x14ac:dyDescent="0.25">
      <c r="B33" s="20" t="s">
        <v>96</v>
      </c>
      <c r="C33" s="3032">
        <f>'Table1.A(a)s4'!H59</f>
        <v>5489.4011918339274</v>
      </c>
      <c r="D33" s="3032">
        <f>'Table1.A(a)s4'!I59</f>
        <v>0.48663376623376631</v>
      </c>
      <c r="E33" s="3032">
        <f>'Table1.A(a)s4'!J59</f>
        <v>0.28475757575757571</v>
      </c>
      <c r="F33" s="3033">
        <v>283.11445454545463</v>
      </c>
      <c r="G33" s="3033">
        <v>117.47938528138528</v>
      </c>
      <c r="H33" s="3033">
        <v>43.313066233766236</v>
      </c>
      <c r="I33" s="3034">
        <v>4.2024007017543861</v>
      </c>
      <c r="J33" s="3035">
        <f t="shared" si="1"/>
        <v>5578.4876948642304</v>
      </c>
    </row>
    <row r="34" spans="2:10" ht="18" customHeight="1" x14ac:dyDescent="0.2">
      <c r="B34" s="25" t="s">
        <v>2116</v>
      </c>
      <c r="C34" s="3029">
        <f>IF(SUM(C35:C36)=0,"NO",SUM(C35:C36))</f>
        <v>592.09543525646234</v>
      </c>
      <c r="D34" s="3029">
        <f t="shared" ref="D34:E34" si="12">IF(SUM(D35:D36)=0,"NO",SUM(D35:D36))</f>
        <v>2.3828652805809997E-2</v>
      </c>
      <c r="E34" s="3029">
        <f t="shared" si="12"/>
        <v>1.6174389170746161E-2</v>
      </c>
      <c r="F34" s="3029">
        <f t="shared" ref="F34:I34" si="13">IF(SUM(F35:F36)=0,"NO",SUM(F35:F36))</f>
        <v>4.364269855444916</v>
      </c>
      <c r="G34" s="3029">
        <f t="shared" si="13"/>
        <v>5.0822377631692337</v>
      </c>
      <c r="H34" s="3029">
        <f t="shared" si="13"/>
        <v>0.50930248409257461</v>
      </c>
      <c r="I34" s="3030">
        <f t="shared" si="13"/>
        <v>0.17985245048133483</v>
      </c>
      <c r="J34" s="3031">
        <f t="shared" si="1"/>
        <v>597.04885066527265</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592.09543525646234</v>
      </c>
      <c r="D36" s="3044">
        <f>'Table1.A(a)s4'!I108</f>
        <v>2.3828652805809997E-2</v>
      </c>
      <c r="E36" s="3044">
        <f>'Table1.A(a)s4'!J108</f>
        <v>1.6174389170746161E-2</v>
      </c>
      <c r="F36" s="3040">
        <v>4.364269855444916</v>
      </c>
      <c r="G36" s="3040">
        <v>5.0822377631692337</v>
      </c>
      <c r="H36" s="3040">
        <v>0.50930248409257461</v>
      </c>
      <c r="I36" s="3041">
        <v>0.17985245048133483</v>
      </c>
      <c r="J36" s="3042">
        <f t="shared" si="1"/>
        <v>597.04885066527265</v>
      </c>
    </row>
    <row r="37" spans="2:10" ht="18" customHeight="1" thickBot="1" x14ac:dyDescent="0.25">
      <c r="B37" s="18" t="s">
        <v>99</v>
      </c>
      <c r="C37" s="3029">
        <f>IF(SUM(C38,C42)=0,"NO",SUM(C38,C42))</f>
        <v>8007.495582103913</v>
      </c>
      <c r="D37" s="3029">
        <f t="shared" ref="D37:I37" si="14">IF(SUM(D38,D42)=0,"NO",SUM(D38,D42))</f>
        <v>1238.6710124257015</v>
      </c>
      <c r="E37" s="3029">
        <f t="shared" si="14"/>
        <v>9.8944823345555363E-2</v>
      </c>
      <c r="F37" s="3029">
        <f t="shared" si="14"/>
        <v>2.9928718847454312</v>
      </c>
      <c r="G37" s="3029">
        <f t="shared" si="14"/>
        <v>17.3578569315235</v>
      </c>
      <c r="H37" s="3029">
        <f t="shared" si="14"/>
        <v>216.33473442924029</v>
      </c>
      <c r="I37" s="3030" t="str">
        <f t="shared" si="14"/>
        <v>NO</v>
      </c>
      <c r="J37" s="3031">
        <f t="shared" si="1"/>
        <v>42716.504308210133</v>
      </c>
    </row>
    <row r="38" spans="2:10" ht="18" customHeight="1" x14ac:dyDescent="0.2">
      <c r="B38" s="26" t="s">
        <v>100</v>
      </c>
      <c r="C38" s="3029">
        <f>IF(SUM(C39:C41)=0,"NO",SUM(C39:C41))</f>
        <v>1239.4846044535864</v>
      </c>
      <c r="D38" s="3029">
        <f t="shared" ref="D38" si="15">IF(SUM(D39:D41)=0,"NO",SUM(D39:D41))</f>
        <v>982.85774666992177</v>
      </c>
      <c r="E38" s="3029">
        <f t="shared" ref="E38" si="16">IF(SUM(E39:E41)=0,"NO",SUM(E39:E41))</f>
        <v>1.4653075432969966E-5</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28759.505394276388</v>
      </c>
    </row>
    <row r="39" spans="2:10" ht="18" customHeight="1" x14ac:dyDescent="0.2">
      <c r="B39" s="20" t="s">
        <v>101</v>
      </c>
      <c r="C39" s="3032">
        <f>'Table1.B.1'!G10</f>
        <v>1239.4846044535864</v>
      </c>
      <c r="D39" s="3032">
        <f>SUM('Table1.B.1'!F10,'Table1.B.1'!H10)</f>
        <v>982.85774666992177</v>
      </c>
      <c r="E39" s="3033">
        <v>1.4653075432969966E-5</v>
      </c>
      <c r="F39" s="3033" t="s">
        <v>2146</v>
      </c>
      <c r="G39" s="3033" t="s">
        <v>2146</v>
      </c>
      <c r="H39" s="3033" t="s">
        <v>2146</v>
      </c>
      <c r="I39" s="2931"/>
      <c r="J39" s="3035">
        <f t="shared" si="1"/>
        <v>28759.505394276388</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6768.0109776503268</v>
      </c>
      <c r="D42" s="3029">
        <f t="shared" ref="D42:I42" si="21">IF(SUM(D43:D46)=0,"NO",SUM(D43:D46))</f>
        <v>255.81326575577981</v>
      </c>
      <c r="E42" s="3029">
        <f t="shared" si="21"/>
        <v>9.8930170270122395E-2</v>
      </c>
      <c r="F42" s="3029">
        <f t="shared" si="21"/>
        <v>2.9928718847454312</v>
      </c>
      <c r="G42" s="3029">
        <f t="shared" si="21"/>
        <v>17.3578569315235</v>
      </c>
      <c r="H42" s="3029">
        <f t="shared" si="21"/>
        <v>216.33473442924029</v>
      </c>
      <c r="I42" s="3030" t="str">
        <f t="shared" si="21"/>
        <v>NO</v>
      </c>
      <c r="J42" s="3031">
        <f t="shared" ref="J42:J59" si="22">IF(SUM(C42:E42)=0,"NO",SUM(C42,IFERROR(28*D42,0),IFERROR(265*E42,0)))</f>
        <v>13956.998913933743</v>
      </c>
    </row>
    <row r="43" spans="2:10" ht="18" customHeight="1" x14ac:dyDescent="0.2">
      <c r="B43" s="20" t="s">
        <v>103</v>
      </c>
      <c r="C43" s="3032">
        <f>'Table1.B.2'!I10</f>
        <v>476.74708878590155</v>
      </c>
      <c r="D43" s="3032">
        <f>'Table1.B.2'!J10</f>
        <v>4.4585342841606055</v>
      </c>
      <c r="E43" s="3032">
        <f>'Table1.B.2'!K10</f>
        <v>1.4543676991657485E-2</v>
      </c>
      <c r="F43" s="3033">
        <v>0.26240053333333335</v>
      </c>
      <c r="G43" s="3033">
        <v>1.5219230933333332</v>
      </c>
      <c r="H43" s="3033">
        <v>115.27613054474668</v>
      </c>
      <c r="I43" s="3034" t="s">
        <v>2146</v>
      </c>
      <c r="J43" s="3035">
        <f t="shared" si="22"/>
        <v>605.44012314518773</v>
      </c>
    </row>
    <row r="44" spans="2:10" ht="18" customHeight="1" x14ac:dyDescent="0.2">
      <c r="B44" s="20" t="s">
        <v>104</v>
      </c>
      <c r="C44" s="3032">
        <f>SUM('Table1.B.2'!I21,'Table1.B.2'!L21)</f>
        <v>202.01053298878887</v>
      </c>
      <c r="D44" s="3032">
        <f>'Table1.B.2'!J21</f>
        <v>134.65829857770746</v>
      </c>
      <c r="E44" s="3032">
        <f>'Table1.B.2'!K21</f>
        <v>5.6954820609795669E-3</v>
      </c>
      <c r="F44" s="3033">
        <v>0.10547189001814014</v>
      </c>
      <c r="G44" s="3033">
        <v>0.61173696210521289</v>
      </c>
      <c r="H44" s="3033">
        <v>74.80960927055402</v>
      </c>
      <c r="I44" s="3034" t="s">
        <v>2146</v>
      </c>
      <c r="J44" s="3035">
        <f t="shared" si="22"/>
        <v>3973.9521959107569</v>
      </c>
    </row>
    <row r="45" spans="2:10" ht="18" customHeight="1" x14ac:dyDescent="0.2">
      <c r="B45" s="20" t="s">
        <v>105</v>
      </c>
      <c r="C45" s="3032">
        <f>'Table1.B.2'!I35</f>
        <v>6089.2533558756368</v>
      </c>
      <c r="D45" s="3032">
        <f>'Table1.B.2'!J35</f>
        <v>116.69643289391176</v>
      </c>
      <c r="E45" s="3032">
        <f>'Table1.B.2'!K35</f>
        <v>7.869101121748534E-2</v>
      </c>
      <c r="F45" s="3033">
        <v>2.6249994613939576</v>
      </c>
      <c r="G45" s="3033">
        <v>15.224196876084953</v>
      </c>
      <c r="H45" s="3033">
        <v>26.248994613939566</v>
      </c>
      <c r="I45" s="3034" t="s">
        <v>2146</v>
      </c>
      <c r="J45" s="3035">
        <f t="shared" si="22"/>
        <v>9377.6065948778014</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9620.1779999999962</v>
      </c>
      <c r="D52" s="3032">
        <f t="shared" ref="D52:I52" si="23">IF(SUM(D53:D54)=0,"NO",SUM(D53:D54))</f>
        <v>0.28705713166666669</v>
      </c>
      <c r="E52" s="3032">
        <f t="shared" si="23"/>
        <v>0.11388578527807017</v>
      </c>
      <c r="F52" s="3032">
        <f t="shared" si="23"/>
        <v>110.08668993938596</v>
      </c>
      <c r="G52" s="3032">
        <f t="shared" si="23"/>
        <v>13.180654052368421</v>
      </c>
      <c r="H52" s="3032">
        <f t="shared" si="23"/>
        <v>7.5241251117456143</v>
      </c>
      <c r="I52" s="3055">
        <f t="shared" si="23"/>
        <v>43.168376736842106</v>
      </c>
      <c r="J52" s="3035">
        <f t="shared" si="22"/>
        <v>9658.3953327853505</v>
      </c>
    </row>
    <row r="53" spans="2:10" ht="18" customHeight="1" x14ac:dyDescent="0.2">
      <c r="B53" s="164" t="s">
        <v>111</v>
      </c>
      <c r="C53" s="3032">
        <f>Table1.D!G10</f>
        <v>6751.895999999997</v>
      </c>
      <c r="D53" s="3032">
        <f>Table1.D!H10</f>
        <v>1.1957131666666666E-2</v>
      </c>
      <c r="E53" s="3032">
        <f>Table1.D!I10</f>
        <v>3.5285785278070171E-2</v>
      </c>
      <c r="F53" s="3033">
        <v>34.233489939385962</v>
      </c>
      <c r="G53" s="3033">
        <v>10.673194052368421</v>
      </c>
      <c r="H53" s="3033">
        <v>5.1594051117456141</v>
      </c>
      <c r="I53" s="3034">
        <v>0.79548199999999991</v>
      </c>
      <c r="J53" s="3035">
        <f t="shared" si="22"/>
        <v>6761.5815327853525</v>
      </c>
    </row>
    <row r="54" spans="2:10" ht="18" customHeight="1" x14ac:dyDescent="0.2">
      <c r="B54" s="164" t="s">
        <v>112</v>
      </c>
      <c r="C54" s="3032">
        <f>Table1.D!G14</f>
        <v>2868.2820000000002</v>
      </c>
      <c r="D54" s="3032">
        <f>Table1.D!H14</f>
        <v>0.27510000000000001</v>
      </c>
      <c r="E54" s="3032">
        <f>Table1.D!I14</f>
        <v>7.8600000000000003E-2</v>
      </c>
      <c r="F54" s="3033">
        <v>75.853200000000001</v>
      </c>
      <c r="G54" s="3033">
        <v>2.50746</v>
      </c>
      <c r="H54" s="3033">
        <v>2.3647200000000002</v>
      </c>
      <c r="I54" s="3034">
        <v>42.372894736842106</v>
      </c>
      <c r="J54" s="3035">
        <f t="shared" si="22"/>
        <v>2896.8138000000004</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16548.893514000003</v>
      </c>
      <c r="D56" s="3056"/>
      <c r="E56" s="3056"/>
      <c r="F56" s="3056"/>
      <c r="G56" s="3056"/>
      <c r="H56" s="3056"/>
      <c r="I56" s="2971"/>
      <c r="J56" s="3039">
        <f t="shared" si="22"/>
        <v>16548.893514000003</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132154.44724998099</v>
      </c>
      <c r="D10" s="3549" t="s">
        <v>2146</v>
      </c>
      <c r="E10" s="3549">
        <v>25.392063861</v>
      </c>
      <c r="F10" s="3549">
        <v>601.01150817200005</v>
      </c>
      <c r="G10" s="3549" t="s">
        <v>2146</v>
      </c>
      <c r="H10" s="3549">
        <v>0.39913364499999998</v>
      </c>
      <c r="I10" s="3549" t="s">
        <v>2146</v>
      </c>
      <c r="J10" s="3549">
        <v>20.880230564000001</v>
      </c>
      <c r="K10" s="3549" t="s">
        <v>2146</v>
      </c>
      <c r="L10" s="3549" t="s">
        <v>2146</v>
      </c>
      <c r="M10" s="3550">
        <f>IF(SUM(C10:L10)=0,"NO",SUM(C10:L10))</f>
        <v>132802.13018622302</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10.193935419000001</v>
      </c>
      <c r="D12" s="3549" t="s">
        <v>2146</v>
      </c>
      <c r="E12" s="3549">
        <v>39858.163143956997</v>
      </c>
      <c r="F12" s="3549" t="s">
        <v>2153</v>
      </c>
      <c r="G12" s="3549" t="s">
        <v>2146</v>
      </c>
      <c r="H12" s="3549" t="s">
        <v>2153</v>
      </c>
      <c r="I12" s="3549" t="s">
        <v>2146</v>
      </c>
      <c r="J12" s="3549" t="s">
        <v>2153</v>
      </c>
      <c r="K12" s="3549" t="s">
        <v>2146</v>
      </c>
      <c r="L12" s="3549" t="s">
        <v>2146</v>
      </c>
      <c r="M12" s="3550">
        <f t="shared" si="0"/>
        <v>39868.357079376001</v>
      </c>
    </row>
    <row r="13" spans="2:13" ht="18" customHeight="1" x14ac:dyDescent="0.2">
      <c r="B13" s="2277" t="s">
        <v>1961</v>
      </c>
      <c r="C13" s="3549">
        <v>316.98706891799998</v>
      </c>
      <c r="D13" s="3549" t="s">
        <v>2146</v>
      </c>
      <c r="E13" s="3549" t="s">
        <v>2153</v>
      </c>
      <c r="F13" s="3549">
        <v>520523.39750489697</v>
      </c>
      <c r="G13" s="3549" t="s">
        <v>2146</v>
      </c>
      <c r="H13" s="3549" t="s">
        <v>2153</v>
      </c>
      <c r="I13" s="3549" t="s">
        <v>2146</v>
      </c>
      <c r="J13" s="3549" t="s">
        <v>2153</v>
      </c>
      <c r="K13" s="3549" t="s">
        <v>2146</v>
      </c>
      <c r="L13" s="3549" t="s">
        <v>2146</v>
      </c>
      <c r="M13" s="3550">
        <f t="shared" si="0"/>
        <v>520840.38457381498</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6.2284848400000001</v>
      </c>
      <c r="D15" s="3549" t="s">
        <v>2146</v>
      </c>
      <c r="E15" s="3549">
        <v>0.63304705100000003</v>
      </c>
      <c r="F15" s="3549">
        <v>2.443871627</v>
      </c>
      <c r="G15" s="3549" t="s">
        <v>2146</v>
      </c>
      <c r="H15" s="3549">
        <v>13293.441634389999</v>
      </c>
      <c r="I15" s="3549" t="s">
        <v>2146</v>
      </c>
      <c r="J15" s="3549" t="s">
        <v>2146</v>
      </c>
      <c r="K15" s="3549" t="s">
        <v>2146</v>
      </c>
      <c r="L15" s="3549" t="s">
        <v>2146</v>
      </c>
      <c r="M15" s="3550">
        <f t="shared" si="0"/>
        <v>13302.747037907999</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7.7462956250000001</v>
      </c>
      <c r="D17" s="3549" t="s">
        <v>2146</v>
      </c>
      <c r="E17" s="3549" t="s">
        <v>2146</v>
      </c>
      <c r="F17" s="3549" t="s">
        <v>2146</v>
      </c>
      <c r="G17" s="3549" t="s">
        <v>2146</v>
      </c>
      <c r="H17" s="3549" t="s">
        <v>2146</v>
      </c>
      <c r="I17" s="3549" t="s">
        <v>2146</v>
      </c>
      <c r="J17" s="3549">
        <v>1315.0059812320001</v>
      </c>
      <c r="K17" s="3549" t="s">
        <v>2146</v>
      </c>
      <c r="L17" s="3549" t="s">
        <v>2146</v>
      </c>
      <c r="M17" s="3550">
        <f t="shared" si="0"/>
        <v>1322.752276857</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132495.60303478298</v>
      </c>
      <c r="D20" s="3551" t="str">
        <f t="shared" ref="D20:L20" si="1">IF(SUM(D10:D19)=0,"NO",SUM(D10:D19))</f>
        <v>NO</v>
      </c>
      <c r="E20" s="3551">
        <f t="shared" si="1"/>
        <v>39884.188254868997</v>
      </c>
      <c r="F20" s="3551">
        <f t="shared" si="1"/>
        <v>521126.85288469598</v>
      </c>
      <c r="G20" s="3551" t="str">
        <f t="shared" si="1"/>
        <v>NO</v>
      </c>
      <c r="H20" s="3551">
        <f t="shared" si="1"/>
        <v>13293.840768034999</v>
      </c>
      <c r="I20" s="3551" t="str">
        <f t="shared" si="1"/>
        <v>NO</v>
      </c>
      <c r="J20" s="3551">
        <f t="shared" si="1"/>
        <v>1335.886211796</v>
      </c>
      <c r="K20" s="3551">
        <f t="shared" si="1"/>
        <v>60692.328845821001</v>
      </c>
      <c r="L20" s="3551" t="str">
        <f t="shared" si="1"/>
        <v>NO</v>
      </c>
      <c r="M20" s="3550">
        <f t="shared" si="0"/>
        <v>768828.7</v>
      </c>
    </row>
    <row r="21" spans="2:13" ht="18" customHeight="1" thickBot="1" x14ac:dyDescent="0.25">
      <c r="B21" s="2279" t="s">
        <v>1968</v>
      </c>
      <c r="C21" s="3552">
        <f>IF(SUM(C20)=0,"NO",C20-M10)</f>
        <v>-306.52715144003741</v>
      </c>
      <c r="D21" s="3552" t="str">
        <f>IF(SUM(D20)=0,"NO",D20-M11)</f>
        <v>NO</v>
      </c>
      <c r="E21" s="3552">
        <f>IF(SUM(E20)=0,"NO",E20-M12)</f>
        <v>15.831175492996408</v>
      </c>
      <c r="F21" s="3552">
        <f>IF(SUM(F20)=0,"NO",F20-M13)</f>
        <v>286.46831088099862</v>
      </c>
      <c r="G21" s="3552" t="str">
        <f>IF(SUM(G20)=0,"NO",G20-M14)</f>
        <v>NO</v>
      </c>
      <c r="H21" s="3552">
        <f>IF(SUM(H20)=0,"NO",H20-M15)</f>
        <v>-8.9062698729994736</v>
      </c>
      <c r="I21" s="3552" t="str">
        <f>IF(SUM(I20)=0,"NO",I20-M16)</f>
        <v>NO</v>
      </c>
      <c r="J21" s="3552">
        <f>IF(SUM(J20)=0,"NO",J20-M17)</f>
        <v>13.133934939000028</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132624.89026277082</v>
      </c>
      <c r="E10" s="3556">
        <f t="shared" ref="E10:U10" si="0">IF(SUM(E11,E16)=0,"IE",SUM(E11,E16))</f>
        <v>132495.60303478307</v>
      </c>
      <c r="F10" s="3557">
        <f t="shared" si="0"/>
        <v>129.28722798776005</v>
      </c>
      <c r="G10" s="3558">
        <f t="shared" ref="G10:K11" si="1">IFERROR(IF(SUM($D10)=0,"NA",N10/$D10),"NA")</f>
        <v>6.2316883110703283E-2</v>
      </c>
      <c r="H10" s="3078">
        <f t="shared" si="1"/>
        <v>-1.2269652412908323E-2</v>
      </c>
      <c r="I10" s="3078">
        <f t="shared" si="1"/>
        <v>5.0047230697794966E-2</v>
      </c>
      <c r="J10" s="3078">
        <f t="shared" si="1"/>
        <v>1.313561532168989E-2</v>
      </c>
      <c r="K10" s="3078">
        <f t="shared" si="1"/>
        <v>6.7137797669448926E-3</v>
      </c>
      <c r="L10" s="3078">
        <f>IFERROR(IF(SUM(E10)=0,"NA",S10/E10),"NA")</f>
        <v>-3.1285785649758477E-3</v>
      </c>
      <c r="M10" s="3128">
        <f>IFERROR(IF(SUM(F10)=0,"NA",T10/F10),"NA")</f>
        <v>-4.5421865324629336E-2</v>
      </c>
      <c r="N10" s="3559">
        <f t="shared" si="0"/>
        <v>8264.7697840749388</v>
      </c>
      <c r="O10" s="3560">
        <f t="shared" si="0"/>
        <v>-1627.2613048243074</v>
      </c>
      <c r="P10" s="3560">
        <f t="shared" si="0"/>
        <v>6637.5084792506323</v>
      </c>
      <c r="Q10" s="3560">
        <f t="shared" si="0"/>
        <v>1742.1095405730925</v>
      </c>
      <c r="R10" s="3560">
        <f t="shared" si="0"/>
        <v>890.41430483947738</v>
      </c>
      <c r="S10" s="3560">
        <f t="shared" si="0"/>
        <v>-414.52290360817119</v>
      </c>
      <c r="T10" s="3561">
        <f t="shared" si="0"/>
        <v>-5.8724670578546858</v>
      </c>
      <c r="U10" s="3562">
        <f t="shared" si="0"/>
        <v>-32448.668831322979</v>
      </c>
      <c r="W10" s="2396"/>
    </row>
    <row r="11" spans="2:23" ht="18" customHeight="1" x14ac:dyDescent="0.2">
      <c r="B11" s="502" t="s">
        <v>982</v>
      </c>
      <c r="C11" s="2256"/>
      <c r="D11" s="3563">
        <f>IF(SUM(D12:D15)=0,"IE",SUM(D12:D15))</f>
        <v>124976.20920943801</v>
      </c>
      <c r="E11" s="3564">
        <f t="shared" ref="E11:U11" si="2">IF(SUM(E12:E15)=0,"IE",SUM(E12:E15))</f>
        <v>124976.20920943801</v>
      </c>
      <c r="F11" s="3565" t="str">
        <f t="shared" si="2"/>
        <v>IE</v>
      </c>
      <c r="G11" s="3558">
        <f t="shared" si="1"/>
        <v>2.0214672668038253E-2</v>
      </c>
      <c r="H11" s="3078">
        <f t="shared" si="1"/>
        <v>-1.3020568595558099E-2</v>
      </c>
      <c r="I11" s="3078">
        <f t="shared" si="1"/>
        <v>7.1941040724801519E-3</v>
      </c>
      <c r="J11" s="3078">
        <f t="shared" si="1"/>
        <v>5.5435579178309069E-3</v>
      </c>
      <c r="K11" s="3078">
        <f t="shared" si="1"/>
        <v>2.8010466399478965E-3</v>
      </c>
      <c r="L11" s="3078">
        <f t="shared" ref="L11:L28" si="3">IFERROR(IF(SUM(E11)=0,"NA",S11/E11),"NA")</f>
        <v>1.0717877883994002E-2</v>
      </c>
      <c r="M11" s="3128" t="str">
        <f t="shared" ref="M11:M28" si="4">IFERROR(IF(SUM(F11)=0,"NA",T11/F11),"NA")</f>
        <v>NA</v>
      </c>
      <c r="N11" s="3109">
        <f t="shared" si="2"/>
        <v>2526.3531604610571</v>
      </c>
      <c r="O11" s="3109">
        <f t="shared" si="2"/>
        <v>-1627.2613048243074</v>
      </c>
      <c r="P11" s="3109">
        <f t="shared" si="2"/>
        <v>899.09185563674941</v>
      </c>
      <c r="Q11" s="3109">
        <f t="shared" si="2"/>
        <v>692.81285410347198</v>
      </c>
      <c r="R11" s="3566">
        <f t="shared" si="2"/>
        <v>350.06419087952168</v>
      </c>
      <c r="S11" s="3566">
        <f t="shared" si="2"/>
        <v>1339.479748711243</v>
      </c>
      <c r="T11" s="3566" t="str">
        <f t="shared" si="2"/>
        <v>IE</v>
      </c>
      <c r="U11" s="3567">
        <f t="shared" si="2"/>
        <v>-12031.978380880282</v>
      </c>
      <c r="W11" s="2397"/>
    </row>
    <row r="12" spans="2:23" ht="18" customHeight="1" x14ac:dyDescent="0.2">
      <c r="B12" s="500"/>
      <c r="C12" s="508" t="s">
        <v>2220</v>
      </c>
      <c r="D12" s="3568">
        <f>IF(SUM(E12:F12)=0,E12,SUM(E12:F12))</f>
        <v>12288.220872953618</v>
      </c>
      <c r="E12" s="3569">
        <v>12288.220872953618</v>
      </c>
      <c r="F12" s="3554" t="s">
        <v>2153</v>
      </c>
      <c r="G12" s="3558">
        <f>IFERROR(IF(SUM($D12)=0,"NA",N12/$D12),"NA")</f>
        <v>0.1148952663349577</v>
      </c>
      <c r="H12" s="3078" t="str">
        <f>IFERROR(IF(SUM($D12)=0,"NA",O12/$D12),"NA")</f>
        <v>NA</v>
      </c>
      <c r="I12" s="3078">
        <f>IFERROR(IF(SUM($D12)=0,"NA",P12/$D12),"NA")</f>
        <v>0.1148952663349577</v>
      </c>
      <c r="J12" s="3078">
        <f>IFERROR(IF(SUM($D12)=0,"NA",Q12/$D12),"NA")</f>
        <v>3.3170864000603137E-2</v>
      </c>
      <c r="K12" s="3078">
        <f>IFERROR(IF(SUM($D12)=0,"NA",R12/$D12),"NA")</f>
        <v>2.8333294345375296E-2</v>
      </c>
      <c r="L12" s="3078">
        <f t="shared" si="3"/>
        <v>5.8584964431994568E-2</v>
      </c>
      <c r="M12" s="3128" t="str">
        <f t="shared" si="4"/>
        <v>NA</v>
      </c>
      <c r="N12" s="2905">
        <v>1411.8584099807922</v>
      </c>
      <c r="O12" s="2905" t="s">
        <v>2153</v>
      </c>
      <c r="P12" s="3109">
        <f>IF(SUM(N12:O12)=0,N12,SUM(N12:O12))</f>
        <v>1411.8584099807922</v>
      </c>
      <c r="Q12" s="2905">
        <v>407.61090338611723</v>
      </c>
      <c r="R12" s="2906">
        <v>348.16577897437941</v>
      </c>
      <c r="S12" s="2906">
        <v>719.90498277448091</v>
      </c>
      <c r="T12" s="2906" t="s">
        <v>2153</v>
      </c>
      <c r="U12" s="3570">
        <f>IF(SUM(P12:T12)=0,P12,SUM(P12:T12)*-44/12)</f>
        <v>-10587.646942091154</v>
      </c>
      <c r="W12" s="2398"/>
    </row>
    <row r="13" spans="2:23" ht="18" customHeight="1" x14ac:dyDescent="0.2">
      <c r="B13" s="500"/>
      <c r="C13" s="508" t="s">
        <v>2221</v>
      </c>
      <c r="D13" s="3568">
        <f t="shared" ref="D13:D15" si="5">IF(SUM(E13:F13)=0,E13,SUM(E13:F13))</f>
        <v>682.2489423766433</v>
      </c>
      <c r="E13" s="3569">
        <v>682.2489423766433</v>
      </c>
      <c r="F13" s="3554" t="s">
        <v>2153</v>
      </c>
      <c r="G13" s="3558">
        <f t="shared" ref="G13:K28" si="6">IFERROR(IF(SUM($D13)=0,"NA",N13/$D13),"NA")</f>
        <v>1.6335602464957661</v>
      </c>
      <c r="H13" s="3078" t="str">
        <f t="shared" si="6"/>
        <v>NA</v>
      </c>
      <c r="I13" s="3078">
        <f t="shared" si="6"/>
        <v>1.6335602464957661</v>
      </c>
      <c r="J13" s="3078">
        <f t="shared" si="6"/>
        <v>0.21640341668248678</v>
      </c>
      <c r="K13" s="3078">
        <f t="shared" si="6"/>
        <v>0.11300707382878751</v>
      </c>
      <c r="L13" s="3078">
        <f t="shared" si="3"/>
        <v>0.90813591264567883</v>
      </c>
      <c r="M13" s="3128" t="str">
        <f t="shared" si="4"/>
        <v>NA</v>
      </c>
      <c r="N13" s="2905">
        <v>1114.4947504802651</v>
      </c>
      <c r="O13" s="2905" t="s">
        <v>2153</v>
      </c>
      <c r="P13" s="3109">
        <f t="shared" ref="P13:P15" si="7">IF(SUM(N13:O13)=0,N13,SUM(N13:O13))</f>
        <v>1114.4947504802651</v>
      </c>
      <c r="Q13" s="2905">
        <v>147.64100215831866</v>
      </c>
      <c r="R13" s="2906">
        <v>77.098956600769526</v>
      </c>
      <c r="S13" s="2906">
        <v>619.57476593676211</v>
      </c>
      <c r="T13" s="2906" t="s">
        <v>2153</v>
      </c>
      <c r="U13" s="3570">
        <f t="shared" ref="U13:U15" si="8">IF(SUM(P13:T13)=0,P13,SUM(P13:T13)*-44/12)</f>
        <v>-7182.3014089790895</v>
      </c>
      <c r="W13" s="2398"/>
    </row>
    <row r="14" spans="2:23" ht="18" customHeight="1" x14ac:dyDescent="0.2">
      <c r="B14" s="500"/>
      <c r="C14" s="508" t="s">
        <v>2222</v>
      </c>
      <c r="D14" s="3568">
        <f t="shared" si="5"/>
        <v>112005.73939410775</v>
      </c>
      <c r="E14" s="3569">
        <v>112005.73939410775</v>
      </c>
      <c r="F14" s="3554" t="s">
        <v>2153</v>
      </c>
      <c r="G14" s="3558" t="str">
        <f t="shared" si="6"/>
        <v>NA</v>
      </c>
      <c r="H14" s="3078">
        <f t="shared" si="6"/>
        <v>-1.7212332404562629E-3</v>
      </c>
      <c r="I14" s="3078">
        <f t="shared" si="6"/>
        <v>-1.7212332404562629E-3</v>
      </c>
      <c r="J14" s="3078">
        <f t="shared" si="6"/>
        <v>7.0783016843185235E-4</v>
      </c>
      <c r="K14" s="3078">
        <f t="shared" si="6"/>
        <v>-6.7139902921424196E-4</v>
      </c>
      <c r="L14" s="3078" t="str">
        <f t="shared" si="3"/>
        <v>NA</v>
      </c>
      <c r="M14" s="3128" t="str">
        <f t="shared" si="4"/>
        <v>NA</v>
      </c>
      <c r="N14" s="2905" t="s">
        <v>2153</v>
      </c>
      <c r="O14" s="2905">
        <v>-192.78800176701978</v>
      </c>
      <c r="P14" s="3109">
        <f t="shared" si="7"/>
        <v>-192.78800176701978</v>
      </c>
      <c r="Q14" s="2905">
        <v>79.281041380665442</v>
      </c>
      <c r="R14" s="2906">
        <v>-75.200544695627315</v>
      </c>
      <c r="S14" s="2906" t="s">
        <v>2147</v>
      </c>
      <c r="T14" s="2906" t="s">
        <v>2147</v>
      </c>
      <c r="U14" s="3570">
        <f t="shared" si="8"/>
        <v>691.92751863393278</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-1434.4733030572877</v>
      </c>
      <c r="P15" s="3109">
        <f t="shared" si="7"/>
        <v>-1434.4733030572877</v>
      </c>
      <c r="Q15" s="2905">
        <v>58.279907178370621</v>
      </c>
      <c r="R15" s="2906" t="s">
        <v>2147</v>
      </c>
      <c r="S15" s="2906" t="s">
        <v>2147</v>
      </c>
      <c r="T15" s="2906" t="s">
        <v>2147</v>
      </c>
      <c r="U15" s="3570">
        <f t="shared" si="8"/>
        <v>5046.0424515560289</v>
      </c>
      <c r="W15" s="2398"/>
    </row>
    <row r="16" spans="2:23" ht="18" customHeight="1" x14ac:dyDescent="0.2">
      <c r="B16" s="485" t="s">
        <v>1041</v>
      </c>
      <c r="C16" s="504"/>
      <c r="D16" s="3568">
        <f>IF(SUM(D17,D19,D23,D25,D27)=0,"IE",SUM(D17,D19,D23,D25,D27))</f>
        <v>7648.6810533328207</v>
      </c>
      <c r="E16" s="3571">
        <f t="shared" ref="E16:T16" si="9">IF(SUM(E17,E19,E23,E25,E27)=0,"IE",SUM(E17,E19,E23,E25,E27))</f>
        <v>7519.3938253450606</v>
      </c>
      <c r="F16" s="3572">
        <f t="shared" si="9"/>
        <v>129.28722798776005</v>
      </c>
      <c r="G16" s="3558">
        <f t="shared" si="6"/>
        <v>0.7502491715370242</v>
      </c>
      <c r="H16" s="3078" t="str">
        <f t="shared" si="6"/>
        <v>NA</v>
      </c>
      <c r="I16" s="3078">
        <f t="shared" si="6"/>
        <v>0.7502491715370242</v>
      </c>
      <c r="J16" s="3078">
        <f t="shared" si="6"/>
        <v>0.13718661807873425</v>
      </c>
      <c r="K16" s="3078">
        <f t="shared" si="6"/>
        <v>7.0646182026965904E-2</v>
      </c>
      <c r="L16" s="3078">
        <f t="shared" si="3"/>
        <v>-0.23326383656184202</v>
      </c>
      <c r="M16" s="3128">
        <f t="shared" si="4"/>
        <v>-4.5421865324629336E-2</v>
      </c>
      <c r="N16" s="3078">
        <f t="shared" si="9"/>
        <v>5738.4166236138826</v>
      </c>
      <c r="O16" s="3078" t="str">
        <f t="shared" si="9"/>
        <v>IE</v>
      </c>
      <c r="P16" s="3078">
        <f t="shared" si="9"/>
        <v>5738.4166236138826</v>
      </c>
      <c r="Q16" s="3078">
        <f t="shared" si="9"/>
        <v>1049.2966864696205</v>
      </c>
      <c r="R16" s="3573">
        <f t="shared" si="9"/>
        <v>540.35011395995571</v>
      </c>
      <c r="S16" s="3573">
        <f t="shared" si="9"/>
        <v>-1754.0026523194142</v>
      </c>
      <c r="T16" s="3573">
        <f t="shared" si="9"/>
        <v>-5.8724670578546858</v>
      </c>
      <c r="U16" s="3570">
        <f>IF(SUM(U17,U19,U23,U25,U27)=0,"IE",SUM(U17,U19,U23,U25,U27))</f>
        <v>-20416.690450442697</v>
      </c>
      <c r="W16" s="2019"/>
    </row>
    <row r="17" spans="2:23" ht="18" customHeight="1" x14ac:dyDescent="0.2">
      <c r="B17" s="487" t="s">
        <v>1042</v>
      </c>
      <c r="C17" s="504"/>
      <c r="D17" s="3568">
        <f>D18</f>
        <v>64.807000000000002</v>
      </c>
      <c r="E17" s="3571">
        <f t="shared" ref="E17:U17" si="10">E18</f>
        <v>64.807000000000002</v>
      </c>
      <c r="F17" s="3572" t="str">
        <f t="shared" si="10"/>
        <v>NO</v>
      </c>
      <c r="G17" s="3558">
        <f t="shared" si="6"/>
        <v>1.3204437792213803</v>
      </c>
      <c r="H17" s="3078" t="str">
        <f t="shared" si="6"/>
        <v>NA</v>
      </c>
      <c r="I17" s="3078">
        <f t="shared" si="6"/>
        <v>1.3204437792213803</v>
      </c>
      <c r="J17" s="3078">
        <f t="shared" si="6"/>
        <v>4.8960760411683915E-2</v>
      </c>
      <c r="K17" s="3078">
        <f t="shared" si="6"/>
        <v>2.0244726649898934E-2</v>
      </c>
      <c r="L17" s="3078">
        <f t="shared" si="3"/>
        <v>-0.31433332818985599</v>
      </c>
      <c r="M17" s="3128" t="str">
        <f t="shared" si="4"/>
        <v>NA</v>
      </c>
      <c r="N17" s="3078">
        <f t="shared" si="10"/>
        <v>85.573999999999998</v>
      </c>
      <c r="O17" s="3078" t="str">
        <f t="shared" si="10"/>
        <v>IE</v>
      </c>
      <c r="P17" s="3078">
        <f t="shared" si="10"/>
        <v>85.573999999999998</v>
      </c>
      <c r="Q17" s="3078">
        <f t="shared" si="10"/>
        <v>3.1729999999999996</v>
      </c>
      <c r="R17" s="3573">
        <f t="shared" si="10"/>
        <v>1.3120000000000003</v>
      </c>
      <c r="S17" s="3573">
        <f t="shared" si="10"/>
        <v>-20.370999999999999</v>
      </c>
      <c r="T17" s="3573" t="str">
        <f t="shared" si="10"/>
        <v>NO</v>
      </c>
      <c r="U17" s="3570">
        <f t="shared" si="10"/>
        <v>-255.52266666666665</v>
      </c>
      <c r="W17" s="2019"/>
    </row>
    <row r="18" spans="2:23" ht="18" customHeight="1" x14ac:dyDescent="0.2">
      <c r="B18" s="488"/>
      <c r="C18" s="508" t="s">
        <v>278</v>
      </c>
      <c r="D18" s="3568">
        <f>IF(SUM(E18:F18)=0,E18,SUM(E18:F18))</f>
        <v>64.807000000000002</v>
      </c>
      <c r="E18" s="3569">
        <v>64.807000000000002</v>
      </c>
      <c r="F18" s="3554" t="s">
        <v>2146</v>
      </c>
      <c r="G18" s="3558">
        <f t="shared" si="6"/>
        <v>1.3204437792213803</v>
      </c>
      <c r="H18" s="3078" t="str">
        <f t="shared" si="6"/>
        <v>NA</v>
      </c>
      <c r="I18" s="3078">
        <f t="shared" si="6"/>
        <v>1.3204437792213803</v>
      </c>
      <c r="J18" s="3078">
        <f t="shared" si="6"/>
        <v>4.8960760411683915E-2</v>
      </c>
      <c r="K18" s="3078">
        <f t="shared" si="6"/>
        <v>2.0244726649898934E-2</v>
      </c>
      <c r="L18" s="3078">
        <f t="shared" si="3"/>
        <v>-0.31433332818985599</v>
      </c>
      <c r="M18" s="3128" t="str">
        <f t="shared" si="4"/>
        <v>NA</v>
      </c>
      <c r="N18" s="2905">
        <v>85.573999999999998</v>
      </c>
      <c r="O18" s="2905" t="s">
        <v>2153</v>
      </c>
      <c r="P18" s="3109">
        <f>IF(SUM(N18:O18)=0,N18,SUM(N18:O18))</f>
        <v>85.573999999999998</v>
      </c>
      <c r="Q18" s="2905">
        <v>3.1729999999999996</v>
      </c>
      <c r="R18" s="2906">
        <v>1.3120000000000003</v>
      </c>
      <c r="S18" s="2906">
        <v>-20.370999999999999</v>
      </c>
      <c r="T18" s="2906" t="s">
        <v>2146</v>
      </c>
      <c r="U18" s="3570">
        <f t="shared" ref="U18" si="11">IF(SUM(P18:T18)=0,P18,SUM(P18:T18)*-44/12)</f>
        <v>-255.52266666666665</v>
      </c>
      <c r="W18" s="2398"/>
    </row>
    <row r="19" spans="2:23" ht="18" customHeight="1" x14ac:dyDescent="0.2">
      <c r="B19" s="487" t="s">
        <v>1043</v>
      </c>
      <c r="C19" s="504"/>
      <c r="D19" s="3563">
        <f>IF(SUM(D20:D22)=0,"IE",SUM(D20:D22))</f>
        <v>7405.328825345061</v>
      </c>
      <c r="E19" s="3571">
        <f t="shared" ref="E19:U19" si="12">IF(SUM(E20:E22)=0,"IE",SUM(E20:E22))</f>
        <v>7405.328825345061</v>
      </c>
      <c r="F19" s="3572" t="str">
        <f t="shared" si="12"/>
        <v>IE</v>
      </c>
      <c r="G19" s="3558">
        <f t="shared" si="6"/>
        <v>0.61160576507529307</v>
      </c>
      <c r="H19" s="3078" t="str">
        <f t="shared" si="6"/>
        <v>NA</v>
      </c>
      <c r="I19" s="3078">
        <f t="shared" si="6"/>
        <v>0.61160576507529307</v>
      </c>
      <c r="J19" s="3078">
        <f t="shared" si="6"/>
        <v>0.15448196606590467</v>
      </c>
      <c r="K19" s="3078">
        <f t="shared" si="6"/>
        <v>6.379605336409104E-2</v>
      </c>
      <c r="L19" s="3078">
        <f t="shared" si="3"/>
        <v>-0.23004037936695351</v>
      </c>
      <c r="M19" s="3128" t="str">
        <f t="shared" si="4"/>
        <v>NA</v>
      </c>
      <c r="N19" s="3078">
        <f t="shared" si="12"/>
        <v>4529.1418018592876</v>
      </c>
      <c r="O19" s="3078" t="str">
        <f t="shared" si="12"/>
        <v>IE</v>
      </c>
      <c r="P19" s="3078">
        <f t="shared" si="12"/>
        <v>4529.1418018592876</v>
      </c>
      <c r="Q19" s="3078">
        <f t="shared" si="12"/>
        <v>1143.9897563038214</v>
      </c>
      <c r="R19" s="3573">
        <f t="shared" si="12"/>
        <v>472.43075292035513</v>
      </c>
      <c r="S19" s="3573">
        <f t="shared" si="12"/>
        <v>-1703.5246523194141</v>
      </c>
      <c r="T19" s="3573" t="str">
        <f t="shared" si="12"/>
        <v>IE</v>
      </c>
      <c r="U19" s="3570">
        <f t="shared" si="12"/>
        <v>-16287.471415468184</v>
      </c>
      <c r="W19" s="2019"/>
    </row>
    <row r="20" spans="2:23" ht="18" customHeight="1" x14ac:dyDescent="0.2">
      <c r="B20" s="496"/>
      <c r="C20" s="508" t="s">
        <v>2223</v>
      </c>
      <c r="D20" s="3568">
        <f>IF(SUM(E20:F20)=0,E20,SUM(E20:F20))</f>
        <v>1847.0049999999992</v>
      </c>
      <c r="E20" s="3569">
        <v>1847.0049999999992</v>
      </c>
      <c r="F20" s="3554" t="s">
        <v>2146</v>
      </c>
      <c r="G20" s="3558">
        <f t="shared" si="6"/>
        <v>1.2806397383872812</v>
      </c>
      <c r="H20" s="3078" t="str">
        <f t="shared" si="6"/>
        <v>NA</v>
      </c>
      <c r="I20" s="3078">
        <f t="shared" si="6"/>
        <v>1.2806397383872812</v>
      </c>
      <c r="J20" s="3078">
        <f t="shared" si="6"/>
        <v>7.1390710907658542E-2</v>
      </c>
      <c r="K20" s="3078">
        <f t="shared" si="6"/>
        <v>3.2128229214322686E-2</v>
      </c>
      <c r="L20" s="3078">
        <f t="shared" si="3"/>
        <v>-0.34890755574565335</v>
      </c>
      <c r="M20" s="3128" t="str">
        <f t="shared" si="4"/>
        <v>NA</v>
      </c>
      <c r="N20" s="2905">
        <v>2365.347999999999</v>
      </c>
      <c r="O20" s="2905" t="s">
        <v>2153</v>
      </c>
      <c r="P20" s="3109">
        <f>IF(SUM(N20:O20)=0,N20,SUM(N20:O20))</f>
        <v>2365.347999999999</v>
      </c>
      <c r="Q20" s="2905">
        <v>131.85899999999981</v>
      </c>
      <c r="R20" s="2906">
        <v>59.341000000000051</v>
      </c>
      <c r="S20" s="2906">
        <v>-644.4340000000002</v>
      </c>
      <c r="T20" s="2906" t="s">
        <v>2146</v>
      </c>
      <c r="U20" s="3570">
        <f t="shared" ref="U20:U22" si="13">IF(SUM(P20:T20)=0,P20,SUM(P20:T20)*-44/12)</f>
        <v>-7011.0846666666621</v>
      </c>
      <c r="W20" s="2398"/>
    </row>
    <row r="21" spans="2:23" ht="18" customHeight="1" x14ac:dyDescent="0.2">
      <c r="B21" s="500"/>
      <c r="C21" s="508" t="s">
        <v>2291</v>
      </c>
      <c r="D21" s="3568">
        <f>IF(SUM(E21:F21)=0,E21,SUM(E21:F21))</f>
        <v>5558.3238253450618</v>
      </c>
      <c r="E21" s="3569">
        <v>5558.3238253450618</v>
      </c>
      <c r="F21" s="3554" t="s">
        <v>2146</v>
      </c>
      <c r="G21" s="3558">
        <f t="shared" si="6"/>
        <v>0.3889926556303116</v>
      </c>
      <c r="H21" s="3078" t="str">
        <f t="shared" si="6"/>
        <v>NA</v>
      </c>
      <c r="I21" s="3078">
        <f t="shared" si="6"/>
        <v>0.3889926556303116</v>
      </c>
      <c r="J21" s="3078">
        <f t="shared" si="6"/>
        <v>0.18210466780358014</v>
      </c>
      <c r="K21" s="3078">
        <f t="shared" si="6"/>
        <v>7.431912315664882E-2</v>
      </c>
      <c r="L21" s="3078">
        <f t="shared" si="3"/>
        <v>-0.19054137283080397</v>
      </c>
      <c r="M21" s="3128" t="str">
        <f t="shared" si="4"/>
        <v>NA</v>
      </c>
      <c r="N21" s="2905">
        <v>2162.1471456742079</v>
      </c>
      <c r="O21" s="2905" t="s">
        <v>2153</v>
      </c>
      <c r="P21" s="3109">
        <f t="shared" ref="P21:P28" si="14">IF(SUM(N21:O21)=0,N21,SUM(N21:O21))</f>
        <v>2162.1471456742079</v>
      </c>
      <c r="Q21" s="2905">
        <v>1012.1967137591873</v>
      </c>
      <c r="R21" s="2906">
        <v>413.08975292035507</v>
      </c>
      <c r="S21" s="2906">
        <v>-1059.0906523194139</v>
      </c>
      <c r="T21" s="2906" t="s">
        <v>2146</v>
      </c>
      <c r="U21" s="3570">
        <f t="shared" si="13"/>
        <v>-9270.5908534592345</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1.6466561850804957</v>
      </c>
      <c r="O22" s="2905" t="s">
        <v>2153</v>
      </c>
      <c r="P22" s="3109">
        <f t="shared" si="14"/>
        <v>1.6466561850804957</v>
      </c>
      <c r="Q22" s="2905">
        <v>-6.5957455365720993E-2</v>
      </c>
      <c r="R22" s="2906" t="s">
        <v>2147</v>
      </c>
      <c r="S22" s="2906" t="s">
        <v>2147</v>
      </c>
      <c r="T22" s="2906" t="s">
        <v>2147</v>
      </c>
      <c r="U22" s="3570">
        <f t="shared" si="13"/>
        <v>-5.7958953422875075</v>
      </c>
      <c r="W22" s="2398"/>
    </row>
    <row r="23" spans="2:23" ht="18" customHeight="1" x14ac:dyDescent="0.2">
      <c r="B23" s="487" t="s">
        <v>1044</v>
      </c>
      <c r="C23" s="504"/>
      <c r="D23" s="3568">
        <f>D24</f>
        <v>129.28722798776005</v>
      </c>
      <c r="E23" s="3571" t="str">
        <f t="shared" ref="E23" si="15">E24</f>
        <v>NO</v>
      </c>
      <c r="F23" s="3572">
        <f t="shared" ref="F23" si="16">F24</f>
        <v>129.28722798776005</v>
      </c>
      <c r="G23" s="3558">
        <f t="shared" si="6"/>
        <v>8.0351774720774856</v>
      </c>
      <c r="H23" s="3078" t="str">
        <f t="shared" si="6"/>
        <v>NA</v>
      </c>
      <c r="I23" s="3078">
        <f t="shared" si="6"/>
        <v>8.0351774720774856</v>
      </c>
      <c r="J23" s="3078">
        <f t="shared" si="6"/>
        <v>-0.77126775309654827</v>
      </c>
      <c r="K23" s="3078">
        <f t="shared" si="6"/>
        <v>0.50346319626995917</v>
      </c>
      <c r="L23" s="3078" t="str">
        <f t="shared" si="3"/>
        <v>NA</v>
      </c>
      <c r="M23" s="3128">
        <f t="shared" si="4"/>
        <v>-4.5421865324629336E-2</v>
      </c>
      <c r="N23" s="3078">
        <f t="shared" ref="N23" si="17">N24</f>
        <v>1038.8458217545954</v>
      </c>
      <c r="O23" s="3078" t="str">
        <f t="shared" ref="O23" si="18">O24</f>
        <v>IE</v>
      </c>
      <c r="P23" s="3078">
        <f t="shared" ref="P23" si="19">P24</f>
        <v>1038.8458217545954</v>
      </c>
      <c r="Q23" s="3078">
        <f t="shared" ref="Q23" si="20">Q24</f>
        <v>-99.715069834200861</v>
      </c>
      <c r="R23" s="3573">
        <f t="shared" ref="R23" si="21">R24</f>
        <v>65.091361039600599</v>
      </c>
      <c r="S23" s="3573" t="str">
        <f t="shared" ref="S23" si="22">S24</f>
        <v>NO</v>
      </c>
      <c r="T23" s="3573">
        <f t="shared" ref="T23" si="23">T24</f>
        <v>-5.8724670578546858</v>
      </c>
      <c r="U23" s="3570">
        <f t="shared" ref="U23" si="24">U24</f>
        <v>-3660.6153683078478</v>
      </c>
      <c r="W23" s="2019"/>
    </row>
    <row r="24" spans="2:23" ht="18" customHeight="1" x14ac:dyDescent="0.2">
      <c r="B24" s="488"/>
      <c r="C24" s="508" t="s">
        <v>278</v>
      </c>
      <c r="D24" s="3568">
        <f>IF(SUM(E24:F24)=0,E24,SUM(E24:F24))</f>
        <v>129.28722798776005</v>
      </c>
      <c r="E24" s="3569" t="s">
        <v>2146</v>
      </c>
      <c r="F24" s="3554">
        <v>129.28722798776005</v>
      </c>
      <c r="G24" s="3558">
        <f t="shared" si="6"/>
        <v>8.0351774720774856</v>
      </c>
      <c r="H24" s="3078" t="str">
        <f t="shared" si="6"/>
        <v>NA</v>
      </c>
      <c r="I24" s="3078">
        <f t="shared" si="6"/>
        <v>8.0351774720774856</v>
      </c>
      <c r="J24" s="3078">
        <f t="shared" si="6"/>
        <v>-0.77126775309654827</v>
      </c>
      <c r="K24" s="3078">
        <f t="shared" si="6"/>
        <v>0.50346319626995917</v>
      </c>
      <c r="L24" s="3078" t="str">
        <f t="shared" si="3"/>
        <v>NA</v>
      </c>
      <c r="M24" s="3128">
        <f t="shared" si="4"/>
        <v>-4.5421865324629336E-2</v>
      </c>
      <c r="N24" s="2905">
        <v>1038.8458217545954</v>
      </c>
      <c r="O24" s="2905" t="s">
        <v>2153</v>
      </c>
      <c r="P24" s="3109">
        <f t="shared" si="14"/>
        <v>1038.8458217545954</v>
      </c>
      <c r="Q24" s="2905">
        <v>-99.715069834200861</v>
      </c>
      <c r="R24" s="2906">
        <v>65.091361039600599</v>
      </c>
      <c r="S24" s="2906" t="s">
        <v>2146</v>
      </c>
      <c r="T24" s="2906">
        <v>-5.8724670578546858</v>
      </c>
      <c r="U24" s="3570">
        <f t="shared" ref="U24" si="25">IF(SUM(P24:T24)=0,P24,SUM(P24:T24)*-44/12)</f>
        <v>-3660.6153683078478</v>
      </c>
      <c r="W24" s="2398"/>
    </row>
    <row r="25" spans="2:23" ht="18" customHeight="1" x14ac:dyDescent="0.2">
      <c r="B25" s="487" t="s">
        <v>1045</v>
      </c>
      <c r="C25" s="504"/>
      <c r="D25" s="3568">
        <f>D26</f>
        <v>49.258000000000003</v>
      </c>
      <c r="E25" s="3571">
        <f t="shared" ref="E25" si="26">E26</f>
        <v>49.258000000000003</v>
      </c>
      <c r="F25" s="3572" t="str">
        <f t="shared" ref="F25" si="27">F26</f>
        <v>NO</v>
      </c>
      <c r="G25" s="3558">
        <f t="shared" si="6"/>
        <v>1.7226643387876082</v>
      </c>
      <c r="H25" s="3078" t="str">
        <f t="shared" si="6"/>
        <v>NA</v>
      </c>
      <c r="I25" s="3078">
        <f t="shared" si="6"/>
        <v>1.7226643387876082</v>
      </c>
      <c r="J25" s="3078">
        <f t="shared" si="6"/>
        <v>3.7537049819318692E-2</v>
      </c>
      <c r="K25" s="3078">
        <f t="shared" si="6"/>
        <v>3.0776726623086607E-2</v>
      </c>
      <c r="L25" s="3078">
        <f t="shared" si="3"/>
        <v>-0.61121036176864663</v>
      </c>
      <c r="M25" s="3128" t="str">
        <f t="shared" si="4"/>
        <v>NA</v>
      </c>
      <c r="N25" s="3078">
        <f t="shared" ref="N25" si="28">N26</f>
        <v>84.855000000000004</v>
      </c>
      <c r="O25" s="3078" t="str">
        <f t="shared" ref="O25" si="29">O26</f>
        <v>IE</v>
      </c>
      <c r="P25" s="3078">
        <f t="shared" ref="P25" si="30">P26</f>
        <v>84.855000000000004</v>
      </c>
      <c r="Q25" s="3078">
        <f t="shared" ref="Q25" si="31">Q26</f>
        <v>1.8490000000000002</v>
      </c>
      <c r="R25" s="3573">
        <f t="shared" ref="R25" si="32">R26</f>
        <v>1.5160000000000002</v>
      </c>
      <c r="S25" s="3573">
        <f t="shared" ref="S25" si="33">S26</f>
        <v>-30.106999999999999</v>
      </c>
      <c r="T25" s="3573" t="str">
        <f t="shared" ref="T25" si="34">T26</f>
        <v>NO</v>
      </c>
      <c r="U25" s="3570">
        <f t="shared" ref="U25" si="35">U26</f>
        <v>-213.08100000000005</v>
      </c>
      <c r="W25" s="2019"/>
    </row>
    <row r="26" spans="2:23" ht="18" customHeight="1" x14ac:dyDescent="0.2">
      <c r="B26" s="488"/>
      <c r="C26" s="508" t="s">
        <v>278</v>
      </c>
      <c r="D26" s="3568">
        <f>IF(SUM(E26:F26)=0,E26,SUM(E26:F26))</f>
        <v>49.258000000000003</v>
      </c>
      <c r="E26" s="3569">
        <v>49.258000000000003</v>
      </c>
      <c r="F26" s="3554" t="s">
        <v>2146</v>
      </c>
      <c r="G26" s="3558">
        <f t="shared" si="6"/>
        <v>1.7226643387876082</v>
      </c>
      <c r="H26" s="3078" t="str">
        <f t="shared" si="6"/>
        <v>NA</v>
      </c>
      <c r="I26" s="3078">
        <f t="shared" si="6"/>
        <v>1.7226643387876082</v>
      </c>
      <c r="J26" s="3078">
        <f t="shared" si="6"/>
        <v>3.7537049819318692E-2</v>
      </c>
      <c r="K26" s="3078">
        <f t="shared" si="6"/>
        <v>3.0776726623086607E-2</v>
      </c>
      <c r="L26" s="3078">
        <f t="shared" si="3"/>
        <v>-0.61121036176864663</v>
      </c>
      <c r="M26" s="3128" t="str">
        <f t="shared" si="4"/>
        <v>NA</v>
      </c>
      <c r="N26" s="2905">
        <v>84.855000000000004</v>
      </c>
      <c r="O26" s="2905" t="s">
        <v>2153</v>
      </c>
      <c r="P26" s="3109">
        <f t="shared" si="14"/>
        <v>84.855000000000004</v>
      </c>
      <c r="Q26" s="2905">
        <v>1.8490000000000002</v>
      </c>
      <c r="R26" s="2906">
        <v>1.5160000000000002</v>
      </c>
      <c r="S26" s="2906">
        <v>-30.106999999999999</v>
      </c>
      <c r="T26" s="2906" t="s">
        <v>2146</v>
      </c>
      <c r="U26" s="3570">
        <f t="shared" ref="U26" si="36">IF(SUM(P26:T26)=0,P26,SUM(P26:T26)*-44/12)</f>
        <v>-213.08100000000005</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39884.188254869812</v>
      </c>
      <c r="E10" s="3583">
        <f t="shared" ref="E10:F10" si="0">IF(SUM(E11,E13)=0,"IE",SUM(E11,E13))</f>
        <v>39881.188254869812</v>
      </c>
      <c r="F10" s="3584">
        <f t="shared" si="0"/>
        <v>3</v>
      </c>
      <c r="G10" s="3558" t="str">
        <f>IFERROR(IF(SUM($D10)=0,"NA",M10/$D10),"NA")</f>
        <v>NA</v>
      </c>
      <c r="H10" s="3583">
        <f t="shared" ref="H10:J10" si="1">IFERROR(IF(SUM($D10)=0,"NA",N10/$D10),"NA")</f>
        <v>-2.5233905357504294E-2</v>
      </c>
      <c r="I10" s="3583">
        <f t="shared" si="1"/>
        <v>-2.5233905357504294E-2</v>
      </c>
      <c r="J10" s="3583">
        <f t="shared" si="1"/>
        <v>-6.728180056848344E-3</v>
      </c>
      <c r="K10" s="3585">
        <f>IFERROR(IF(SUM(E10)=0,"NA",Q10/E10),"NA")</f>
        <v>-8.3747175963239801E-3</v>
      </c>
      <c r="L10" s="3584">
        <f>IFERROR(IF(SUM(F10)=0,"NA",R10/F10),"NA")</f>
        <v>-12.475</v>
      </c>
      <c r="M10" s="3586" t="str">
        <f>IF(SUM(M11,M13)=0,"IE",SUM(M11,M13))</f>
        <v>IE</v>
      </c>
      <c r="N10" s="3583">
        <f t="shared" ref="N10:S10" si="2">IF(SUM(N11,N13)=0,"IE",SUM(N11,N13))</f>
        <v>-1006.4338316842692</v>
      </c>
      <c r="O10" s="3587">
        <f t="shared" si="2"/>
        <v>-1006.4338316842692</v>
      </c>
      <c r="P10" s="3583">
        <f t="shared" si="2"/>
        <v>-268.34800000000001</v>
      </c>
      <c r="Q10" s="3585">
        <f t="shared" si="2"/>
        <v>-333.99368904036749</v>
      </c>
      <c r="R10" s="3585">
        <f t="shared" si="2"/>
        <v>-37.424999999999997</v>
      </c>
      <c r="S10" s="3588">
        <f t="shared" si="2"/>
        <v>6036.0685759903345</v>
      </c>
      <c r="U10" s="2261"/>
    </row>
    <row r="11" spans="2:21" ht="18" customHeight="1" x14ac:dyDescent="0.2">
      <c r="B11" s="499" t="s">
        <v>985</v>
      </c>
      <c r="C11" s="2256"/>
      <c r="D11" s="3589">
        <f>D12</f>
        <v>37668.451313842001</v>
      </c>
      <c r="E11" s="3078">
        <f t="shared" ref="E11" si="3">E12</f>
        <v>37668.451313842001</v>
      </c>
      <c r="F11" s="3078" t="str">
        <f t="shared" ref="F11" si="4">F12</f>
        <v>IE</v>
      </c>
      <c r="G11" s="3558" t="str">
        <f t="shared" ref="G11:G23" si="5">IFERROR(IF(SUM($D11)=0,"NA",M11/$D11),"NA")</f>
        <v>NA</v>
      </c>
      <c r="H11" s="3078">
        <f t="shared" ref="H11:H23" si="6">IFERROR(IF(SUM($D11)=0,"NA",N11/$D11),"NA")</f>
        <v>-1.4185566387921421E-3</v>
      </c>
      <c r="I11" s="3078">
        <f t="shared" ref="I11:I23" si="7">IFERROR(IF(SUM($D11)=0,"NA",O11/$D11),"NA")</f>
        <v>-1.4185566387921421E-3</v>
      </c>
      <c r="J11" s="3078" t="str">
        <f t="shared" ref="J11:J23" si="8">IFERROR(IF(SUM($D11)=0,"NA",P11/$D11),"NA")</f>
        <v>NA</v>
      </c>
      <c r="K11" s="3573">
        <f t="shared" ref="K11:K23" si="9">IFERROR(IF(SUM(E11)=0,"NA",Q11/E11),"NA")</f>
        <v>2.5552971302636334E-3</v>
      </c>
      <c r="L11" s="3128" t="str">
        <f t="shared" ref="L11:L23" si="10">IFERROR(IF(SUM(F11)=0,"NA",R11/F11),"NA")</f>
        <v>NA</v>
      </c>
      <c r="M11" s="3590" t="str">
        <f t="shared" ref="M11" si="11">M12</f>
        <v>IE</v>
      </c>
      <c r="N11" s="3591">
        <f t="shared" ref="N11" si="12">N12</f>
        <v>-53.434831684269156</v>
      </c>
      <c r="O11" s="3592">
        <f t="shared" ref="O11" si="13">O12</f>
        <v>-53.434831684269156</v>
      </c>
      <c r="P11" s="3591" t="str">
        <f t="shared" ref="P11" si="14">P12</f>
        <v>NA</v>
      </c>
      <c r="Q11" s="3593">
        <f t="shared" ref="Q11" si="15">Q12</f>
        <v>96.254085543735854</v>
      </c>
      <c r="R11" s="3593" t="str">
        <f t="shared" ref="R11" si="16">R12</f>
        <v>IE</v>
      </c>
      <c r="S11" s="3594">
        <f t="shared" ref="S11" si="17">S12</f>
        <v>-157.00393081804455</v>
      </c>
      <c r="U11" s="2258"/>
    </row>
    <row r="12" spans="2:21" ht="18" customHeight="1" x14ac:dyDescent="0.2">
      <c r="B12" s="501"/>
      <c r="C12" s="508" t="s">
        <v>278</v>
      </c>
      <c r="D12" s="3568">
        <f>IF(SUM(E12:F12)=0,E12,SUM(E12:F12))</f>
        <v>37668.451313842001</v>
      </c>
      <c r="E12" s="3569">
        <v>37668.451313842001</v>
      </c>
      <c r="F12" s="3554" t="s">
        <v>2153</v>
      </c>
      <c r="G12" s="3558" t="str">
        <f t="shared" si="5"/>
        <v>NA</v>
      </c>
      <c r="H12" s="3078">
        <f t="shared" si="6"/>
        <v>-1.4185566387921421E-3</v>
      </c>
      <c r="I12" s="3078">
        <f t="shared" si="7"/>
        <v>-1.4185566387921421E-3</v>
      </c>
      <c r="J12" s="3078" t="str">
        <f t="shared" si="8"/>
        <v>NA</v>
      </c>
      <c r="K12" s="3573">
        <f t="shared" si="9"/>
        <v>2.5552971302636334E-3</v>
      </c>
      <c r="L12" s="3128" t="str">
        <f t="shared" si="10"/>
        <v>NA</v>
      </c>
      <c r="M12" s="2905" t="s">
        <v>2153</v>
      </c>
      <c r="N12" s="2905">
        <v>-53.434831684269156</v>
      </c>
      <c r="O12" s="3109">
        <f>IF(SUM(M12:N12)=0,M12,SUM(M12:N12))</f>
        <v>-53.434831684269156</v>
      </c>
      <c r="P12" s="2905" t="s">
        <v>2147</v>
      </c>
      <c r="Q12" s="2906">
        <v>96.254085543735854</v>
      </c>
      <c r="R12" s="2906" t="s">
        <v>2153</v>
      </c>
      <c r="S12" s="3594">
        <f>IF(SUM(O12:R12)=0,Q12,SUM(O12:R12)*-44/12)</f>
        <v>-157.00393081804455</v>
      </c>
      <c r="U12" s="2398"/>
    </row>
    <row r="13" spans="2:21" ht="18" customHeight="1" x14ac:dyDescent="0.2">
      <c r="B13" s="485" t="s">
        <v>1054</v>
      </c>
      <c r="C13" s="504"/>
      <c r="D13" s="3589">
        <f>IF(SUM(D14,D16,D18,D20,D22)=0,"IE",SUM(D14,D16,D18,D20,D22))</f>
        <v>2215.736941027812</v>
      </c>
      <c r="E13" s="3591">
        <f t="shared" ref="E13:F13" si="18">IF(SUM(E14,E16,E18,E20,E22)=0,"IE",SUM(E14,E16,E18,E20,E22))</f>
        <v>2212.736941027812</v>
      </c>
      <c r="F13" s="3595">
        <f t="shared" si="18"/>
        <v>3</v>
      </c>
      <c r="G13" s="3558" t="str">
        <f t="shared" si="5"/>
        <v>NA</v>
      </c>
      <c r="H13" s="3078">
        <f t="shared" si="6"/>
        <v>-0.43010475763333766</v>
      </c>
      <c r="I13" s="3078">
        <f t="shared" si="7"/>
        <v>-0.43010475763333766</v>
      </c>
      <c r="J13" s="3078">
        <f t="shared" si="8"/>
        <v>-0.12111004471294397</v>
      </c>
      <c r="K13" s="3573">
        <f t="shared" si="9"/>
        <v>-0.19444144787687873</v>
      </c>
      <c r="L13" s="3128">
        <f t="shared" si="10"/>
        <v>-12.475</v>
      </c>
      <c r="M13" s="3590" t="str">
        <f>IF(SUM(M14,M16,M18,M20,M22)=0,"IE",SUM(M14,M16,M18,M20,M22))</f>
        <v>IE</v>
      </c>
      <c r="N13" s="3591">
        <f t="shared" ref="N13" si="19">IF(SUM(N14,N16,N18,N20,N22)=0,"IE",SUM(N14,N16,N18,N20,N22))</f>
        <v>-952.99900000000002</v>
      </c>
      <c r="O13" s="3592">
        <f t="shared" ref="O13" si="20">IF(SUM(O14,O16,O18,O20,O22)=0,"IE",SUM(O14,O16,O18,O20,O22))</f>
        <v>-952.99900000000002</v>
      </c>
      <c r="P13" s="3592">
        <f t="shared" ref="P13" si="21">IF(SUM(P14,P16,P18,P20,P22)=0,"IE",SUM(P14,P16,P18,P20,P22))</f>
        <v>-268.34800000000001</v>
      </c>
      <c r="Q13" s="3592">
        <f t="shared" ref="Q13" si="22">IF(SUM(Q14,Q16,Q18,Q20,Q22)=0,"IE",SUM(Q14,Q16,Q18,Q20,Q22))</f>
        <v>-430.24777458410335</v>
      </c>
      <c r="R13" s="3592">
        <f t="shared" ref="R13" si="23">IF(SUM(R14,R16,R18,R20,R22)=0,"IE",SUM(R14,R16,R18,R20,R22))</f>
        <v>-37.424999999999997</v>
      </c>
      <c r="S13" s="3594">
        <f t="shared" ref="S13" si="24">IF(SUM(S14,S16,S18,S20,S22)=0,"IE",SUM(S14,S16,S18,S20,S22))</f>
        <v>6193.0725068083793</v>
      </c>
      <c r="U13" s="503"/>
    </row>
    <row r="14" spans="2:21" ht="18" customHeight="1" x14ac:dyDescent="0.2">
      <c r="B14" s="487" t="s">
        <v>1055</v>
      </c>
      <c r="C14" s="504"/>
      <c r="D14" s="3589">
        <f>D15</f>
        <v>2203.076</v>
      </c>
      <c r="E14" s="3078">
        <f t="shared" ref="E14" si="25">E15</f>
        <v>2203.076</v>
      </c>
      <c r="F14" s="3078" t="str">
        <f t="shared" ref="F14" si="26">F15</f>
        <v>IE</v>
      </c>
      <c r="G14" s="3558" t="str">
        <f t="shared" si="5"/>
        <v>NA</v>
      </c>
      <c r="H14" s="3078">
        <f t="shared" si="6"/>
        <v>-0.43257654297899845</v>
      </c>
      <c r="I14" s="3078">
        <f t="shared" si="7"/>
        <v>-0.43257654297899845</v>
      </c>
      <c r="J14" s="3078">
        <f t="shared" si="8"/>
        <v>-0.12180605662264943</v>
      </c>
      <c r="K14" s="3573">
        <f t="shared" si="9"/>
        <v>-0.18248303735322793</v>
      </c>
      <c r="L14" s="3128" t="str">
        <f t="shared" si="10"/>
        <v>NA</v>
      </c>
      <c r="M14" s="3590" t="str">
        <f t="shared" ref="M14" si="27">M15</f>
        <v>IE</v>
      </c>
      <c r="N14" s="3591">
        <f t="shared" ref="N14" si="28">N15</f>
        <v>-952.99900000000002</v>
      </c>
      <c r="O14" s="3592">
        <f t="shared" ref="O14" si="29">O15</f>
        <v>-952.99900000000002</v>
      </c>
      <c r="P14" s="3591">
        <f t="shared" ref="P14" si="30">P15</f>
        <v>-268.34800000000001</v>
      </c>
      <c r="Q14" s="3593">
        <f t="shared" ref="Q14" si="31">Q15</f>
        <v>-402.024</v>
      </c>
      <c r="R14" s="3593" t="str">
        <f t="shared" ref="R14" si="32">R15</f>
        <v>IE</v>
      </c>
      <c r="S14" s="3594">
        <f t="shared" ref="S14" si="33">S15</f>
        <v>5952.360333333334</v>
      </c>
      <c r="U14" s="503"/>
    </row>
    <row r="15" spans="2:21" ht="18" customHeight="1" x14ac:dyDescent="0.2">
      <c r="B15" s="501"/>
      <c r="C15" s="508" t="s">
        <v>278</v>
      </c>
      <c r="D15" s="3568">
        <f>IF(SUM(E15:F15)=0,E15,SUM(E15:F15))</f>
        <v>2203.076</v>
      </c>
      <c r="E15" s="3569">
        <v>2203.076</v>
      </c>
      <c r="F15" s="3554" t="s">
        <v>2153</v>
      </c>
      <c r="G15" s="3558" t="str">
        <f t="shared" si="5"/>
        <v>NA</v>
      </c>
      <c r="H15" s="3078">
        <f t="shared" si="6"/>
        <v>-0.43257654297899845</v>
      </c>
      <c r="I15" s="3078">
        <f t="shared" si="7"/>
        <v>-0.43257654297899845</v>
      </c>
      <c r="J15" s="3078">
        <f t="shared" si="8"/>
        <v>-0.12180605662264943</v>
      </c>
      <c r="K15" s="3573">
        <f t="shared" si="9"/>
        <v>-0.18248303735322793</v>
      </c>
      <c r="L15" s="3128" t="str">
        <f t="shared" si="10"/>
        <v>NA</v>
      </c>
      <c r="M15" s="2905" t="s">
        <v>2153</v>
      </c>
      <c r="N15" s="2905">
        <v>-952.99900000000002</v>
      </c>
      <c r="O15" s="3109">
        <f>IF(SUM(M15:N15)=0,M15,SUM(M15:N15))</f>
        <v>-952.99900000000002</v>
      </c>
      <c r="P15" s="2905">
        <v>-268.34800000000001</v>
      </c>
      <c r="Q15" s="2906">
        <v>-402.024</v>
      </c>
      <c r="R15" s="2906" t="s">
        <v>2153</v>
      </c>
      <c r="S15" s="3594">
        <f>IF(SUM(O15:R15)=0,Q15,SUM(O15:R15)*-44/12)</f>
        <v>5952.360333333334</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521126.85288469499</v>
      </c>
      <c r="E10" s="3583">
        <f t="shared" ref="E10:F10" si="0">IF(SUM(E11,E15)=0,"IE",SUM(E11,E15))</f>
        <v>521125.85288469499</v>
      </c>
      <c r="F10" s="3584">
        <f t="shared" si="0"/>
        <v>1</v>
      </c>
      <c r="G10" s="3558" t="str">
        <f>IFERROR(IF(SUM($D10)=0,"NA",M10/$D10),"NA")</f>
        <v>NA</v>
      </c>
      <c r="H10" s="3583">
        <f t="shared" ref="H10:J10" si="1">IFERROR(IF(SUM($D10)=0,"NA",N10/$D10),"NA")</f>
        <v>-3.4262752344448678E-2</v>
      </c>
      <c r="I10" s="3583">
        <f t="shared" si="1"/>
        <v>-3.4262752344448678E-2</v>
      </c>
      <c r="J10" s="3583">
        <f t="shared" si="1"/>
        <v>-5.5347521262098538E-3</v>
      </c>
      <c r="K10" s="3585">
        <f>IFERROR(IF(SUM(E10)=0,"NA",Q10/E10),"NA")</f>
        <v>1.7481504385079081E-3</v>
      </c>
      <c r="L10" s="3584">
        <f>IFERROR(IF(SUM(F10)=0,"NA",R10/F10),"NA")</f>
        <v>-8.7249999999999996</v>
      </c>
      <c r="M10" s="3586" t="str">
        <f>IF(SUM(M11,M15)=0,"IE",SUM(M11,M15))</f>
        <v>IE</v>
      </c>
      <c r="N10" s="3583">
        <f t="shared" ref="N10:S10" si="2">IF(SUM(N11,N15)=0,"IE",SUM(N11,N15))</f>
        <v>-17855.240300430243</v>
      </c>
      <c r="O10" s="3587">
        <f t="shared" si="2"/>
        <v>-17855.240300430243</v>
      </c>
      <c r="P10" s="3583">
        <f t="shared" si="2"/>
        <v>-2884.3079570286154</v>
      </c>
      <c r="Q10" s="3585">
        <f t="shared" si="2"/>
        <v>911.00638823818713</v>
      </c>
      <c r="R10" s="3585">
        <f t="shared" si="2"/>
        <v>-8.7249999999999996</v>
      </c>
      <c r="S10" s="3588">
        <f t="shared" si="2"/>
        <v>72736.645187142451</v>
      </c>
      <c r="U10" s="2261"/>
    </row>
    <row r="11" spans="2:21" ht="18" customHeight="1" x14ac:dyDescent="0.2">
      <c r="B11" s="493" t="s">
        <v>988</v>
      </c>
      <c r="C11" s="483"/>
      <c r="D11" s="3599">
        <f>IF(SUM(D12:D14)=0,"IE",SUM(D12:D14))</f>
        <v>509685.88107873802</v>
      </c>
      <c r="E11" s="3564">
        <f t="shared" ref="E11:F11" si="3">IF(SUM(E12:E14)=0,"IE",SUM(E12:E14))</f>
        <v>509685.88107873802</v>
      </c>
      <c r="F11" s="3565" t="str">
        <f t="shared" si="3"/>
        <v>IE</v>
      </c>
      <c r="G11" s="3599" t="str">
        <f t="shared" ref="G11:G26" si="4">IFERROR(IF(SUM($D11)=0,"NA",M11/$D11),"NA")</f>
        <v>NA</v>
      </c>
      <c r="H11" s="3109">
        <f t="shared" ref="H11:H26" si="5">IFERROR(IF(SUM($D11)=0,"NA",N11/$D11),"NA")</f>
        <v>-2.0147875837256417E-3</v>
      </c>
      <c r="I11" s="3109">
        <f t="shared" ref="I11:I26" si="6">IFERROR(IF(SUM($D11)=0,"NA",O11/$D11),"NA")</f>
        <v>-2.0147875837256417E-3</v>
      </c>
      <c r="J11" s="3109">
        <f t="shared" ref="J11:J26" si="7">IFERROR(IF(SUM($D11)=0,"NA",P11/$D11),"NA")</f>
        <v>4.5788953574264893E-4</v>
      </c>
      <c r="K11" s="3566">
        <f t="shared" ref="K11:K26" si="8">IFERROR(IF(SUM(E11)=0,"NA",Q11/E11),"NA")</f>
        <v>4.8593084697825485E-3</v>
      </c>
      <c r="L11" s="3249" t="str">
        <f t="shared" ref="L11:L26" si="9">IFERROR(IF(SUM(F11)=0,"NA",R11/F11),"NA")</f>
        <v>NA</v>
      </c>
      <c r="M11" s="3109" t="str">
        <f>IF(SUM(M12:M14)=0,"IE",SUM(M12:M14))</f>
        <v>IE</v>
      </c>
      <c r="N11" s="3109">
        <f t="shared" ref="N11:O11" si="10">IF(SUM(N12:N14)=0,"IE",SUM(N12:N14))</f>
        <v>-1026.9087847977053</v>
      </c>
      <c r="O11" s="3109">
        <f t="shared" si="10"/>
        <v>-1026.9087847977053</v>
      </c>
      <c r="P11" s="3109">
        <f t="shared" ref="P11" si="11">IF(SUM(P12:P14)=0,"IE",SUM(P12:P14))</f>
        <v>233.37983146172633</v>
      </c>
      <c r="Q11" s="3566">
        <f t="shared" ref="Q11" si="12">IF(SUM(Q12:Q14)=0,"IE",SUM(Q12:Q14))</f>
        <v>2476.7209188544925</v>
      </c>
      <c r="R11" s="3566" t="str">
        <f t="shared" ref="R11" si="13">IF(SUM(R12:R14)=0,"IE",SUM(R12:R14))</f>
        <v>IE</v>
      </c>
      <c r="S11" s="3567">
        <f t="shared" ref="S11" si="14">IF(SUM(S12:S14)=0,"IE",SUM(S12:S14))</f>
        <v>-6171.7038735678816</v>
      </c>
      <c r="U11" s="2397"/>
    </row>
    <row r="12" spans="2:21" ht="18" customHeight="1" x14ac:dyDescent="0.2">
      <c r="B12" s="499"/>
      <c r="C12" s="484" t="s">
        <v>2226</v>
      </c>
      <c r="D12" s="3600">
        <f>IF(SUM(E12:F12)=0,E12,SUM(E12:F12))</f>
        <v>70456.100045431187</v>
      </c>
      <c r="E12" s="3569">
        <v>70456.100045431187</v>
      </c>
      <c r="F12" s="3554" t="s">
        <v>2153</v>
      </c>
      <c r="G12" s="3558" t="str">
        <f t="shared" si="4"/>
        <v>NA</v>
      </c>
      <c r="H12" s="3078">
        <f t="shared" si="5"/>
        <v>-3.8586215667012159E-3</v>
      </c>
      <c r="I12" s="3078">
        <f t="shared" si="6"/>
        <v>-3.8586215667012159E-3</v>
      </c>
      <c r="J12" s="3078">
        <f t="shared" si="7"/>
        <v>-7.7172431334024383E-4</v>
      </c>
      <c r="K12" s="3573">
        <f t="shared" si="8"/>
        <v>-3.0868972533609753E-3</v>
      </c>
      <c r="L12" s="3128" t="str">
        <f t="shared" si="9"/>
        <v>NA</v>
      </c>
      <c r="M12" s="2905" t="s">
        <v>2153</v>
      </c>
      <c r="N12" s="2905">
        <v>-271.86342714095929</v>
      </c>
      <c r="O12" s="3109">
        <f>IF(SUM(M12:N12)=0,M12,SUM(M12:N12))</f>
        <v>-271.86342714095929</v>
      </c>
      <c r="P12" s="2905">
        <v>-54.372685428191907</v>
      </c>
      <c r="Q12" s="2906">
        <v>-217.49074171276763</v>
      </c>
      <c r="R12" s="2906" t="s">
        <v>2153</v>
      </c>
      <c r="S12" s="3570">
        <f>IF(SUM(O12:R12)=0,Q12,SUM(O12:R12)*-44/12)</f>
        <v>1993.6651323670358</v>
      </c>
      <c r="U12" s="2398"/>
    </row>
    <row r="13" spans="2:21" ht="18" customHeight="1" x14ac:dyDescent="0.2">
      <c r="B13" s="499"/>
      <c r="C13" s="484" t="s">
        <v>2227</v>
      </c>
      <c r="D13" s="3600">
        <f>IF(SUM(E13:F13)=0,E13,SUM(E13:F13))</f>
        <v>439229.78103330685</v>
      </c>
      <c r="E13" s="3569">
        <v>439229.78103330685</v>
      </c>
      <c r="F13" s="3554" t="s">
        <v>2153</v>
      </c>
      <c r="G13" s="3558" t="str">
        <f t="shared" si="4"/>
        <v>NA</v>
      </c>
      <c r="H13" s="3078" t="str">
        <f t="shared" si="5"/>
        <v>NA</v>
      </c>
      <c r="I13" s="3078" t="str">
        <f t="shared" si="6"/>
        <v>NA</v>
      </c>
      <c r="J13" s="3078" t="str">
        <f t="shared" si="7"/>
        <v>NA</v>
      </c>
      <c r="K13" s="3573">
        <f t="shared" si="8"/>
        <v>6.1339457771488349E-3</v>
      </c>
      <c r="L13" s="3128" t="str">
        <f t="shared" si="9"/>
        <v>NA</v>
      </c>
      <c r="M13" s="2905" t="s">
        <v>2147</v>
      </c>
      <c r="N13" s="2905" t="s">
        <v>2147</v>
      </c>
      <c r="O13" s="3109" t="str">
        <f>IF(SUM(M13:N13)=0,M13,SUM(M13:N13))</f>
        <v>NA</v>
      </c>
      <c r="P13" s="2905" t="s">
        <v>2147</v>
      </c>
      <c r="Q13" s="2906">
        <v>2694.21166056726</v>
      </c>
      <c r="R13" s="2906" t="s">
        <v>2153</v>
      </c>
      <c r="S13" s="3570">
        <f>IF(SUM(O13:R13)=0,Q13,SUM(O13:R13)*-44/12)</f>
        <v>-9878.7760887466193</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-755.04535765674598</v>
      </c>
      <c r="O14" s="3109">
        <f>IF(SUM(M14:N14)=0,M14,SUM(M14:N14))</f>
        <v>-755.04535765674598</v>
      </c>
      <c r="P14" s="2905">
        <v>287.75251688991824</v>
      </c>
      <c r="Q14" s="2906" t="s">
        <v>2147</v>
      </c>
      <c r="R14" s="2906" t="s">
        <v>2147</v>
      </c>
      <c r="S14" s="3570">
        <f>IF(SUM(O14:R14)=0,Q14,SUM(O14:R14)*-44/12)</f>
        <v>1713.4070828117017</v>
      </c>
      <c r="U14" s="2398"/>
    </row>
    <row r="15" spans="2:21" ht="18" customHeight="1" x14ac:dyDescent="0.2">
      <c r="B15" s="485" t="s">
        <v>1066</v>
      </c>
      <c r="C15" s="486"/>
      <c r="D15" s="3589">
        <f>IF(SUM(D16,D19,D21,D23,D25)=0,"IE",SUM(D16,D19,D21,D23,D25))</f>
        <v>11440.971805956944</v>
      </c>
      <c r="E15" s="3591">
        <f t="shared" ref="E15:F15" si="15">IF(SUM(E16,E19,E21,E23,E25)=0,"IE",SUM(E16,E19,E21,E23,E25))</f>
        <v>11439.971805956944</v>
      </c>
      <c r="F15" s="3595">
        <f t="shared" si="15"/>
        <v>1</v>
      </c>
      <c r="G15" s="3558" t="str">
        <f t="shared" si="4"/>
        <v>NA</v>
      </c>
      <c r="H15" s="3078">
        <f t="shared" si="5"/>
        <v>-1.4708830509372088</v>
      </c>
      <c r="I15" s="3078">
        <f t="shared" si="6"/>
        <v>-1.4708830509372088</v>
      </c>
      <c r="J15" s="3078">
        <f t="shared" si="7"/>
        <v>-0.27250200781607231</v>
      </c>
      <c r="K15" s="3573">
        <f t="shared" si="8"/>
        <v>-0.13686349557269165</v>
      </c>
      <c r="L15" s="3128">
        <f t="shared" si="9"/>
        <v>-8.7249999999999996</v>
      </c>
      <c r="M15" s="3590" t="str">
        <f>IF(SUM(M16,M19,M21,M23,M25)=0,"IE",SUM(M16,M19,M21,M23,M25))</f>
        <v>IE</v>
      </c>
      <c r="N15" s="3591">
        <f t="shared" ref="N15:S15" si="16">IF(SUM(N16,N19,N21,N23,N25)=0,"IE",SUM(N16,N19,N21,N23,N25))</f>
        <v>-16828.331515632537</v>
      </c>
      <c r="O15" s="3592">
        <f t="shared" si="16"/>
        <v>-16828.331515632537</v>
      </c>
      <c r="P15" s="3592">
        <f t="shared" si="16"/>
        <v>-3117.687788490342</v>
      </c>
      <c r="Q15" s="3592">
        <f t="shared" si="16"/>
        <v>-1565.7145306163054</v>
      </c>
      <c r="R15" s="3592">
        <f t="shared" si="16"/>
        <v>-8.7249999999999996</v>
      </c>
      <c r="S15" s="3594">
        <f t="shared" si="16"/>
        <v>78908.34906071033</v>
      </c>
      <c r="U15" s="2019"/>
    </row>
    <row r="16" spans="2:21" ht="18" customHeight="1" x14ac:dyDescent="0.2">
      <c r="B16" s="500" t="s">
        <v>1067</v>
      </c>
      <c r="C16" s="486"/>
      <c r="D16" s="3599">
        <f>IF(SUM(D17:D18)=0,"IE",SUM(D17:D18))</f>
        <v>11392.094373420397</v>
      </c>
      <c r="E16" s="3564">
        <f t="shared" ref="E16:F16" si="17">IF(SUM(E17:E18)=0,"IE",SUM(E17:E18))</f>
        <v>11392.094373420397</v>
      </c>
      <c r="F16" s="3565" t="str">
        <f t="shared" si="17"/>
        <v>IE</v>
      </c>
      <c r="G16" s="3558" t="str">
        <f t="shared" si="4"/>
        <v>NA</v>
      </c>
      <c r="H16" s="3078">
        <f t="shared" si="5"/>
        <v>-1.4771938296873455</v>
      </c>
      <c r="I16" s="3078">
        <f t="shared" si="6"/>
        <v>-1.4771938296873455</v>
      </c>
      <c r="J16" s="3078">
        <f t="shared" si="7"/>
        <v>-0.27367116934743912</v>
      </c>
      <c r="K16" s="3573">
        <f t="shared" si="8"/>
        <v>-0.12704606248462497</v>
      </c>
      <c r="L16" s="3128" t="str">
        <f t="shared" si="9"/>
        <v>NA</v>
      </c>
      <c r="M16" s="3506" t="str">
        <f>IF(SUM(M17:M18)=0,"IE",SUM(M17:M18))</f>
        <v>IE</v>
      </c>
      <c r="N16" s="3506">
        <f t="shared" ref="N16:O16" si="18">IF(SUM(N17:N18)=0,"IE",SUM(N17:N18))</f>
        <v>-16828.331515632537</v>
      </c>
      <c r="O16" s="3506">
        <f t="shared" si="18"/>
        <v>-16828.331515632537</v>
      </c>
      <c r="P16" s="3506">
        <f t="shared" ref="P16" si="19">IF(SUM(P17:P18)=0,"IE",SUM(P17:P18))</f>
        <v>-3117.687788490342</v>
      </c>
      <c r="Q16" s="3601">
        <f t="shared" ref="Q16" si="20">IF(SUM(Q17:Q18)=0,"IE",SUM(Q17:Q18))</f>
        <v>-1447.3207335963123</v>
      </c>
      <c r="R16" s="3601" t="str">
        <f t="shared" ref="R16" si="21">IF(SUM(R17:R18)=0,"IE",SUM(R17:R18))</f>
        <v>IE</v>
      </c>
      <c r="S16" s="3287">
        <f t="shared" ref="S16" si="22">IF(SUM(S17:S18)=0,"IE",SUM(S17:S18))</f>
        <v>78442.24680497036</v>
      </c>
      <c r="U16" s="2400"/>
    </row>
    <row r="17" spans="2:21" ht="18" customHeight="1" x14ac:dyDescent="0.2">
      <c r="B17" s="500"/>
      <c r="C17" s="484" t="s">
        <v>2228</v>
      </c>
      <c r="D17" s="3600">
        <f>IF(SUM(E17:F17)=0,E17,SUM(E17:F17))</f>
        <v>11392.094373420397</v>
      </c>
      <c r="E17" s="3569">
        <v>11392.094373420397</v>
      </c>
      <c r="F17" s="3554" t="s">
        <v>2153</v>
      </c>
      <c r="G17" s="3558" t="str">
        <f t="shared" si="4"/>
        <v>NA</v>
      </c>
      <c r="H17" s="3078">
        <f t="shared" si="5"/>
        <v>-1.4771665451373792</v>
      </c>
      <c r="I17" s="3078">
        <f t="shared" si="6"/>
        <v>-1.4771665451373792</v>
      </c>
      <c r="J17" s="3078">
        <f t="shared" si="7"/>
        <v>-0.27381190706821212</v>
      </c>
      <c r="K17" s="3573">
        <f t="shared" si="8"/>
        <v>-0.12704606248462497</v>
      </c>
      <c r="L17" s="3128" t="str">
        <f t="shared" si="9"/>
        <v>NA</v>
      </c>
      <c r="M17" s="2905" t="s">
        <v>2153</v>
      </c>
      <c r="N17" s="2905">
        <v>-16828.020687464385</v>
      </c>
      <c r="O17" s="3109">
        <f>IF(SUM(M17:N17)=0,M17,SUM(M17:N17))</f>
        <v>-16828.020687464385</v>
      </c>
      <c r="P17" s="2905">
        <v>-3119.2910858872883</v>
      </c>
      <c r="Q17" s="2906">
        <v>-1447.3207335963123</v>
      </c>
      <c r="R17" s="2906" t="s">
        <v>2153</v>
      </c>
      <c r="S17" s="3570">
        <f>IF(SUM(O17:R17)=0,Q17,SUM(O17:R17)*-44/12)</f>
        <v>78446.985858809276</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-0.3108281681516723</v>
      </c>
      <c r="O18" s="3109">
        <f>IF(SUM(M18:N18)=0,M18,SUM(M18:N18))</f>
        <v>-0.3108281681516723</v>
      </c>
      <c r="P18" s="2905">
        <v>1.6032973969462172</v>
      </c>
      <c r="Q18" s="2906" t="s">
        <v>2147</v>
      </c>
      <c r="R18" s="2906" t="s">
        <v>2147</v>
      </c>
      <c r="S18" s="3570">
        <f>IF(SUM(O18:R18)=0,Q18,SUM(O18:R18)*-44/12)</f>
        <v>-4.739053838913331</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13293.840768034999</v>
      </c>
      <c r="E10" s="3583">
        <f>IF(SUM(E11,E23)=0,"IE",SUM(E11,E23))</f>
        <v>13221.229779752075</v>
      </c>
      <c r="F10" s="3584">
        <f>IF(SUM(F11,F23)=0,"IE",SUM(F11,F23))</f>
        <v>72.610988282923955</v>
      </c>
      <c r="G10" s="3608" t="str">
        <f>IFERROR(IF(SUM($D10)=0,"NA",M10/$D10),"NA")</f>
        <v>NA</v>
      </c>
      <c r="H10" s="3609">
        <f t="shared" ref="H10:J10" si="0">IFERROR(IF(SUM($D10)=0,"NA",N10/$D10),"NA")</f>
        <v>-1.5401566603684785E-2</v>
      </c>
      <c r="I10" s="3610">
        <f t="shared" si="0"/>
        <v>-1.5401566603684785E-2</v>
      </c>
      <c r="J10" s="3609">
        <f t="shared" si="0"/>
        <v>-2.0071907817360355E-4</v>
      </c>
      <c r="K10" s="3609">
        <f>IFERROR(IF(SUM(E10)=0,"NA",Q10/E10),"NA")</f>
        <v>-2.2719823379318545E-3</v>
      </c>
      <c r="L10" s="3611" t="str">
        <f>IFERROR(IF(SUM(F10)=0,"NA",R10/F10),"NA")</f>
        <v>NA</v>
      </c>
      <c r="M10" s="3610" t="str">
        <f t="shared" ref="M10:S10" si="1">IF(SUM(M11,M23)=0,"IE",SUM(M11,M23))</f>
        <v>IE</v>
      </c>
      <c r="N10" s="3609">
        <f t="shared" si="1"/>
        <v>-204.74597400767112</v>
      </c>
      <c r="O10" s="3610">
        <f t="shared" si="1"/>
        <v>-204.74597400767112</v>
      </c>
      <c r="P10" s="3609">
        <f t="shared" si="1"/>
        <v>-2.668327464346655</v>
      </c>
      <c r="Q10" s="3612">
        <f t="shared" si="1"/>
        <v>-30.038400545335374</v>
      </c>
      <c r="R10" s="3612" t="str">
        <f t="shared" si="1"/>
        <v>IE</v>
      </c>
      <c r="S10" s="3588">
        <f t="shared" si="1"/>
        <v>870.65990739696156</v>
      </c>
      <c r="U10" s="2401"/>
    </row>
    <row r="11" spans="1:23" ht="18" customHeight="1" x14ac:dyDescent="0.2">
      <c r="B11" s="501" t="s">
        <v>990</v>
      </c>
      <c r="C11" s="483"/>
      <c r="D11" s="3613">
        <f>IF(SUM(D12,D14,D17)=0,"IE",SUM(D12,D14,D17))</f>
        <v>13257.180768034999</v>
      </c>
      <c r="E11" s="3614">
        <f t="shared" ref="E11:S11" si="2">IF(SUM(E12,E14,E17)=0,"IE",SUM(E12,E14,E17))</f>
        <v>13184.569779752075</v>
      </c>
      <c r="F11" s="3615">
        <f t="shared" si="2"/>
        <v>72.610988282923955</v>
      </c>
      <c r="G11" s="3616" t="str">
        <f t="shared" ref="G11:G56" si="3">IFERROR(IF(SUM($D11)=0,"NA",M11/$D11),"NA")</f>
        <v>NA</v>
      </c>
      <c r="H11" s="3617">
        <f t="shared" ref="H11:H56" si="4">IFERROR(IF(SUM($D11)=0,"NA",N11/$D11),"NA")</f>
        <v>-1.4555505984570859E-2</v>
      </c>
      <c r="I11" s="3618">
        <f t="shared" ref="I11:I56" si="5">IFERROR(IF(SUM($D11)=0,"NA",O11/$D11),"NA")</f>
        <v>-1.4555505984570859E-2</v>
      </c>
      <c r="J11" s="3617">
        <f t="shared" ref="J11:J56" si="6">IFERROR(IF(SUM($D11)=0,"NA",P11/$D11),"NA")</f>
        <v>-2.0127412539929927E-4</v>
      </c>
      <c r="K11" s="3617">
        <f t="shared" ref="K11:K56" si="7">IFERROR(IF(SUM(E11)=0,"NA",Q11/E11),"NA")</f>
        <v>-2.2782996371611772E-3</v>
      </c>
      <c r="L11" s="3619" t="str">
        <f t="shared" ref="L11:L56" si="8">IFERROR(IF(SUM(F11)=0,"NA",R11/F11),"NA")</f>
        <v>NA</v>
      </c>
      <c r="M11" s="3618" t="str">
        <f t="shared" si="2"/>
        <v>IE</v>
      </c>
      <c r="N11" s="3617">
        <f t="shared" si="2"/>
        <v>-192.96497400767112</v>
      </c>
      <c r="O11" s="3618">
        <f t="shared" si="2"/>
        <v>-192.96497400767112</v>
      </c>
      <c r="P11" s="3617">
        <f t="shared" si="2"/>
        <v>-2.668327464346655</v>
      </c>
      <c r="Q11" s="3620">
        <f t="shared" si="2"/>
        <v>-30.038400545335374</v>
      </c>
      <c r="R11" s="3620" t="str">
        <f t="shared" si="2"/>
        <v>IE</v>
      </c>
      <c r="S11" s="3621">
        <f t="shared" si="2"/>
        <v>827.46290739696155</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802.39599347714034</v>
      </c>
      <c r="E14" s="3564">
        <f>IF(SUM(E15:E16)=0,"IE",SUM(E15:E16))</f>
        <v>802.39599347714034</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469.60590000000002</v>
      </c>
      <c r="E15" s="3569">
        <v>469.60590000000002</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12454.784774557858</v>
      </c>
      <c r="E17" s="3564">
        <f>IF(SUM(E18:E21)=0,"IE",SUM(E18:E21))</f>
        <v>12382.173786274934</v>
      </c>
      <c r="F17" s="3565">
        <f>IF(SUM(F18:F21)=0,"IE",SUM(F18:F21))</f>
        <v>72.610988282923955</v>
      </c>
      <c r="G17" s="3622" t="str">
        <f t="shared" si="3"/>
        <v>NA</v>
      </c>
      <c r="H17" s="3591">
        <f t="shared" si="4"/>
        <v>-1.5493240349030546E-2</v>
      </c>
      <c r="I17" s="3623">
        <f t="shared" si="5"/>
        <v>-1.5493240349030546E-2</v>
      </c>
      <c r="J17" s="3591">
        <f t="shared" si="6"/>
        <v>-2.1424115411431346E-4</v>
      </c>
      <c r="K17" s="3591">
        <f t="shared" si="7"/>
        <v>-2.4259391819093632E-3</v>
      </c>
      <c r="L17" s="3595" t="str">
        <f t="shared" si="8"/>
        <v>NA</v>
      </c>
      <c r="M17" s="3564" t="str">
        <f t="shared" ref="M17:S17" si="16">IF(SUM(M18:M21)=0,"IE",SUM(M18:M21))</f>
        <v>IE</v>
      </c>
      <c r="N17" s="3617">
        <f t="shared" si="16"/>
        <v>-192.96497400767112</v>
      </c>
      <c r="O17" s="3618">
        <f t="shared" si="16"/>
        <v>-192.96497400767112</v>
      </c>
      <c r="P17" s="3617">
        <f t="shared" si="16"/>
        <v>-2.668327464346655</v>
      </c>
      <c r="Q17" s="3620">
        <f t="shared" si="16"/>
        <v>-30.038400545335374</v>
      </c>
      <c r="R17" s="3620" t="str">
        <f t="shared" si="16"/>
        <v>IE</v>
      </c>
      <c r="S17" s="3634">
        <f t="shared" si="16"/>
        <v>827.46290739696155</v>
      </c>
      <c r="U17" s="2402"/>
    </row>
    <row r="18" spans="1:23" ht="18" customHeight="1" x14ac:dyDescent="0.2">
      <c r="A18" s="2502"/>
      <c r="B18" s="2682"/>
      <c r="C18" s="2503" t="s">
        <v>2231</v>
      </c>
      <c r="D18" s="3600">
        <f>IF(SUM(E18:F18)=0,E18,SUM(E18:F18))</f>
        <v>1716.6986404464226</v>
      </c>
      <c r="E18" s="3569">
        <v>1716.6986404464226</v>
      </c>
      <c r="F18" s="3635" t="s">
        <v>2153</v>
      </c>
      <c r="G18" s="3630" t="str">
        <f t="shared" si="3"/>
        <v>NA</v>
      </c>
      <c r="H18" s="3631">
        <f t="shared" si="4"/>
        <v>-2.1872214375322722E-2</v>
      </c>
      <c r="I18" s="3632">
        <f t="shared" si="5"/>
        <v>-2.1872214375322722E-2</v>
      </c>
      <c r="J18" s="3631">
        <f t="shared" si="6"/>
        <v>-4.3744428750645444E-3</v>
      </c>
      <c r="K18" s="3631">
        <f t="shared" si="7"/>
        <v>-1.7497771500258177E-2</v>
      </c>
      <c r="L18" s="3633" t="str">
        <f t="shared" si="8"/>
        <v>NA</v>
      </c>
      <c r="M18" s="3624" t="s">
        <v>2153</v>
      </c>
      <c r="N18" s="3625">
        <v>-37.548000681669215</v>
      </c>
      <c r="O18" s="3109">
        <f>IF(SUM(M18:N18)=0,M18,SUM(M18:N18))</f>
        <v>-37.548000681669215</v>
      </c>
      <c r="P18" s="3625">
        <v>-7.5096001363338436</v>
      </c>
      <c r="Q18" s="3626">
        <v>-30.038400545335374</v>
      </c>
      <c r="R18" s="3636" t="s">
        <v>2153</v>
      </c>
      <c r="S18" s="3570">
        <f>IF(SUM(O18:R18)=0,Q18,SUM(O18:R18)*-44/12)</f>
        <v>275.3520049989076</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-155.41697332600191</v>
      </c>
      <c r="O19" s="3109">
        <f t="shared" ref="O19:O22" si="18">IF(SUM(M19:N19)=0,M19,SUM(M19:N19))</f>
        <v>-155.41697332600191</v>
      </c>
      <c r="P19" s="3625">
        <v>4.8412726719871886</v>
      </c>
      <c r="Q19" s="3628" t="s">
        <v>2147</v>
      </c>
      <c r="R19" s="3627" t="s">
        <v>2147</v>
      </c>
      <c r="S19" s="3570">
        <f t="shared" ref="S19:S22" si="19">IF(SUM(O19:R19)=0,Q19,SUM(O19:R19)*-44/12)</f>
        <v>552.11090239805401</v>
      </c>
      <c r="T19" s="2502"/>
      <c r="U19" s="2684"/>
      <c r="V19" s="2502"/>
      <c r="W19" s="2502"/>
    </row>
    <row r="20" spans="1:23" ht="18" customHeight="1" x14ac:dyDescent="0.2">
      <c r="A20" s="2502"/>
      <c r="B20" s="2682"/>
      <c r="C20" s="2683" t="s">
        <v>2234</v>
      </c>
      <c r="D20" s="3600">
        <f t="shared" si="17"/>
        <v>10665.475145828512</v>
      </c>
      <c r="E20" s="3607">
        <v>10665.475145828512</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72.610988282923955</v>
      </c>
      <c r="E21" s="3564" t="str">
        <f t="shared" ref="E21:F21" si="20">E22</f>
        <v>IE</v>
      </c>
      <c r="F21" s="3565">
        <f t="shared" si="20"/>
        <v>72.610988282923955</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72.610988282923955</v>
      </c>
      <c r="E22" s="3569" t="s">
        <v>2153</v>
      </c>
      <c r="F22" s="3554">
        <v>72.610988282923955</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36.659999999999997</v>
      </c>
      <c r="E23" s="3591">
        <f t="shared" ref="E23:F23" si="22">IF(SUM(E24,E35,E46)=0,"IE",SUM(E24,E35,E46))</f>
        <v>36.659999999999997</v>
      </c>
      <c r="F23" s="3595" t="str">
        <f t="shared" si="22"/>
        <v>IE</v>
      </c>
      <c r="G23" s="3622" t="str">
        <f t="shared" si="3"/>
        <v>NA</v>
      </c>
      <c r="H23" s="3591">
        <f t="shared" si="4"/>
        <v>-0.32135842880523735</v>
      </c>
      <c r="I23" s="3623">
        <f t="shared" si="5"/>
        <v>-0.32135842880523735</v>
      </c>
      <c r="J23" s="3591" t="str">
        <f t="shared" si="6"/>
        <v>NA</v>
      </c>
      <c r="K23" s="3591" t="str">
        <f t="shared" si="7"/>
        <v>NA</v>
      </c>
      <c r="L23" s="3595" t="str">
        <f t="shared" si="8"/>
        <v>NA</v>
      </c>
      <c r="M23" s="3591" t="str">
        <f t="shared" ref="M23" si="23">IF(SUM(M24,M35,M46)=0,"IE",SUM(M24,M35,M46))</f>
        <v>IE</v>
      </c>
      <c r="N23" s="3591">
        <f t="shared" ref="N23" si="24">IF(SUM(N24,N35,N46)=0,"IE",SUM(N24,N35,N46))</f>
        <v>-11.781000000000001</v>
      </c>
      <c r="O23" s="3623">
        <f t="shared" ref="O23" si="25">IF(SUM(O24,O35,O46)=0,"IE",SUM(O24,O35,O46))</f>
        <v>-11.781000000000001</v>
      </c>
      <c r="P23" s="3591" t="str">
        <f>IF(SUM(P24,P35,P46)=0,"NO",SUM(P24,P35,P46))</f>
        <v>NO</v>
      </c>
      <c r="Q23" s="3590" t="str">
        <f>IF(SUM(Q24,Q35,Q46)=0,"NO",SUM(Q24,Q35,Q46))</f>
        <v>NO</v>
      </c>
      <c r="R23" s="3590" t="str">
        <f>IF(SUM(R24,R35,R46)=0,"NO",SUM(R24,R35,R46))</f>
        <v>NO</v>
      </c>
      <c r="S23" s="3594">
        <f t="shared" ref="S23" si="26">IF(SUM(S24,S35,S46)=0,"IE",SUM(S24,S35,S46))</f>
        <v>43.197000000000003</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36.659999999999997</v>
      </c>
      <c r="E35" s="3591">
        <f>IF(SUM(E36,E38,E40,E42,E44)=0,"IE",SUM(E36,E38,E40,E42,E44))</f>
        <v>36.659999999999997</v>
      </c>
      <c r="F35" s="3595" t="str">
        <f>IF(SUM(F36,F38,F40,F42,F44)=0,"IE",SUM(F36,F38,F40,F42,F44))</f>
        <v>IE</v>
      </c>
      <c r="G35" s="3622" t="str">
        <f t="shared" si="3"/>
        <v>NA</v>
      </c>
      <c r="H35" s="3591">
        <f t="shared" si="4"/>
        <v>-0.32135842880523735</v>
      </c>
      <c r="I35" s="3623">
        <f t="shared" si="5"/>
        <v>-0.32135842880523735</v>
      </c>
      <c r="J35" s="3591" t="str">
        <f t="shared" si="6"/>
        <v>NA</v>
      </c>
      <c r="K35" s="3591" t="str">
        <f t="shared" si="7"/>
        <v>NA</v>
      </c>
      <c r="L35" s="3595" t="str">
        <f t="shared" si="8"/>
        <v>NA</v>
      </c>
      <c r="M35" s="3591" t="str">
        <f t="shared" ref="M35:S35" si="48">IF(SUM(M36,M38,M40,M42,M44)=0,"IE",SUM(M36,M38,M40,M42,M44))</f>
        <v>IE</v>
      </c>
      <c r="N35" s="3591">
        <f t="shared" si="48"/>
        <v>-11.781000000000001</v>
      </c>
      <c r="O35" s="3623">
        <f t="shared" si="48"/>
        <v>-11.781000000000001</v>
      </c>
      <c r="P35" s="3591" t="str">
        <f>IF(SUM(P36,P38,P40,P42,P44)=0,"NO",SUM(P36,P38,P40,P42,P44))</f>
        <v>NO</v>
      </c>
      <c r="Q35" s="3590" t="str">
        <f>IF(SUM(Q36,Q38,Q40,Q42,Q44)=0,"NO",SUM(Q36,Q38,Q40,Q42,Q44))</f>
        <v>NO</v>
      </c>
      <c r="R35" s="3590" t="str">
        <f>IF(SUM(R36,R38,R40,R42,R44)=0,"NO",SUM(R36,R38,R40,R42,R44))</f>
        <v>NO</v>
      </c>
      <c r="S35" s="3594">
        <f t="shared" si="48"/>
        <v>43.197000000000003</v>
      </c>
      <c r="U35" s="503"/>
    </row>
    <row r="36" spans="2:21" ht="18" customHeight="1" x14ac:dyDescent="0.2">
      <c r="B36" s="505" t="s">
        <v>1087</v>
      </c>
      <c r="C36" s="486"/>
      <c r="D36" s="3600">
        <f>D37</f>
        <v>36.659999999999997</v>
      </c>
      <c r="E36" s="3564">
        <f t="shared" ref="E36:F36" si="49">E37</f>
        <v>36.659999999999997</v>
      </c>
      <c r="F36" s="3565" t="str">
        <f t="shared" si="49"/>
        <v>IE</v>
      </c>
      <c r="G36" s="3558" t="str">
        <f t="shared" si="3"/>
        <v>NA</v>
      </c>
      <c r="H36" s="3078">
        <f t="shared" si="4"/>
        <v>-0.32135842880523735</v>
      </c>
      <c r="I36" s="3078">
        <f t="shared" si="5"/>
        <v>-0.32135842880523735</v>
      </c>
      <c r="J36" s="3078" t="str">
        <f t="shared" si="6"/>
        <v>NA</v>
      </c>
      <c r="K36" s="3573" t="str">
        <f t="shared" si="7"/>
        <v>NA</v>
      </c>
      <c r="L36" s="3128" t="str">
        <f t="shared" si="8"/>
        <v>NA</v>
      </c>
      <c r="M36" s="3505" t="str">
        <f t="shared" ref="M36:S36" si="50">M37</f>
        <v>IE</v>
      </c>
      <c r="N36" s="3506">
        <f t="shared" si="50"/>
        <v>-11.781000000000001</v>
      </c>
      <c r="O36" s="3506">
        <f t="shared" si="50"/>
        <v>-11.781000000000001</v>
      </c>
      <c r="P36" s="3506" t="str">
        <f t="shared" si="50"/>
        <v>NA</v>
      </c>
      <c r="Q36" s="3601" t="str">
        <f t="shared" si="50"/>
        <v>NA</v>
      </c>
      <c r="R36" s="3601" t="str">
        <f t="shared" si="50"/>
        <v>NA</v>
      </c>
      <c r="S36" s="3287">
        <f t="shared" si="50"/>
        <v>43.197000000000003</v>
      </c>
      <c r="U36" s="2402"/>
    </row>
    <row r="37" spans="2:21" ht="18" customHeight="1" x14ac:dyDescent="0.2">
      <c r="B37" s="1479"/>
      <c r="C37" s="885" t="s">
        <v>278</v>
      </c>
      <c r="D37" s="3600">
        <f>IF(SUM(E37:F37)=0,E37,SUM(E37:F37))</f>
        <v>36.659999999999997</v>
      </c>
      <c r="E37" s="3569">
        <v>36.659999999999997</v>
      </c>
      <c r="F37" s="3554" t="s">
        <v>2153</v>
      </c>
      <c r="G37" s="3622" t="str">
        <f t="shared" si="3"/>
        <v>NA</v>
      </c>
      <c r="H37" s="3591">
        <f t="shared" si="4"/>
        <v>-0.32135842880523735</v>
      </c>
      <c r="I37" s="3623">
        <f t="shared" si="5"/>
        <v>-0.32135842880523735</v>
      </c>
      <c r="J37" s="3591" t="str">
        <f t="shared" si="6"/>
        <v>NA</v>
      </c>
      <c r="K37" s="3591" t="str">
        <f t="shared" si="7"/>
        <v>NA</v>
      </c>
      <c r="L37" s="3595" t="str">
        <f t="shared" si="8"/>
        <v>NA</v>
      </c>
      <c r="M37" s="3624" t="s">
        <v>2153</v>
      </c>
      <c r="N37" s="3625">
        <v>-11.781000000000001</v>
      </c>
      <c r="O37" s="3109">
        <f t="shared" ref="O37" si="51">IF(SUM(M37:N37)=0,M37,SUM(M37:N37))</f>
        <v>-11.781000000000001</v>
      </c>
      <c r="P37" s="3625" t="s">
        <v>2147</v>
      </c>
      <c r="Q37" s="3626" t="s">
        <v>2147</v>
      </c>
      <c r="R37" s="3626" t="s">
        <v>2147</v>
      </c>
      <c r="S37" s="3570">
        <f t="shared" ref="S37" si="52">IF(SUM(O37:R37)=0,Q37,SUM(O37:R37)*-44/12)</f>
        <v>43.197000000000003</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1335.8862117952522</v>
      </c>
      <c r="E10" s="3583">
        <f t="shared" ref="E10:F10" si="0">IF(SUM(E11,E13)=0,"IE",SUM(E11,E13))</f>
        <v>1261.764536401</v>
      </c>
      <c r="F10" s="3584">
        <f t="shared" si="0"/>
        <v>74.121675394252122</v>
      </c>
      <c r="G10" s="3582" t="str">
        <f>IFERROR(IF(SUM($D10)=0,"NA",M10/$D10),"NA")</f>
        <v>NA</v>
      </c>
      <c r="H10" s="3583">
        <f t="shared" ref="H10:J10" si="1">IFERROR(IF(SUM($D10)=0,"NA",N10/$D10),"NA")</f>
        <v>-0.91630688089553092</v>
      </c>
      <c r="I10" s="3583">
        <f t="shared" si="1"/>
        <v>-0.91630688089553092</v>
      </c>
      <c r="J10" s="3583">
        <f t="shared" si="1"/>
        <v>3.2983638959674766E-2</v>
      </c>
      <c r="K10" s="3585">
        <f>IFERROR(IF(SUM(E10)=0,"NA",Q10/E10),"NA")</f>
        <v>-7.4309122382946804E-2</v>
      </c>
      <c r="L10" s="3584">
        <f>IFERROR(IF(SUM(F10)=0,"NA",R10/F10),"NA")</f>
        <v>0.47701541343591325</v>
      </c>
      <c r="M10" s="3586" t="str">
        <f>IF(SUM(M11,M13)=0,"IE",SUM(M11,M13))</f>
        <v>IE</v>
      </c>
      <c r="N10" s="3583">
        <f t="shared" ref="N10:S10" si="2">IF(SUM(N11,N13)=0,"IE",SUM(N11,N13))</f>
        <v>-1224.0817279614541</v>
      </c>
      <c r="O10" s="3587">
        <f t="shared" si="2"/>
        <v>-1224.0817279614541</v>
      </c>
      <c r="P10" s="3583">
        <f t="shared" si="2"/>
        <v>44.062388501062216</v>
      </c>
      <c r="Q10" s="3585">
        <f t="shared" si="2"/>
        <v>-93.760615353884049</v>
      </c>
      <c r="R10" s="3585">
        <f t="shared" si="2"/>
        <v>35.357181632751733</v>
      </c>
      <c r="S10" s="3588">
        <f t="shared" si="2"/>
        <v>4540.8835016655894</v>
      </c>
      <c r="U10" s="2261"/>
    </row>
    <row r="11" spans="2:21" ht="18" customHeight="1" x14ac:dyDescent="0.2">
      <c r="B11" s="493" t="s">
        <v>993</v>
      </c>
      <c r="C11" s="2256"/>
      <c r="D11" s="3589">
        <f>D12</f>
        <v>966.196536401</v>
      </c>
      <c r="E11" s="3078">
        <f t="shared" ref="E11:F11" si="3">E12</f>
        <v>966.196536401</v>
      </c>
      <c r="F11" s="3078" t="str">
        <f t="shared" si="3"/>
        <v>IE</v>
      </c>
      <c r="G11" s="3558" t="str">
        <f t="shared" ref="G11:G24" si="4">IFERROR(IF(SUM($D11)=0,"NA",M11/$D11),"NA")</f>
        <v>NA</v>
      </c>
      <c r="H11" s="3078">
        <f t="shared" ref="H11:H24" si="5">IFERROR(IF(SUM($D11)=0,"NA",N11/$D11),"NA")</f>
        <v>-2.7551529032290357E-3</v>
      </c>
      <c r="I11" s="3078">
        <f t="shared" ref="I11:I24" si="6">IFERROR(IF(SUM($D11)=0,"NA",O11/$D11),"NA")</f>
        <v>-2.7551529032290357E-3</v>
      </c>
      <c r="J11" s="3078">
        <f t="shared" ref="J11:J24" si="7">IFERROR(IF(SUM($D11)=0,"NA",P11/$D11),"NA")</f>
        <v>-5.5103058064580725E-4</v>
      </c>
      <c r="K11" s="3573">
        <f t="shared" ref="K11:K24" si="8">IFERROR(IF(SUM(E11)=0,"NA",Q11/E11),"NA")</f>
        <v>-2.204122322583229E-3</v>
      </c>
      <c r="L11" s="3128" t="str">
        <f t="shared" ref="L11:L24" si="9">IFERROR(IF(SUM(F11)=0,"NA",R11/F11),"NA")</f>
        <v>NA</v>
      </c>
      <c r="M11" s="3590" t="str">
        <f t="shared" ref="M11:S11" si="10">M12</f>
        <v>IE</v>
      </c>
      <c r="N11" s="3591">
        <f t="shared" si="10"/>
        <v>-2.662019192355054</v>
      </c>
      <c r="O11" s="3592">
        <f t="shared" si="10"/>
        <v>-2.662019192355054</v>
      </c>
      <c r="P11" s="3591">
        <f t="shared" si="10"/>
        <v>-0.53240383847101092</v>
      </c>
      <c r="Q11" s="3593">
        <f t="shared" si="10"/>
        <v>-2.1296153538840437</v>
      </c>
      <c r="R11" s="3593" t="str">
        <f t="shared" si="10"/>
        <v>IE</v>
      </c>
      <c r="S11" s="3594">
        <f t="shared" si="10"/>
        <v>19.521474077270401</v>
      </c>
      <c r="U11" s="2397"/>
    </row>
    <row r="12" spans="2:21" ht="18" customHeight="1" x14ac:dyDescent="0.2">
      <c r="B12" s="501"/>
      <c r="C12" s="885" t="s">
        <v>278</v>
      </c>
      <c r="D12" s="3600">
        <f>IF(SUM(E12:F12)=0,E12,SUM(E12:F12))</f>
        <v>966.196536401</v>
      </c>
      <c r="E12" s="3569">
        <v>966.196536401</v>
      </c>
      <c r="F12" s="3554" t="s">
        <v>2153</v>
      </c>
      <c r="G12" s="3558" t="str">
        <f t="shared" si="4"/>
        <v>NA</v>
      </c>
      <c r="H12" s="3078">
        <f t="shared" si="5"/>
        <v>-2.7551529032290357E-3</v>
      </c>
      <c r="I12" s="3078">
        <f t="shared" si="6"/>
        <v>-2.7551529032290357E-3</v>
      </c>
      <c r="J12" s="3078">
        <f t="shared" si="7"/>
        <v>-5.5103058064580725E-4</v>
      </c>
      <c r="K12" s="3573">
        <f t="shared" si="8"/>
        <v>-2.204122322583229E-3</v>
      </c>
      <c r="L12" s="3128" t="str">
        <f t="shared" si="9"/>
        <v>NA</v>
      </c>
      <c r="M12" s="2905" t="s">
        <v>2153</v>
      </c>
      <c r="N12" s="2905">
        <v>-2.662019192355054</v>
      </c>
      <c r="O12" s="3109">
        <f>IF(SUM(M12:N12)=0,M12,SUM(M12:N12))</f>
        <v>-2.662019192355054</v>
      </c>
      <c r="P12" s="2905">
        <v>-0.53240383847101092</v>
      </c>
      <c r="Q12" s="2906">
        <v>-2.1296153538840437</v>
      </c>
      <c r="R12" s="2906" t="s">
        <v>2153</v>
      </c>
      <c r="S12" s="3570">
        <f>IF(SUM(O12:R12)=0,Q12,SUM(O12:R12)*-44/12)</f>
        <v>19.521474077270401</v>
      </c>
      <c r="U12" s="2398"/>
    </row>
    <row r="13" spans="2:21" ht="18" customHeight="1" x14ac:dyDescent="0.2">
      <c r="B13" s="493" t="s">
        <v>994</v>
      </c>
      <c r="C13" s="504"/>
      <c r="D13" s="3589">
        <f>IF(SUM(D14,D17,D19,D21,D23)=0,"IE",SUM(D14,D17,D19,D21,D23))</f>
        <v>369.68967539425211</v>
      </c>
      <c r="E13" s="3591">
        <f t="shared" ref="E13:S13" si="11">IF(SUM(E14,E17,E19,E21,E23)=0,"IE",SUM(E14,E17,E19,E21,E23))</f>
        <v>295.56799999999998</v>
      </c>
      <c r="F13" s="3595">
        <f t="shared" si="11"/>
        <v>74.121675394252122</v>
      </c>
      <c r="G13" s="3558" t="str">
        <f t="shared" si="4"/>
        <v>NA</v>
      </c>
      <c r="H13" s="3078">
        <f t="shared" si="5"/>
        <v>-3.3039053835261356</v>
      </c>
      <c r="I13" s="3078">
        <f t="shared" si="6"/>
        <v>-3.3039053835261356</v>
      </c>
      <c r="J13" s="3078">
        <f t="shared" si="7"/>
        <v>0.12062763801011085</v>
      </c>
      <c r="K13" s="3573">
        <f t="shared" si="8"/>
        <v>-0.31001664591566069</v>
      </c>
      <c r="L13" s="3128">
        <f t="shared" si="9"/>
        <v>0.47701541343591325</v>
      </c>
      <c r="M13" s="3078" t="str">
        <f t="shared" si="11"/>
        <v>IE</v>
      </c>
      <c r="N13" s="3078">
        <f t="shared" si="11"/>
        <v>-1221.4197087690991</v>
      </c>
      <c r="O13" s="3078">
        <f t="shared" si="11"/>
        <v>-1221.4197087690991</v>
      </c>
      <c r="P13" s="3078">
        <f t="shared" si="11"/>
        <v>44.594792339533228</v>
      </c>
      <c r="Q13" s="3573">
        <f t="shared" si="11"/>
        <v>-91.631</v>
      </c>
      <c r="R13" s="3573">
        <f t="shared" si="11"/>
        <v>35.357181632751733</v>
      </c>
      <c r="S13" s="3570">
        <f t="shared" si="11"/>
        <v>4521.3620275883186</v>
      </c>
      <c r="U13" s="2019"/>
    </row>
    <row r="14" spans="2:21" ht="18" customHeight="1" x14ac:dyDescent="0.2">
      <c r="B14" s="495" t="s">
        <v>1101</v>
      </c>
      <c r="C14" s="504"/>
      <c r="D14" s="3599">
        <f>IF(SUM(D15:D16)=0,"IE",SUM(D15:D16))</f>
        <v>369.68967539425211</v>
      </c>
      <c r="E14" s="3564">
        <f t="shared" ref="E14:F14" si="12">IF(SUM(E15:E16)=0,"IE",SUM(E15:E16))</f>
        <v>295.56799999999998</v>
      </c>
      <c r="F14" s="3565">
        <f t="shared" si="12"/>
        <v>74.121675394252122</v>
      </c>
      <c r="G14" s="3558" t="str">
        <f t="shared" si="4"/>
        <v>NA</v>
      </c>
      <c r="H14" s="3078">
        <f t="shared" si="5"/>
        <v>-3.3039053835261356</v>
      </c>
      <c r="I14" s="3078">
        <f t="shared" si="6"/>
        <v>-3.3039053835261356</v>
      </c>
      <c r="J14" s="3078">
        <f t="shared" si="7"/>
        <v>0.12062763801011085</v>
      </c>
      <c r="K14" s="3573">
        <f t="shared" si="8"/>
        <v>-0.31001664591566069</v>
      </c>
      <c r="L14" s="3128">
        <f t="shared" si="9"/>
        <v>0.47701541343591325</v>
      </c>
      <c r="M14" s="3506" t="str">
        <f>IF(SUM(M15:M16)=0,"IE",SUM(M15:M16))</f>
        <v>IE</v>
      </c>
      <c r="N14" s="3506">
        <f t="shared" ref="N14:S14" si="13">IF(SUM(N15:N16)=0,"IE",SUM(N15:N16))</f>
        <v>-1221.4197087690991</v>
      </c>
      <c r="O14" s="3506">
        <f t="shared" si="13"/>
        <v>-1221.4197087690991</v>
      </c>
      <c r="P14" s="3506">
        <f t="shared" si="13"/>
        <v>44.594792339533228</v>
      </c>
      <c r="Q14" s="3601">
        <f t="shared" si="13"/>
        <v>-91.631</v>
      </c>
      <c r="R14" s="3601">
        <f t="shared" si="13"/>
        <v>35.357181632751733</v>
      </c>
      <c r="S14" s="3287">
        <f t="shared" si="13"/>
        <v>4521.3620275883186</v>
      </c>
      <c r="U14" s="2019"/>
    </row>
    <row r="15" spans="2:21" ht="18" customHeight="1" x14ac:dyDescent="0.2">
      <c r="B15" s="496"/>
      <c r="C15" s="508" t="s">
        <v>2235</v>
      </c>
      <c r="D15" s="3600">
        <f>IF(SUM(E15:F15)=0,E15,SUM(E15:F15))</f>
        <v>74.121675394252122</v>
      </c>
      <c r="E15" s="3569" t="s">
        <v>2146</v>
      </c>
      <c r="F15" s="3554">
        <v>74.121675394252122</v>
      </c>
      <c r="G15" s="3558" t="str">
        <f t="shared" si="4"/>
        <v>NA</v>
      </c>
      <c r="H15" s="3078">
        <f t="shared" si="5"/>
        <v>-9.7987087435077154</v>
      </c>
      <c r="I15" s="3078">
        <f t="shared" si="6"/>
        <v>-9.7987087435077154</v>
      </c>
      <c r="J15" s="3078">
        <f t="shared" si="7"/>
        <v>1.6231391384450928</v>
      </c>
      <c r="K15" s="3573" t="str">
        <f t="shared" si="8"/>
        <v>NA</v>
      </c>
      <c r="L15" s="3128">
        <f t="shared" si="9"/>
        <v>0.47701541343591325</v>
      </c>
      <c r="M15" s="2905" t="s">
        <v>2153</v>
      </c>
      <c r="N15" s="2905">
        <v>-726.29670876909893</v>
      </c>
      <c r="O15" s="3109">
        <f>IF(SUM(M15:N15)=0,M15,SUM(M15:N15))</f>
        <v>-726.29670876909893</v>
      </c>
      <c r="P15" s="2905">
        <v>120.30979233953323</v>
      </c>
      <c r="Q15" s="2906" t="s">
        <v>2146</v>
      </c>
      <c r="R15" s="2906">
        <v>35.357181632751733</v>
      </c>
      <c r="S15" s="3570">
        <f>IF(SUM(O15:R15)=0,Q15,SUM(O15:R15)*-44/12)</f>
        <v>2092.3090275883178</v>
      </c>
      <c r="U15" s="2019"/>
    </row>
    <row r="16" spans="2:21" ht="18" customHeight="1" x14ac:dyDescent="0.2">
      <c r="B16" s="494"/>
      <c r="C16" s="508" t="s">
        <v>2236</v>
      </c>
      <c r="D16" s="3600">
        <f>IF(SUM(E16:F16)=0,E16,SUM(E16:F16))</f>
        <v>295.56799999999998</v>
      </c>
      <c r="E16" s="3569">
        <v>295.56799999999998</v>
      </c>
      <c r="F16" s="3554" t="s">
        <v>2153</v>
      </c>
      <c r="G16" s="3558" t="str">
        <f t="shared" si="4"/>
        <v>NA</v>
      </c>
      <c r="H16" s="3078">
        <f t="shared" si="5"/>
        <v>-1.6751576625345102</v>
      </c>
      <c r="I16" s="3078">
        <f t="shared" si="6"/>
        <v>-1.6751576625345102</v>
      </c>
      <c r="J16" s="3078">
        <f t="shared" si="7"/>
        <v>-0.25616778541655394</v>
      </c>
      <c r="K16" s="3573">
        <f t="shared" si="8"/>
        <v>-0.31001664591566069</v>
      </c>
      <c r="L16" s="3128" t="str">
        <f t="shared" si="9"/>
        <v>NA</v>
      </c>
      <c r="M16" s="2905" t="s">
        <v>2153</v>
      </c>
      <c r="N16" s="2905">
        <v>-495.12300000000005</v>
      </c>
      <c r="O16" s="3109">
        <f>IF(SUM(M16:N16)=0,M16,SUM(M16:N16))</f>
        <v>-495.12300000000005</v>
      </c>
      <c r="P16" s="2905">
        <v>-75.715000000000003</v>
      </c>
      <c r="Q16" s="2906">
        <v>-91.631</v>
      </c>
      <c r="R16" s="2906" t="s">
        <v>2153</v>
      </c>
      <c r="S16" s="3570">
        <f>IF(SUM(O16:R16)=0,Q16,SUM(O16:R16)*-44/12)</f>
        <v>2429.0530000000003</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76.729674511708055</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76.729674511708055</v>
      </c>
    </row>
    <row r="270" spans="2:10" ht="18" customHeight="1" x14ac:dyDescent="0.2">
      <c r="B270" s="2827" t="s">
        <v>1187</v>
      </c>
      <c r="C270" s="2828"/>
      <c r="D270" s="2808"/>
      <c r="E270" s="2809"/>
      <c r="F270" s="2810"/>
      <c r="G270" s="2811"/>
      <c r="H270" s="2819" t="s">
        <v>2154</v>
      </c>
      <c r="I270" s="2815" t="s">
        <v>2154</v>
      </c>
      <c r="J270" s="3741">
        <f>J277</f>
        <v>64.337968684798327</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624.13108133082756</v>
      </c>
      <c r="E277" s="2755" t="s">
        <v>2147</v>
      </c>
      <c r="F277" s="2753" t="s">
        <v>2147</v>
      </c>
      <c r="G277" s="3735">
        <f>IF(SUM(D277)=0,"NA",J277*1000/D277)</f>
        <v>103.08406456478856</v>
      </c>
      <c r="H277" s="2778" t="str">
        <f t="shared" ref="H277:J277" si="1">H302</f>
        <v>NE</v>
      </c>
      <c r="I277" s="2777" t="str">
        <f t="shared" si="1"/>
        <v>NE</v>
      </c>
      <c r="J277" s="3734">
        <f t="shared" si="1"/>
        <v>64.337968684798327</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344.72203396050259</v>
      </c>
      <c r="E281" s="2755" t="str">
        <f t="shared" si="2"/>
        <v>NA</v>
      </c>
      <c r="F281" s="2753" t="str">
        <f t="shared" si="2"/>
        <v>NA</v>
      </c>
      <c r="G281" s="3735">
        <f t="shared" si="2"/>
        <v>120.2195930345657</v>
      </c>
      <c r="H281" s="2780" t="str">
        <f t="shared" ref="H281" si="3">H306</f>
        <v>NA</v>
      </c>
      <c r="I281" s="2758" t="str">
        <f t="shared" ref="I281:J281" si="4">I306</f>
        <v>NA</v>
      </c>
      <c r="J281" s="3744">
        <f t="shared" si="4"/>
        <v>41.442342632779358</v>
      </c>
    </row>
    <row r="282" spans="2:10" ht="18" customHeight="1" outlineLevel="1" x14ac:dyDescent="0.2">
      <c r="B282" s="2847" t="str">
        <f>B307</f>
        <v>Other Constructed Water Bodies</v>
      </c>
      <c r="C282" s="2835" t="str">
        <f t="shared" si="2"/>
        <v>Other Constructed Water Bodies</v>
      </c>
      <c r="D282" s="3729">
        <f t="shared" si="2"/>
        <v>279.40904737032503</v>
      </c>
      <c r="E282" s="2755" t="str">
        <f t="shared" si="2"/>
        <v>NA</v>
      </c>
      <c r="F282" s="2753" t="str">
        <f t="shared" si="2"/>
        <v>NA</v>
      </c>
      <c r="G282" s="3735">
        <f t="shared" si="2"/>
        <v>81.943037519731462</v>
      </c>
      <c r="H282" s="2845" t="str">
        <f t="shared" ref="H282" si="5">H307</f>
        <v>NA</v>
      </c>
      <c r="I282" s="2846" t="str">
        <f t="shared" ref="I282:J282" si="6">I307</f>
        <v>NA</v>
      </c>
      <c r="J282" s="3744">
        <f t="shared" si="6"/>
        <v>22.895626052018969</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64.337968684798327</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624.13108133082756</v>
      </c>
      <c r="E302" s="2755" t="s">
        <v>2147</v>
      </c>
      <c r="F302" s="2753" t="s">
        <v>2147</v>
      </c>
      <c r="G302" s="3735">
        <f>IF(SUM(D302)=0,"NA",J302*1000/D302)</f>
        <v>103.08406456478856</v>
      </c>
      <c r="H302" s="2778" t="s">
        <v>2154</v>
      </c>
      <c r="I302" s="2777" t="s">
        <v>2154</v>
      </c>
      <c r="J302" s="3734">
        <f t="shared" ref="J302" si="7">IF(SUM(J306:J307)=0,"NO",SUM(J306:J307))</f>
        <v>64.337968684798327</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344.72203396050259</v>
      </c>
      <c r="E306" s="2755" t="s">
        <v>2147</v>
      </c>
      <c r="F306" s="2753" t="s">
        <v>2147</v>
      </c>
      <c r="G306" s="3735">
        <f>IF(SUM(D306)=0,"NA",J306*1000/D306)</f>
        <v>120.2195930345657</v>
      </c>
      <c r="H306" s="2780" t="s">
        <v>2147</v>
      </c>
      <c r="I306" s="2758" t="s">
        <v>2147</v>
      </c>
      <c r="J306" s="3744">
        <v>41.442342632779358</v>
      </c>
    </row>
    <row r="307" spans="2:10" ht="18" customHeight="1" outlineLevel="2" x14ac:dyDescent="0.2">
      <c r="B307" s="2847" t="s">
        <v>2245</v>
      </c>
      <c r="C307" s="2835" t="s">
        <v>2245</v>
      </c>
      <c r="D307" s="3732">
        <v>279.40904737032503</v>
      </c>
      <c r="E307" s="2755" t="s">
        <v>2147</v>
      </c>
      <c r="F307" s="2753" t="s">
        <v>2147</v>
      </c>
      <c r="G307" s="3735">
        <f>IF(SUM(D307)=0,"NA",J307*1000/D307)</f>
        <v>81.943037519731462</v>
      </c>
      <c r="H307" s="2780" t="s">
        <v>2147</v>
      </c>
      <c r="I307" s="2758" t="s">
        <v>2147</v>
      </c>
      <c r="J307" s="3744">
        <v>22.895626052018969</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12.391705826909723</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62.639049565972222</v>
      </c>
      <c r="E327" s="2776" t="str">
        <f t="shared" ref="E327:J327" si="8">E331</f>
        <v>NA</v>
      </c>
      <c r="F327" s="2777" t="str">
        <f t="shared" si="8"/>
        <v>NA</v>
      </c>
      <c r="G327" s="3737">
        <f t="shared" si="8"/>
        <v>197.82716871938845</v>
      </c>
      <c r="H327" s="2778" t="str">
        <f t="shared" si="8"/>
        <v>IE</v>
      </c>
      <c r="I327" s="2777" t="str">
        <f t="shared" si="8"/>
        <v>NA</v>
      </c>
      <c r="J327" s="3734">
        <f t="shared" si="8"/>
        <v>12.391705826909723</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62.639049565972222</v>
      </c>
      <c r="E331" s="2755" t="str">
        <f t="shared" si="9"/>
        <v>NA</v>
      </c>
      <c r="F331" s="2753" t="str">
        <f t="shared" si="9"/>
        <v>NA</v>
      </c>
      <c r="G331" s="3735">
        <f t="shared" si="9"/>
        <v>197.82716871938845</v>
      </c>
      <c r="H331" s="2765" t="str">
        <f t="shared" si="9"/>
        <v>IE</v>
      </c>
      <c r="I331" s="2758" t="str">
        <f t="shared" si="9"/>
        <v>NA</v>
      </c>
      <c r="J331" s="3744">
        <f t="shared" si="9"/>
        <v>12.391705826909723</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12.391705826909723</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62.639049565972222</v>
      </c>
      <c r="E411" s="2776" t="str">
        <f t="shared" ref="E411:J411" si="10">E415</f>
        <v>NA</v>
      </c>
      <c r="F411" s="2777" t="str">
        <f t="shared" si="10"/>
        <v>NA</v>
      </c>
      <c r="G411" s="3737">
        <f t="shared" si="10"/>
        <v>197.82716871938845</v>
      </c>
      <c r="H411" s="2778" t="str">
        <f t="shared" si="10"/>
        <v>IE</v>
      </c>
      <c r="I411" s="2777" t="str">
        <f t="shared" si="10"/>
        <v>NA</v>
      </c>
      <c r="J411" s="3734">
        <f t="shared" si="10"/>
        <v>12.391705826909723</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62.639049565972222</v>
      </c>
      <c r="E415" s="2755" t="str">
        <f>E427</f>
        <v>NA</v>
      </c>
      <c r="F415" s="2753" t="str">
        <f>F427</f>
        <v>NA</v>
      </c>
      <c r="G415" s="3735">
        <f t="shared" ref="G415:J415" si="11">G427</f>
        <v>197.82716871938845</v>
      </c>
      <c r="H415" s="2780" t="str">
        <f t="shared" si="11"/>
        <v>IE</v>
      </c>
      <c r="I415" s="2758" t="str">
        <f t="shared" si="11"/>
        <v>NA</v>
      </c>
      <c r="J415" s="3744">
        <f t="shared" si="11"/>
        <v>12.391705826909723</v>
      </c>
    </row>
    <row r="416" spans="2:10" ht="18" customHeight="1" outlineLevel="2" x14ac:dyDescent="0.2">
      <c r="B416" s="2842" t="s">
        <v>1199</v>
      </c>
      <c r="C416" s="2828"/>
      <c r="D416" s="3731"/>
      <c r="E416" s="2809"/>
      <c r="F416" s="2810"/>
      <c r="G416" s="3738"/>
      <c r="H416" s="2819" t="s">
        <v>2154</v>
      </c>
      <c r="I416" s="2815" t="s">
        <v>2154</v>
      </c>
      <c r="J416" s="3741">
        <f>J423</f>
        <v>12.391705826909723</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62.639049565972222</v>
      </c>
      <c r="E423" s="2776" t="str">
        <f t="shared" ref="E423:J423" si="12">E427</f>
        <v>NA</v>
      </c>
      <c r="F423" s="2777" t="str">
        <f t="shared" si="12"/>
        <v>NA</v>
      </c>
      <c r="G423" s="3737">
        <f t="shared" si="12"/>
        <v>197.82716871938845</v>
      </c>
      <c r="H423" s="2778" t="str">
        <f t="shared" si="12"/>
        <v>IE</v>
      </c>
      <c r="I423" s="2777" t="str">
        <f t="shared" si="12"/>
        <v>NA</v>
      </c>
      <c r="J423" s="3734">
        <f t="shared" si="12"/>
        <v>12.391705826909723</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62.639049565972222</v>
      </c>
      <c r="E427" s="2755" t="s">
        <v>2147</v>
      </c>
      <c r="F427" s="2753" t="s">
        <v>2147</v>
      </c>
      <c r="G427" s="3735">
        <f>IF(SUM(D427)=0,"NA",J427*1000/D427)</f>
        <v>197.82716871938845</v>
      </c>
      <c r="H427" s="2780" t="s">
        <v>2153</v>
      </c>
      <c r="I427" s="2758" t="s">
        <v>2147</v>
      </c>
      <c r="J427" s="3744">
        <v>12.391705826909723</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657038.41902334255</v>
      </c>
      <c r="D10" s="4332">
        <f>IF(SUM(D11,D20,D28,D37,D46,D55)=0,"NO",SUM(D11,D20,D28,D37,D46,D55))</f>
        <v>47820.217148735261</v>
      </c>
      <c r="E10" s="4333">
        <f t="shared" ref="E10:E12" si="0">IF(SUM(C10)=0,"NA",G10/C10*1000/(44/28))</f>
        <v>1.0470114608988974E-3</v>
      </c>
      <c r="F10" s="4332">
        <f t="shared" ref="F10:F11" si="1">IF(SUM(D10)=0,"NA",H10/D10*1000/(44/28))</f>
        <v>7.4999999999999997E-3</v>
      </c>
      <c r="G10" s="4331">
        <f>IF(SUM(G11,G20,G28,G37,G46,G55)=0,"NO",SUM(G11,G20,G28,G37,G46,G55))</f>
        <v>1.0810277578073786</v>
      </c>
      <c r="H10" s="4334">
        <f>IF(SUM(H11,H20,H28,H37,H46,H55)=0,"NO",SUM(H11,H20,H28,H37,H46,H55))</f>
        <v>0.56359541639580835</v>
      </c>
      <c r="I10" s="4335">
        <f t="shared" ref="I10:I11" si="2">IF(SUM(G10:H10)=0,"NO",SUM(G10:H10))</f>
        <v>1.6446231742031869</v>
      </c>
    </row>
    <row r="11" spans="2:10" ht="18" customHeight="1" x14ac:dyDescent="0.2">
      <c r="B11" s="2848" t="s">
        <v>1901</v>
      </c>
      <c r="C11" s="4336">
        <f>IF(SUM(C12:C13)=0,"NO",SUM(C12:C13))</f>
        <v>132495.60303478307</v>
      </c>
      <c r="D11" s="4337">
        <f>IF(SUM(D12:D13)=0,"NO",SUM(D12:D13))</f>
        <v>20781.627054003617</v>
      </c>
      <c r="E11" s="4336">
        <f t="shared" si="0"/>
        <v>2.1079974700535264E-3</v>
      </c>
      <c r="F11" s="4337">
        <f t="shared" si="1"/>
        <v>7.4999999999999997E-3</v>
      </c>
      <c r="G11" s="4336">
        <f>IF(SUM(G12:G13)=0,"NO",SUM(G12:G13))</f>
        <v>0.43890062227084703</v>
      </c>
      <c r="H11" s="4338">
        <f>IF(SUM(H12:H13)=0,"NO",SUM(H12:H13))</f>
        <v>0.24492631885075689</v>
      </c>
      <c r="I11" s="4337">
        <f t="shared" si="2"/>
        <v>0.68382694112160392</v>
      </c>
    </row>
    <row r="12" spans="2:10" ht="18" customHeight="1" x14ac:dyDescent="0.2">
      <c r="B12" s="914" t="s">
        <v>1228</v>
      </c>
      <c r="C12" s="4339">
        <f>Table4.A!E11</f>
        <v>124976.20920943801</v>
      </c>
      <c r="D12" s="4340">
        <f>H12/F12*1000/(44/28)</f>
        <v>7237.4364834761391</v>
      </c>
      <c r="E12" s="4341">
        <f t="shared" si="0"/>
        <v>5.262401981639505E-4</v>
      </c>
      <c r="F12" s="4342">
        <v>7.4999999999999997E-3</v>
      </c>
      <c r="G12" s="4339">
        <v>0.10334893658595626</v>
      </c>
      <c r="H12" s="4343">
        <v>8.52983585552545E-2</v>
      </c>
      <c r="I12" s="4344">
        <f>IF(SUM(G12:H12)=0,"NO",SUM(G12:H12))</f>
        <v>0.18864729514121076</v>
      </c>
    </row>
    <row r="13" spans="2:10" ht="18" customHeight="1" x14ac:dyDescent="0.2">
      <c r="B13" s="914" t="s">
        <v>1902</v>
      </c>
      <c r="C13" s="4345">
        <f>IF(SUM(C15:C19)=0,"NO",SUM(C15:C19))</f>
        <v>7519.3938253450606</v>
      </c>
      <c r="D13" s="4344">
        <f>IF(SUM(D15:D19)=0,"NO",SUM(D15:D19))</f>
        <v>13544.190570527478</v>
      </c>
      <c r="E13" s="4345">
        <f>IF(SUM(C13)=0,"NA",G13/C13*1000/(44/28))</f>
        <v>2.8397620320223905E-2</v>
      </c>
      <c r="F13" s="4344">
        <f>IF(SUM(D13)=0,"NA",H13/D13*1000/(44/28))</f>
        <v>7.4999999999999989E-3</v>
      </c>
      <c r="G13" s="4345">
        <f>IF(SUM(G15:G19)=0,"NO",SUM(G15:G19))</f>
        <v>0.3355516856848908</v>
      </c>
      <c r="H13" s="4346">
        <f>IF(SUM(H15:H19)=0,"NO",SUM(H15:H19))</f>
        <v>0.15962796029550239</v>
      </c>
      <c r="I13" s="4344">
        <f>IF(SUM(G13:H13)=0,"NO",SUM(G13:H13))</f>
        <v>0.49517964598039321</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64.807000000000002</v>
      </c>
      <c r="D15" s="4340">
        <f>H15/F15*1000/(44/28)</f>
        <v>114.17566794873815</v>
      </c>
      <c r="E15" s="4345">
        <f>IF(SUM(C15)=0,"NA",G15/C15*1000/(44/28))</f>
        <v>3.6954855699744368E-2</v>
      </c>
      <c r="F15" s="4342">
        <v>7.4999999999999997E-3</v>
      </c>
      <c r="G15" s="4350">
        <v>3.7634666666666663E-3</v>
      </c>
      <c r="H15" s="4351">
        <v>1.345641800824414E-3</v>
      </c>
      <c r="I15" s="4344">
        <f>IF(SUM(G15:H15)=0,"NO",SUM(G15:H15))</f>
        <v>5.1091084674910799E-3</v>
      </c>
    </row>
    <row r="16" spans="2:10" ht="18" customHeight="1" x14ac:dyDescent="0.2">
      <c r="B16" s="528" t="s">
        <v>1230</v>
      </c>
      <c r="C16" s="4350">
        <f>Table4.A!E19</f>
        <v>7405.328825345061</v>
      </c>
      <c r="D16" s="4340">
        <f>H16/F16*1000/(44/28)</f>
        <v>13259.160036487729</v>
      </c>
      <c r="E16" s="4345">
        <f t="shared" ref="E16:E21" si="3">IF(SUM(C16)=0,"NA",G16/C16*1000/(44/28))</f>
        <v>2.80373065289297E-2</v>
      </c>
      <c r="F16" s="4342">
        <v>7.4999999999999997E-3</v>
      </c>
      <c r="G16" s="4350">
        <v>0.32626860235155747</v>
      </c>
      <c r="H16" s="4351">
        <v>0.15626867185860535</v>
      </c>
      <c r="I16" s="4344">
        <f t="shared" ref="I16:I21" si="4">IF(SUM(G16:H16)=0,"NO",SUM(G16:H16))</f>
        <v>0.48253727421016279</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49.258000000000003</v>
      </c>
      <c r="D18" s="4340">
        <f>H18/F18*1000/(44/28)</f>
        <v>170.85486609101113</v>
      </c>
      <c r="E18" s="4345">
        <f t="shared" si="3"/>
        <v>7.130787553967545E-2</v>
      </c>
      <c r="F18" s="4342">
        <v>7.4999999999999997E-3</v>
      </c>
      <c r="G18" s="4350">
        <v>5.5196166666666669E-3</v>
      </c>
      <c r="H18" s="4351">
        <v>2.0136466360726312E-3</v>
      </c>
      <c r="I18" s="4344">
        <f t="shared" si="4"/>
        <v>7.5332633027392982E-3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2203.076</v>
      </c>
      <c r="D20" s="4360">
        <f>D21</f>
        <v>2511.0366729212469</v>
      </c>
      <c r="E20" s="4359">
        <f t="shared" si="3"/>
        <v>2.1289687691209928E-2</v>
      </c>
      <c r="F20" s="4360">
        <f t="shared" si="5"/>
        <v>7.4999999999999997E-3</v>
      </c>
      <c r="G20" s="4359">
        <f>G21</f>
        <v>7.3704400000000003E-2</v>
      </c>
      <c r="H20" s="4361">
        <f>H21</f>
        <v>2.9594360788000405E-2</v>
      </c>
      <c r="I20" s="4360">
        <f t="shared" si="4"/>
        <v>0.1032987607880004</v>
      </c>
    </row>
    <row r="21" spans="2:9" ht="18" customHeight="1" x14ac:dyDescent="0.2">
      <c r="B21" s="914" t="s">
        <v>1904</v>
      </c>
      <c r="C21" s="4345">
        <f>IF(SUM(C23:C27)=0,"NO",SUM(C23:C27))</f>
        <v>2203.076</v>
      </c>
      <c r="D21" s="4344">
        <f>IF(SUM(D23:D27)=0,"NO",SUM(D23:D27))</f>
        <v>2511.0366729212469</v>
      </c>
      <c r="E21" s="4345">
        <f t="shared" si="3"/>
        <v>2.1289687691209928E-2</v>
      </c>
      <c r="F21" s="4344">
        <f t="shared" si="5"/>
        <v>7.4999999999999997E-3</v>
      </c>
      <c r="G21" s="4345">
        <f>IF(SUM(G23:G27)=0,"NO",SUM(G23:G27))</f>
        <v>7.3704400000000003E-2</v>
      </c>
      <c r="H21" s="4346">
        <f>IF(SUM(H23:H27)=0,"NO",SUM(H23:H27))</f>
        <v>2.9594360788000405E-2</v>
      </c>
      <c r="I21" s="4344">
        <f t="shared" si="4"/>
        <v>0.1032987607880004</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2203.076</v>
      </c>
      <c r="D23" s="4340">
        <f>H23/F23*1000/(44/28)</f>
        <v>2511.0366729212469</v>
      </c>
      <c r="E23" s="4345">
        <f>IF(SUM(C23)=0,"NA",G23/C23*1000/(44/28))</f>
        <v>2.1289687691209928E-2</v>
      </c>
      <c r="F23" s="4342">
        <v>7.4999999999999997E-3</v>
      </c>
      <c r="G23" s="4350">
        <v>7.3704400000000003E-2</v>
      </c>
      <c r="H23" s="4351">
        <v>2.9594360788000405E-2</v>
      </c>
      <c r="I23" s="4344">
        <f>IF(SUM(G23:H23)=0,"NO",SUM(G23:H23))</f>
        <v>0.1032987607880004</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521077.97545215843</v>
      </c>
      <c r="D28" s="4337">
        <f>IF(SUM(D29:D30)=0,"NO",SUM(D29:D30))</f>
        <v>23966.758598730077</v>
      </c>
      <c r="E28" s="4336">
        <f t="shared" si="6"/>
        <v>6.7289711313453971E-4</v>
      </c>
      <c r="F28" s="4337">
        <f t="shared" si="7"/>
        <v>7.4999999999999997E-3</v>
      </c>
      <c r="G28" s="4336">
        <f>IF(SUM(G29:G30)=0,"NO",SUM(G29:G30))</f>
        <v>0.55099293134246108</v>
      </c>
      <c r="H28" s="4338">
        <f>IF(SUM(H29:H30)=0,"NO",SUM(H29:H30))</f>
        <v>0.28246536919931875</v>
      </c>
      <c r="I28" s="4360">
        <f t="shared" si="8"/>
        <v>0.83345830054177983</v>
      </c>
    </row>
    <row r="29" spans="2:9" ht="18" customHeight="1" x14ac:dyDescent="0.2">
      <c r="B29" s="914" t="s">
        <v>1239</v>
      </c>
      <c r="C29" s="4339">
        <f>Table4.C!E11</f>
        <v>509685.88107873802</v>
      </c>
      <c r="D29" s="4340">
        <f>H29/F29*1000/(44/28)</f>
        <v>16896.110918179871</v>
      </c>
      <c r="E29" s="4341">
        <f t="shared" si="6"/>
        <v>3.5173407144028221E-4</v>
      </c>
      <c r="F29" s="4342">
        <v>7.4999999999999997E-3</v>
      </c>
      <c r="G29" s="4339">
        <v>0.28171611302599603</v>
      </c>
      <c r="H29" s="4343">
        <v>0.19913273582140559</v>
      </c>
      <c r="I29" s="4344">
        <f t="shared" si="8"/>
        <v>0.48084884884740164</v>
      </c>
    </row>
    <row r="30" spans="2:9" ht="18" customHeight="1" x14ac:dyDescent="0.2">
      <c r="B30" s="914" t="s">
        <v>1906</v>
      </c>
      <c r="C30" s="4345">
        <f>IF(SUM(C32:C36)=0,"NO",SUM(C32:C36))</f>
        <v>11392.094373420397</v>
      </c>
      <c r="D30" s="4344">
        <f>IF(SUM(D32:D36)=0,"NO",SUM(D32:D36))</f>
        <v>7070.6476805502061</v>
      </c>
      <c r="E30" s="4345">
        <f>IF(SUM(C30)=0,"NA",G30/C30*1000/(44/28))</f>
        <v>1.5041832491495315E-2</v>
      </c>
      <c r="F30" s="4344">
        <f>IF(SUM(D30)=0,"NA",H30/D30*1000/(44/28))</f>
        <v>7.4999999999999997E-3</v>
      </c>
      <c r="G30" s="4345">
        <f>IF(SUM(G32:G36)=0,"NO",SUM(G32:G36))</f>
        <v>0.26927681831646499</v>
      </c>
      <c r="H30" s="4346">
        <f>IF(SUM(H32:H36)=0,"NO",SUM(H32:H36))</f>
        <v>8.3332633377913148E-2</v>
      </c>
      <c r="I30" s="4344">
        <f t="shared" si="8"/>
        <v>0.35260945169437813</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11392.094373420397</v>
      </c>
      <c r="D32" s="4340">
        <f>H32/F32*1000/(44/28)</f>
        <v>7070.6476805502061</v>
      </c>
      <c r="E32" s="4345">
        <f>IF(SUM(C32)=0,"NA",G32/C32*1000/(44/28))</f>
        <v>1.5041832491495315E-2</v>
      </c>
      <c r="F32" s="4342">
        <v>7.4999999999999997E-3</v>
      </c>
      <c r="G32" s="4350">
        <v>0.26927681831646499</v>
      </c>
      <c r="H32" s="4351">
        <v>8.3332633377913148E-2</v>
      </c>
      <c r="I32" s="4344">
        <f t="shared" si="8"/>
        <v>0.35260945169437813</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1261.764536401</v>
      </c>
      <c r="D46" s="4337">
        <f>IF(SUM(D47:D48)=0,"NO",SUM(D47:D48))</f>
        <v>560.79482308031925</v>
      </c>
      <c r="E46" s="4336">
        <f t="shared" si="11"/>
        <v>8.7906207997273389E-3</v>
      </c>
      <c r="F46" s="4337">
        <f t="shared" si="12"/>
        <v>7.5000000000000006E-3</v>
      </c>
      <c r="G46" s="4336">
        <f>IF(SUM(G47:G48)=0,"NO",SUM(G47:G48))</f>
        <v>1.7429804194070642E-2</v>
      </c>
      <c r="H46" s="4338">
        <f>IF(SUM(H47:H48)=0,"NO",SUM(H47:H48))</f>
        <v>6.6093675577323348E-3</v>
      </c>
      <c r="I46" s="4337">
        <f t="shared" si="8"/>
        <v>2.4039171751802976E-2</v>
      </c>
    </row>
    <row r="47" spans="2:9" ht="18" customHeight="1" x14ac:dyDescent="0.2">
      <c r="B47" s="914" t="s">
        <v>1251</v>
      </c>
      <c r="C47" s="4339">
        <f>Table4.E!E11</f>
        <v>966.196536401</v>
      </c>
      <c r="D47" s="4340">
        <f>H47/F47*1000/(44/28)</f>
        <v>27.875354292507506</v>
      </c>
      <c r="E47" s="4341">
        <f t="shared" si="11"/>
        <v>4.1545402988799784E-4</v>
      </c>
      <c r="F47" s="4342">
        <v>7.4999999999999997E-3</v>
      </c>
      <c r="G47" s="4339">
        <v>6.3078752740397591E-4</v>
      </c>
      <c r="H47" s="4343">
        <v>3.2853096130455267E-4</v>
      </c>
      <c r="I47" s="4344">
        <f t="shared" si="8"/>
        <v>9.5931848870852853E-4</v>
      </c>
    </row>
    <row r="48" spans="2:9" ht="18" customHeight="1" x14ac:dyDescent="0.2">
      <c r="B48" s="914" t="s">
        <v>1910</v>
      </c>
      <c r="C48" s="4345">
        <f>IF(SUM(C50:C54)=0,"NO",SUM(C50:C54))</f>
        <v>295.56799999999998</v>
      </c>
      <c r="D48" s="4344">
        <f>IF(SUM(D50:D54)=0,"NO",SUM(D50:D54))</f>
        <v>532.91946878781175</v>
      </c>
      <c r="E48" s="4345">
        <f>IF(SUM(C48)=0,"NA",G48/C48*1000/(44/28))</f>
        <v>3.616860869016042E-2</v>
      </c>
      <c r="F48" s="4344">
        <f>IF(SUM(D48)=0,"NA",H48/D48*1000/(44/28))</f>
        <v>7.5000000000000006E-3</v>
      </c>
      <c r="G48" s="4345">
        <f>IF(SUM(G50:G54)=0,"NO",SUM(G50:G54))</f>
        <v>1.6799016666666666E-2</v>
      </c>
      <c r="H48" s="4346">
        <f>IF(SUM(H50:H54)=0,"NO",SUM(H50:H54))</f>
        <v>6.2808365964277819E-3</v>
      </c>
      <c r="I48" s="4344">
        <f t="shared" si="8"/>
        <v>2.3079853263094446E-2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295.56799999999998</v>
      </c>
      <c r="D50" s="4340">
        <f>H50/F50*1000/(44/28)</f>
        <v>532.91946878781175</v>
      </c>
      <c r="E50" s="4345">
        <f>IF(SUM(C50)=0,"NA",G50/C50*1000/(44/28))</f>
        <v>3.616860869016042E-2</v>
      </c>
      <c r="F50" s="4342">
        <v>7.4999999999999997E-3</v>
      </c>
      <c r="G50" s="4350">
        <v>1.6799016666666666E-2</v>
      </c>
      <c r="H50" s="4351">
        <v>6.2808365964277819E-3</v>
      </c>
      <c r="I50" s="4344">
        <f t="shared" si="8"/>
        <v>2.3079853263094446E-2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4625941.6470564809</v>
      </c>
      <c r="D10" s="3076" t="s">
        <v>1814</v>
      </c>
      <c r="E10" s="628"/>
      <c r="F10" s="628"/>
      <c r="G10" s="628"/>
      <c r="H10" s="1913">
        <f>IF(SUM(H11:H15)=0,"NO",SUM(H11:H15))</f>
        <v>331314.54276073753</v>
      </c>
      <c r="I10" s="1913">
        <f t="shared" ref="I10:K10" si="0">IF(SUM(I11:I16)=0,"NO",SUM(I11:I16))</f>
        <v>96.643076039675975</v>
      </c>
      <c r="J10" s="1913">
        <f t="shared" si="0"/>
        <v>11.285943354458036</v>
      </c>
      <c r="K10" s="3085" t="str">
        <f t="shared" si="0"/>
        <v>NO</v>
      </c>
    </row>
    <row r="11" spans="2:11" ht="18" customHeight="1" x14ac:dyDescent="0.2">
      <c r="B11" s="282" t="s">
        <v>132</v>
      </c>
      <c r="C11" s="3086">
        <f>IF(SUM(C18,'Table1.A(a)s2'!C11,'Table1.A(a)s3'!C11,'Table1.A(a)s4'!C11,'Table1.A(a)s4'!C94)=0,"NO",SUM(C18,'Table1.A(a)s2'!C11,'Table1.A(a)s3'!C11,'Table1.A(a)s4'!C11,'Table1.A(a)s4'!C94))</f>
        <v>1494790.1077424246</v>
      </c>
      <c r="D11" s="3077" t="s">
        <v>2145</v>
      </c>
      <c r="E11" s="1913">
        <f>IFERROR(H11*1000/$C11,"NA")</f>
        <v>68.116000785714093</v>
      </c>
      <c r="F11" s="1913">
        <f t="shared" ref="F11:G16" si="1">IFERROR(I11*1000000/$C11,"NA")</f>
        <v>18.798883248988279</v>
      </c>
      <c r="G11" s="1913">
        <f t="shared" si="1"/>
        <v>4.8520518371324455</v>
      </c>
      <c r="H11" s="1913">
        <f>IF(SUM(H18,'Table1.A(a)s2'!H11,'Table1.A(a)s3'!H11,'Table1.A(a)s4'!H11,'Table1.A(a)s4'!H94)=0,"NO",SUM(H18,'Table1.A(a)s2'!H11,'Table1.A(a)s3'!H11,'Table1.A(a)s4'!H11,'Table1.A(a)s4'!H94))</f>
        <v>101819.12415346065</v>
      </c>
      <c r="I11" s="1913">
        <f>IF(SUM(I18,'Table1.A(a)s2'!I11,'Table1.A(a)s3'!I11,'Table1.A(a)s4'!I11,'Table1.A(a)s4'!I94)=0,"NO",SUM(I18,'Table1.A(a)s2'!I11,'Table1.A(a)s3'!I11,'Table1.A(a)s4'!I11,'Table1.A(a)s4'!I94))</f>
        <v>28.100384717192451</v>
      </c>
      <c r="J11" s="1913">
        <f>IF(SUM(J18,'Table1.A(a)s2'!J11,'Table1.A(a)s3'!J11,'Table1.A(a)s4'!J11,'Table1.A(a)s4'!J94)=0,"NO",SUM(J18,'Table1.A(a)s2'!J11,'Table1.A(a)s3'!J11,'Table1.A(a)s4'!J11,'Table1.A(a)s4'!J94))</f>
        <v>7.252799088399037</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1996043.1831511627</v>
      </c>
      <c r="D12" s="3077" t="s">
        <v>1814</v>
      </c>
      <c r="E12" s="1913">
        <f t="shared" ref="E12:E16" si="2">IFERROR(H12*1000/$C12,"NA")</f>
        <v>90.521642437944976</v>
      </c>
      <c r="F12" s="1913">
        <f t="shared" si="1"/>
        <v>0.688660102046601</v>
      </c>
      <c r="G12" s="1913">
        <f t="shared" si="1"/>
        <v>1.2382426305415637</v>
      </c>
      <c r="H12" s="1913">
        <f>IF(SUM(H19,'Table1.A(a)s2'!H12,'Table1.A(a)s3'!H12,'Table1.A(a)s4'!H12,'Table1.A(a)s4'!H95)=0,"NO",SUM(H19,'Table1.A(a)s2'!H12,'Table1.A(a)s3'!H12,'Table1.A(a)s4'!H12,'Table1.A(a)s4'!H95))</f>
        <v>180685.10731590705</v>
      </c>
      <c r="I12" s="1913">
        <f>IF(SUM(I19,'Table1.A(a)s2'!I12,'Table1.A(a)s3'!I12,'Table1.A(a)s4'!I12,'Table1.A(a)s4'!I95)=0,"NO",SUM(I19,'Table1.A(a)s2'!I12,'Table1.A(a)s3'!I12,'Table1.A(a)s4'!I12,'Table1.A(a)s4'!I95))</f>
        <v>1.3745953021983019</v>
      </c>
      <c r="J12" s="1913">
        <f>IF(SUM(J19,'Table1.A(a)s2'!J12,'Table1.A(a)s3'!J12,'Table1.A(a)s4'!J12,'Table1.A(a)s4'!J95)=0,"NO",SUM(J19,'Table1.A(a)s2'!J12,'Table1.A(a)s3'!J12,'Table1.A(a)s4'!J12,'Table1.A(a)s4'!J95))</f>
        <v>2.4715857617796519</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939469.1919021717</v>
      </c>
      <c r="D13" s="3077" t="s">
        <v>2145</v>
      </c>
      <c r="E13" s="1913">
        <f t="shared" si="2"/>
        <v>51.474412107272776</v>
      </c>
      <c r="F13" s="1913">
        <f t="shared" si="1"/>
        <v>10.919768964705595</v>
      </c>
      <c r="G13" s="1913">
        <f t="shared" si="1"/>
        <v>0.76916335749788622</v>
      </c>
      <c r="H13" s="1913">
        <f>IF(SUM(H20,'Table1.A(a)s2'!H13,'Table1.A(a)s3'!H13,'Table1.A(a)s4'!H13,'Table1.A(a)s4'!H96)=0,"NO",SUM(H20,'Table1.A(a)s2'!H13,'Table1.A(a)s3'!H13,'Table1.A(a)s4'!H13,'Table1.A(a)s4'!H96))</f>
        <v>48358.624346058918</v>
      </c>
      <c r="I13" s="1913">
        <f>IF(SUM(I20,'Table1.A(a)s2'!I13,'Table1.A(a)s3'!I13,'Table1.A(a)s4'!I13,'Table1.A(a)s4'!I96)=0,"NO",SUM(I20,'Table1.A(a)s2'!I13,'Table1.A(a)s3'!I13,'Table1.A(a)s4'!I13,'Table1.A(a)s4'!I96))</f>
        <v>10.258786525030381</v>
      </c>
      <c r="J13" s="1913">
        <f>IF(SUM(J20,'Table1.A(a)s2'!J13,'Table1.A(a)s3'!J13,'Table1.A(a)s4'!J13,'Table1.A(a)s4'!J96)=0,"NO",SUM(J20,'Table1.A(a)s2'!J13,'Table1.A(a)s3'!J13,'Table1.A(a)s4'!J13,'Table1.A(a)s4'!J96))</f>
        <v>0.7226052779093004</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5023.014260721493</v>
      </c>
      <c r="D14" s="3077" t="s">
        <v>2145</v>
      </c>
      <c r="E14" s="1913">
        <f t="shared" si="2"/>
        <v>89.923484558454419</v>
      </c>
      <c r="F14" s="1913">
        <f t="shared" si="1"/>
        <v>31.853383585062332</v>
      </c>
      <c r="G14" s="1913">
        <f t="shared" si="1"/>
        <v>0.99541823703319787</v>
      </c>
      <c r="H14" s="1913">
        <f>IF(SUM(H21,'Table1.A(a)s2'!H14,'Table1.A(a)s3'!H14,'Table1.A(a)s4'!H14,'Table1.A(a)s4'!H97)=0,"NO",SUM(H21,'Table1.A(a)s2'!H14,'Table1.A(a)s3'!H14,'Table1.A(a)s4'!H14,'Table1.A(a)s4'!H97))</f>
        <v>451.68694531088551</v>
      </c>
      <c r="I14" s="1913">
        <f>IF(SUM(I21,'Table1.A(a)s2'!I14,'Table1.A(a)s3'!I14,'Table1.A(a)s4'!I14,'Table1.A(a)s4'!I97)=0,"NO",SUM(I21,'Table1.A(a)s2'!I14,'Table1.A(a)s3'!I14,'Table1.A(a)s4'!I14,'Table1.A(a)s4'!I97))</f>
        <v>0.16</v>
      </c>
      <c r="J14" s="1913">
        <f>IF(SUM(J21,'Table1.A(a)s2'!J14,'Table1.A(a)s3'!J14,'Table1.A(a)s4'!J14,'Table1.A(a)s4'!J97)=0,"NO",SUM(J21,'Table1.A(a)s2'!J14,'Table1.A(a)s3'!J14,'Table1.A(a)s4'!J14,'Table1.A(a)s4'!J97))</f>
        <v>5.0000000000000001E-3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190616.15</v>
      </c>
      <c r="D16" s="3079" t="s">
        <v>2145</v>
      </c>
      <c r="E16" s="2880">
        <f t="shared" si="2"/>
        <v>86.817898242095453</v>
      </c>
      <c r="F16" s="1913">
        <f t="shared" si="1"/>
        <v>297.71511750318564</v>
      </c>
      <c r="G16" s="1913">
        <f t="shared" si="1"/>
        <v>4.375039713948925</v>
      </c>
      <c r="H16" s="2880">
        <f>IF(SUM(H23,'Table1.A(a)s2'!H16,'Table1.A(a)s3'!H15,'Table1.A(a)s4'!H16,'Table1.A(a)s4'!H99)=0,"NO",SUM(H23,'Table1.A(a)s2'!H16,'Table1.A(a)s3'!H15,'Table1.A(a)s4'!H16,'Table1.A(a)s4'!H99))</f>
        <v>16548.893514000003</v>
      </c>
      <c r="I16" s="2880">
        <f>IF(SUM(I23,'Table1.A(a)s2'!I16,'Table1.A(a)s3'!I15,'Table1.A(a)s4'!I16,'Table1.A(a)s4'!I99)=0,"NO",SUM(I23,'Table1.A(a)s2'!I16,'Table1.A(a)s3'!I15,'Table1.A(a)s4'!I16,'Table1.A(a)s4'!I99))</f>
        <v>56.749309495254856</v>
      </c>
      <c r="J16" s="2880">
        <f>IF(SUM(J23,'Table1.A(a)s2'!J16,'Table1.A(a)s3'!J15,'Table1.A(a)s4'!J16,'Table1.A(a)s4'!J99)=0,"NO",SUM(J23,'Table1.A(a)s2'!J16,'Table1.A(a)s3'!J15,'Table1.A(a)s4'!J16,'Table1.A(a)s4'!J99))</f>
        <v>0.83395322637004532</v>
      </c>
      <c r="K16" s="3066" t="str">
        <f>IF(SUM(K23,'Table1.A(a)s2'!K16,'Table1.A(a)s3'!K15,'Table1.A(a)s4'!K16,'Table1.A(a)s4'!K99)=0,"NO",SUM(K23,'Table1.A(a)s2'!K16,'Table1.A(a)s3'!K15,'Table1.A(a)s4'!K16,'Table1.A(a)s4'!K99))</f>
        <v>NO</v>
      </c>
    </row>
    <row r="17" spans="2:12" ht="18" customHeight="1" x14ac:dyDescent="0.2">
      <c r="B17" s="2184" t="s">
        <v>76</v>
      </c>
      <c r="C17" s="3067">
        <f>IF(SUM(C18:C23)=0,"NO",SUM(C18:C23))</f>
        <v>2452115.9672964434</v>
      </c>
      <c r="D17" s="3080" t="s">
        <v>1814</v>
      </c>
      <c r="E17" s="3081"/>
      <c r="F17" s="3081"/>
      <c r="G17" s="3081"/>
      <c r="H17" s="3067">
        <f>IF(SUM(H18:H22)=0,"NO",SUM(H18:H22))</f>
        <v>201393.46834509313</v>
      </c>
      <c r="I17" s="3067">
        <f t="shared" ref="I17" si="3">IF(SUM(I18:I23)=0,"NO",SUM(I18:I23))</f>
        <v>12.967320809346326</v>
      </c>
      <c r="J17" s="3067">
        <f t="shared" ref="J17" si="4">IF(SUM(J18:J23)=0,"NO",SUM(J18:J23))</f>
        <v>2.9973257240636362</v>
      </c>
      <c r="K17" s="3068" t="str">
        <f t="shared" ref="K17" si="5">IF(SUM(K18:K23)=0,"NO",SUM(K18:K23))</f>
        <v>NO</v>
      </c>
    </row>
    <row r="18" spans="2:12" ht="18" customHeight="1" x14ac:dyDescent="0.2">
      <c r="B18" s="282" t="s">
        <v>132</v>
      </c>
      <c r="C18" s="3086">
        <f>IF(SUM(C25,C54,C61)=0,"NO",SUM(C25,C54,C61))</f>
        <v>135922.85485479992</v>
      </c>
      <c r="D18" s="3077" t="s">
        <v>1814</v>
      </c>
      <c r="E18" s="1913">
        <f>IFERROR(H18*1000/$C18,"NA")</f>
        <v>67.195381601824508</v>
      </c>
      <c r="F18" s="1913">
        <f t="shared" ref="F18:G23" si="6">IFERROR(I18*1000000/$C18,"NA")</f>
        <v>1.8624319212247711</v>
      </c>
      <c r="G18" s="1913">
        <f t="shared" si="6"/>
        <v>1.0001710782640212</v>
      </c>
      <c r="H18" s="3086">
        <f>IF(SUM(H25,H54,H61)=0,"NO",SUM(H25,H54,H61))</f>
        <v>9133.388100377686</v>
      </c>
      <c r="I18" s="3086">
        <f>IF(SUM(I25,I54,I61)=0,"NO",SUM(I25,I54,I61))</f>
        <v>0.25314706370558071</v>
      </c>
      <c r="J18" s="3086">
        <f>IF(SUM(J25,J54,J61)=0,"NO",SUM(J25,J54,J61))</f>
        <v>0.1359461083008493</v>
      </c>
      <c r="K18" s="3069" t="str">
        <f>IF(SUM(K25,K54,K61)=0,"NO",SUM(K25,K54,K61))</f>
        <v>NO</v>
      </c>
      <c r="L18" s="19"/>
    </row>
    <row r="19" spans="2:12" ht="18" customHeight="1" x14ac:dyDescent="0.2">
      <c r="B19" s="282" t="s">
        <v>133</v>
      </c>
      <c r="C19" s="3086">
        <f t="shared" ref="C19:C23" si="7">IF(SUM(C26,C55,C62)=0,"NO",SUM(C26,C55,C62))</f>
        <v>1868662.4</v>
      </c>
      <c r="D19" s="3077" t="s">
        <v>1814</v>
      </c>
      <c r="E19" s="1913">
        <f t="shared" ref="E19:E23" si="8">IFERROR(H19*1000/$C19,"NA")</f>
        <v>91.110773844650183</v>
      </c>
      <c r="F19" s="1913">
        <f t="shared" si="6"/>
        <v>0.67010841188106141</v>
      </c>
      <c r="G19" s="1913">
        <f t="shared" si="6"/>
        <v>1.2743149987139528</v>
      </c>
      <c r="H19" s="3086">
        <f t="shared" ref="H19:K23" si="9">IF(SUM(H26,H55,H62)=0,"NO",SUM(H26,H55,H62))</f>
        <v>170255.2773184012</v>
      </c>
      <c r="I19" s="3086">
        <f t="shared" si="9"/>
        <v>1.2522063932058527</v>
      </c>
      <c r="J19" s="3086">
        <f t="shared" si="9"/>
        <v>2.3812645238528116</v>
      </c>
      <c r="K19" s="3069" t="str">
        <f t="shared" si="9"/>
        <v>NO</v>
      </c>
      <c r="L19" s="19"/>
    </row>
    <row r="20" spans="2:12" ht="18" customHeight="1" x14ac:dyDescent="0.2">
      <c r="B20" s="282" t="s">
        <v>134</v>
      </c>
      <c r="C20" s="3086">
        <f t="shared" si="7"/>
        <v>427055.81809896266</v>
      </c>
      <c r="D20" s="3077" t="s">
        <v>1814</v>
      </c>
      <c r="E20" s="1913">
        <f t="shared" si="8"/>
        <v>51.526760656882139</v>
      </c>
      <c r="F20" s="1913">
        <f t="shared" si="6"/>
        <v>22.310898301930198</v>
      </c>
      <c r="G20" s="1913">
        <f t="shared" si="6"/>
        <v>0.90851027636039727</v>
      </c>
      <c r="H20" s="3086">
        <f t="shared" si="9"/>
        <v>22004.802926314245</v>
      </c>
      <c r="I20" s="3086">
        <f t="shared" si="9"/>
        <v>9.5279989268535576</v>
      </c>
      <c r="J20" s="3086">
        <f t="shared" si="9"/>
        <v>0.38798459932240414</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20474.894342681124</v>
      </c>
      <c r="D23" s="3077" t="s">
        <v>1814</v>
      </c>
      <c r="E23" s="1913">
        <f t="shared" si="8"/>
        <v>77.807770330408218</v>
      </c>
      <c r="F23" s="1913">
        <f t="shared" si="6"/>
        <v>94.45559978054996</v>
      </c>
      <c r="G23" s="1913">
        <f t="shared" si="6"/>
        <v>4.499680977377241</v>
      </c>
      <c r="H23" s="3086">
        <f t="shared" si="9"/>
        <v>1593.1058765547073</v>
      </c>
      <c r="I23" s="3086">
        <f t="shared" si="9"/>
        <v>1.9339684255813347</v>
      </c>
      <c r="J23" s="3086">
        <f t="shared" si="9"/>
        <v>9.2130492587571139E-2</v>
      </c>
      <c r="K23" s="3069" t="str">
        <f t="shared" si="9"/>
        <v>NO</v>
      </c>
      <c r="L23" s="19"/>
    </row>
    <row r="24" spans="2:12" ht="18" customHeight="1" x14ac:dyDescent="0.2">
      <c r="B24" s="1237" t="s">
        <v>138</v>
      </c>
      <c r="C24" s="3086">
        <f>IF(SUM(C25:C30)=0,"NO",SUM(C25:C30))</f>
        <v>2149188.2571974811</v>
      </c>
      <c r="D24" s="3077" t="s">
        <v>1814</v>
      </c>
      <c r="E24" s="628"/>
      <c r="F24" s="628"/>
      <c r="G24" s="628"/>
      <c r="H24" s="3086">
        <f>IF(SUM(H25:H29)=0,"NO",SUM(H25:H29))</f>
        <v>183978.83950748999</v>
      </c>
      <c r="I24" s="3086">
        <f t="shared" ref="I24" si="10">IF(SUM(I25:I30)=0,"NO",SUM(I25:I30))</f>
        <v>5.9858301002746748</v>
      </c>
      <c r="J24" s="3086">
        <f t="shared" ref="J24" si="11">IF(SUM(J25:J30)=0,"NO",SUM(J25:J30))</f>
        <v>2.7079258433538165</v>
      </c>
      <c r="K24" s="3069" t="str">
        <f t="shared" ref="K24" si="12">IF(SUM(K25:K30)=0,"NO",SUM(K25:K30))</f>
        <v>NO</v>
      </c>
      <c r="L24" s="19"/>
    </row>
    <row r="25" spans="2:12" ht="18" customHeight="1" x14ac:dyDescent="0.2">
      <c r="B25" s="160" t="s">
        <v>132</v>
      </c>
      <c r="C25" s="3074">
        <f>IF(SUM(C33,C40,C47)=0,"NO",SUM(C33,C40,C47))</f>
        <v>32698.054854799997</v>
      </c>
      <c r="D25" s="3082" t="s">
        <v>1814</v>
      </c>
      <c r="E25" s="3086">
        <f>IFERROR(H25*1000/$C25,"NA")</f>
        <v>70.307991309465066</v>
      </c>
      <c r="F25" s="1913">
        <f t="shared" ref="F25:G30" si="13">IFERROR(I25*1000000/$C25,"NA")</f>
        <v>3.547816251997109</v>
      </c>
      <c r="G25" s="1913">
        <f t="shared" si="13"/>
        <v>0.37277401977967162</v>
      </c>
      <c r="H25" s="3086">
        <f>IF(SUM(H33,H40,H47)=0,"NO",SUM(H33,H40,H47))</f>
        <v>2298.9345565676904</v>
      </c>
      <c r="I25" s="3086">
        <f>IF(SUM(I33,I40,I47)=0,"NO",SUM(I33,I40,I47))</f>
        <v>0.11600669042255241</v>
      </c>
      <c r="J25" s="3086">
        <f>IF(SUM(J33,J40,J47)=0,"NO",SUM(J33,J40,J47))</f>
        <v>1.2188985347200001E-2</v>
      </c>
      <c r="K25" s="3069" t="str">
        <f>IF(SUM(K33,K40,K47)=0,"NO",SUM(K33,K40,K47))</f>
        <v>NO</v>
      </c>
      <c r="L25" s="19"/>
    </row>
    <row r="26" spans="2:12" ht="18" customHeight="1" x14ac:dyDescent="0.2">
      <c r="B26" s="160" t="s">
        <v>133</v>
      </c>
      <c r="C26" s="3086">
        <f t="shared" ref="C26:C30" si="14">IF(SUM(C34,C41,C48)=0,"NO",SUM(C34,C41,C48))</f>
        <v>1856464</v>
      </c>
      <c r="D26" s="3082" t="s">
        <v>1814</v>
      </c>
      <c r="E26" s="3086">
        <f t="shared" ref="E26:E30" si="15">IFERROR(H26*1000/$C26,"NA")</f>
        <v>91.202990516411745</v>
      </c>
      <c r="F26" s="1913">
        <f t="shared" si="13"/>
        <v>0.66821070922407844</v>
      </c>
      <c r="G26" s="1913">
        <f t="shared" si="13"/>
        <v>1.2778523256925531</v>
      </c>
      <c r="H26" s="3086">
        <f t="shared" ref="H26:K30" si="16">IF(SUM(H34,H41,H48)=0,"NO",SUM(H34,H41,H48))</f>
        <v>169315.06858605982</v>
      </c>
      <c r="I26" s="3086">
        <f t="shared" si="16"/>
        <v>1.2405091260889696</v>
      </c>
      <c r="J26" s="3086">
        <f t="shared" si="16"/>
        <v>2.3722868399645001</v>
      </c>
      <c r="K26" s="3069" t="str">
        <f t="shared" si="16"/>
        <v>NO</v>
      </c>
      <c r="L26" s="19"/>
    </row>
    <row r="27" spans="2:12" ht="18" customHeight="1" x14ac:dyDescent="0.2">
      <c r="B27" s="160" t="s">
        <v>134</v>
      </c>
      <c r="C27" s="3086">
        <f t="shared" si="14"/>
        <v>239551.30800000002</v>
      </c>
      <c r="D27" s="3082" t="s">
        <v>1814</v>
      </c>
      <c r="E27" s="3086">
        <f t="shared" si="15"/>
        <v>51.616651430943101</v>
      </c>
      <c r="F27" s="1913">
        <f t="shared" si="13"/>
        <v>11.25164325206614</v>
      </c>
      <c r="G27" s="1913">
        <f t="shared" si="13"/>
        <v>0.96563666208220156</v>
      </c>
      <c r="H27" s="3086">
        <f t="shared" si="16"/>
        <v>12364.836364862493</v>
      </c>
      <c r="I27" s="3086">
        <f t="shared" si="16"/>
        <v>2.6953458581818177</v>
      </c>
      <c r="J27" s="3086">
        <f t="shared" si="16"/>
        <v>0.2313195254545454</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20474.894342681124</v>
      </c>
      <c r="D30" s="3082" t="s">
        <v>1814</v>
      </c>
      <c r="E30" s="3086">
        <f t="shared" si="15"/>
        <v>77.807770330408218</v>
      </c>
      <c r="F30" s="1913">
        <f t="shared" si="13"/>
        <v>94.45559978054996</v>
      </c>
      <c r="G30" s="1913">
        <f t="shared" si="13"/>
        <v>4.499680977377241</v>
      </c>
      <c r="H30" s="3086">
        <f t="shared" si="16"/>
        <v>1593.1058765547073</v>
      </c>
      <c r="I30" s="3086">
        <f t="shared" si="16"/>
        <v>1.9339684255813347</v>
      </c>
      <c r="J30" s="3086">
        <f t="shared" si="16"/>
        <v>9.2130492587571139E-2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2149188.2571974811</v>
      </c>
      <c r="D32" s="3077" t="s">
        <v>1814</v>
      </c>
      <c r="E32" s="1914"/>
      <c r="F32" s="1914"/>
      <c r="G32" s="1914"/>
      <c r="H32" s="3086">
        <f>IF(SUM(H33:H37)=0,"NO",SUM(H33:H37))</f>
        <v>183978.83950748999</v>
      </c>
      <c r="I32" s="3086">
        <f t="shared" ref="I32" si="17">IF(SUM(I33:I38)=0,"NO",SUM(I33:I38))</f>
        <v>5.9858301002746748</v>
      </c>
      <c r="J32" s="3086">
        <f t="shared" ref="J32" si="18">IF(SUM(J33:J38)=0,"NO",SUM(J33:J38))</f>
        <v>2.7079258433538165</v>
      </c>
      <c r="K32" s="3069" t="str">
        <f t="shared" ref="K32" si="19">IF(SUM(K33:K38)=0,"NO",SUM(K33:K38))</f>
        <v>NO</v>
      </c>
      <c r="L32" s="19"/>
    </row>
    <row r="33" spans="2:12" ht="18" customHeight="1" x14ac:dyDescent="0.2">
      <c r="B33" s="160" t="s">
        <v>132</v>
      </c>
      <c r="C33" s="3033">
        <v>32698.054854799997</v>
      </c>
      <c r="D33" s="3077" t="s">
        <v>1814</v>
      </c>
      <c r="E33" s="1913">
        <f>IFERROR(H33*1000/$C33,"NA")</f>
        <v>70.307991309465066</v>
      </c>
      <c r="F33" s="1913">
        <f t="shared" ref="F33:G38" si="20">IFERROR(I33*1000000/$C33,"NA")</f>
        <v>3.547816251997109</v>
      </c>
      <c r="G33" s="1913">
        <f t="shared" si="20"/>
        <v>0.37277401977967162</v>
      </c>
      <c r="H33" s="3033">
        <v>2298.9345565676904</v>
      </c>
      <c r="I33" s="3033">
        <v>0.11600669042255241</v>
      </c>
      <c r="J33" s="3033">
        <v>1.2188985347200001E-2</v>
      </c>
      <c r="K33" s="3072" t="s">
        <v>2146</v>
      </c>
      <c r="L33" s="19"/>
    </row>
    <row r="34" spans="2:12" ht="18" customHeight="1" x14ac:dyDescent="0.2">
      <c r="B34" s="160" t="s">
        <v>133</v>
      </c>
      <c r="C34" s="3033">
        <v>1856464</v>
      </c>
      <c r="D34" s="3077" t="s">
        <v>1814</v>
      </c>
      <c r="E34" s="1913">
        <f t="shared" ref="E34:E38" si="21">IFERROR(H34*1000/$C34,"NA")</f>
        <v>91.202990516411745</v>
      </c>
      <c r="F34" s="1913">
        <f t="shared" si="20"/>
        <v>0.66821070922407844</v>
      </c>
      <c r="G34" s="1913">
        <f t="shared" si="20"/>
        <v>1.2778523256925531</v>
      </c>
      <c r="H34" s="3033">
        <v>169315.06858605982</v>
      </c>
      <c r="I34" s="3033">
        <v>1.2405091260889696</v>
      </c>
      <c r="J34" s="3033">
        <v>2.3722868399645001</v>
      </c>
      <c r="K34" s="3072" t="s">
        <v>2146</v>
      </c>
      <c r="L34" s="19"/>
    </row>
    <row r="35" spans="2:12" ht="18" customHeight="1" x14ac:dyDescent="0.2">
      <c r="B35" s="160" t="s">
        <v>134</v>
      </c>
      <c r="C35" s="3033">
        <v>239551.30800000002</v>
      </c>
      <c r="D35" s="3077" t="s">
        <v>1814</v>
      </c>
      <c r="E35" s="1913">
        <f t="shared" si="21"/>
        <v>51.616651430943101</v>
      </c>
      <c r="F35" s="1913">
        <f t="shared" si="20"/>
        <v>11.25164325206614</v>
      </c>
      <c r="G35" s="1913">
        <f t="shared" si="20"/>
        <v>0.96563666208220156</v>
      </c>
      <c r="H35" s="3033">
        <v>12364.836364862493</v>
      </c>
      <c r="I35" s="3033">
        <v>2.6953458581818177</v>
      </c>
      <c r="J35" s="3033">
        <v>0.2313195254545454</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20474.894342681124</v>
      </c>
      <c r="D38" s="3077" t="s">
        <v>1814</v>
      </c>
      <c r="E38" s="1913">
        <f t="shared" si="21"/>
        <v>77.807770330408218</v>
      </c>
      <c r="F38" s="1913">
        <f t="shared" si="20"/>
        <v>94.45559978054996</v>
      </c>
      <c r="G38" s="1913">
        <f t="shared" si="20"/>
        <v>4.499680977377241</v>
      </c>
      <c r="H38" s="3033">
        <v>1593.1058765547073</v>
      </c>
      <c r="I38" s="3033">
        <v>1.9339684255813347</v>
      </c>
      <c r="J38" s="3033">
        <v>9.2130492587571139E-2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99550.699999999924</v>
      </c>
      <c r="D53" s="3077" t="s">
        <v>1814</v>
      </c>
      <c r="E53" s="628"/>
      <c r="F53" s="628"/>
      <c r="G53" s="628"/>
      <c r="H53" s="3086">
        <f>IF(SUM(H54:H58)=0,"NO",SUM(H54:H58))</f>
        <v>6190.7861534327794</v>
      </c>
      <c r="I53" s="3086">
        <f t="shared" ref="I53:K53" si="28">IF(SUM(I54:I59)=0,"NO",SUM(I54:I59))</f>
        <v>7.4208780017315942E-2</v>
      </c>
      <c r="J53" s="3086">
        <f t="shared" si="28"/>
        <v>5.1172651622510779E-2</v>
      </c>
      <c r="K53" s="3069" t="str">
        <f t="shared" si="28"/>
        <v>NO</v>
      </c>
      <c r="L53" s="19"/>
    </row>
    <row r="54" spans="2:12" ht="18" customHeight="1" x14ac:dyDescent="0.2">
      <c r="B54" s="160" t="s">
        <v>132</v>
      </c>
      <c r="C54" s="3033">
        <v>78850.699999999939</v>
      </c>
      <c r="D54" s="3077" t="s">
        <v>1814</v>
      </c>
      <c r="E54" s="1913">
        <f>IFERROR(H54*1000/$C54,"NA")</f>
        <v>65.016029582616255</v>
      </c>
      <c r="F54" s="1913">
        <f t="shared" ref="F54:G59" si="29">IFERROR(I54*1000000/$C54,"NA")</f>
        <v>0.67121048235402314</v>
      </c>
      <c r="G54" s="1913">
        <f t="shared" si="29"/>
        <v>0.53750542348055363</v>
      </c>
      <c r="H54" s="3033">
        <v>5126.5594438099952</v>
      </c>
      <c r="I54" s="3033">
        <v>5.2925416380952328E-2</v>
      </c>
      <c r="J54" s="3033">
        <v>4.2382678895238057E-2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20699.999999999978</v>
      </c>
      <c r="D56" s="3077" t="s">
        <v>1814</v>
      </c>
      <c r="E56" s="1913">
        <f t="shared" si="30"/>
        <v>51.411918339264993</v>
      </c>
      <c r="F56" s="1913">
        <f t="shared" si="29"/>
        <v>1.0281818181818181</v>
      </c>
      <c r="G56" s="1913">
        <f t="shared" si="29"/>
        <v>0.42463636363636365</v>
      </c>
      <c r="H56" s="3033">
        <v>1064.2267096227843</v>
      </c>
      <c r="I56" s="3033">
        <v>2.1283363636363611E-2</v>
      </c>
      <c r="J56" s="3033">
        <v>8.7899727272727178E-3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203377.01009896264</v>
      </c>
      <c r="D60" s="3077" t="s">
        <v>1814</v>
      </c>
      <c r="E60" s="628"/>
      <c r="F60" s="628"/>
      <c r="G60" s="628"/>
      <c r="H60" s="3086">
        <f>IF(SUM(H61:H65)=0,"NO",SUM(H61:H65))</f>
        <v>11223.842684170355</v>
      </c>
      <c r="I60" s="3086">
        <f t="shared" ref="I60:K60" si="31">IF(SUM(I61:I66)=0,"NO",SUM(I61:I66))</f>
        <v>6.9072819290543359</v>
      </c>
      <c r="J60" s="3086">
        <f t="shared" si="31"/>
        <v>0.23822722908730892</v>
      </c>
      <c r="K60" s="3069" t="str">
        <f t="shared" si="31"/>
        <v>NO</v>
      </c>
      <c r="L60" s="19"/>
    </row>
    <row r="61" spans="2:12" ht="18" customHeight="1" x14ac:dyDescent="0.2">
      <c r="B61" s="160" t="s">
        <v>132</v>
      </c>
      <c r="C61" s="3074">
        <f>IF(SUM(C69,C76,C83)=0,"NO",SUM(C69,C76,C83))</f>
        <v>24374.100000000002</v>
      </c>
      <c r="D61" s="3077" t="s">
        <v>1814</v>
      </c>
      <c r="E61" s="1913">
        <f>IFERROR(H61*1000/$C61,"NA")</f>
        <v>70.070037457793305</v>
      </c>
      <c r="F61" s="1913">
        <f t="shared" ref="F61:G66" si="32">IFERROR(I61*1000000/$C61,"NA")</f>
        <v>3.4551001637835221</v>
      </c>
      <c r="G61" s="1913">
        <f t="shared" si="32"/>
        <v>3.3385620005830465</v>
      </c>
      <c r="H61" s="3074">
        <f>IF(SUM(H69,H76,H83)=0,"NO",SUM(H69,H76,H83))</f>
        <v>1707.8941</v>
      </c>
      <c r="I61" s="3074">
        <f>IF(SUM(I69,I76,I83)=0,"NO",SUM(I69,I76,I83))</f>
        <v>8.4214956902075949E-2</v>
      </c>
      <c r="J61" s="3074">
        <f>IF(SUM(J69,J76,J83)=0,"NO",SUM(J69,J76,J83))</f>
        <v>8.1374444058411252E-2</v>
      </c>
      <c r="K61" s="3088" t="str">
        <f>IF(SUM(K69,K76,K83)=0,"NO",SUM(K69,K76,K83))</f>
        <v>NO</v>
      </c>
    </row>
    <row r="62" spans="2:12" ht="18" customHeight="1" x14ac:dyDescent="0.2">
      <c r="B62" s="160" t="s">
        <v>133</v>
      </c>
      <c r="C62" s="3074">
        <f t="shared" ref="C62:C66" si="33">IF(SUM(C70,C77,C84)=0,"NO",SUM(C70,C77,C84))</f>
        <v>12198.400000000001</v>
      </c>
      <c r="D62" s="3077" t="s">
        <v>1814</v>
      </c>
      <c r="E62" s="1913">
        <f t="shared" ref="E62:E66" si="34">IFERROR(H62*1000/$C62,"NA")</f>
        <v>77.076397916233702</v>
      </c>
      <c r="F62" s="1913">
        <f t="shared" si="32"/>
        <v>0.95891814638666684</v>
      </c>
      <c r="G62" s="1913">
        <f t="shared" si="32"/>
        <v>0.73597224950089268</v>
      </c>
      <c r="H62" s="3074">
        <f t="shared" ref="H62:K66" si="35">IF(SUM(H70,H77,H84)=0,"NO",SUM(H70,H77,H84))</f>
        <v>940.20873234138537</v>
      </c>
      <c r="I62" s="3074">
        <f t="shared" si="35"/>
        <v>1.1697267116883119E-2</v>
      </c>
      <c r="J62" s="3074">
        <f t="shared" si="35"/>
        <v>8.97768388831169E-3</v>
      </c>
      <c r="K62" s="3088" t="str">
        <f t="shared" si="35"/>
        <v>NO</v>
      </c>
    </row>
    <row r="63" spans="2:12" ht="18" customHeight="1" x14ac:dyDescent="0.2">
      <c r="B63" s="160" t="s">
        <v>134</v>
      </c>
      <c r="C63" s="3074">
        <f t="shared" si="33"/>
        <v>166804.51009896264</v>
      </c>
      <c r="D63" s="3077" t="s">
        <v>1814</v>
      </c>
      <c r="E63" s="1913">
        <f t="shared" si="34"/>
        <v>51.411918339264993</v>
      </c>
      <c r="F63" s="1913">
        <f t="shared" si="32"/>
        <v>40.834445669330478</v>
      </c>
      <c r="G63" s="1913">
        <f t="shared" si="32"/>
        <v>0.88651740323360495</v>
      </c>
      <c r="H63" s="3074">
        <f t="shared" si="35"/>
        <v>8575.7398518289701</v>
      </c>
      <c r="I63" s="3074">
        <f t="shared" si="35"/>
        <v>6.8113697050353768</v>
      </c>
      <c r="J63" s="3074">
        <f t="shared" si="35"/>
        <v>0.147875101140586</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13328.2</v>
      </c>
      <c r="D68" s="3077" t="s">
        <v>1814</v>
      </c>
      <c r="E68" s="628"/>
      <c r="F68" s="628"/>
      <c r="G68" s="628"/>
      <c r="H68" s="3086">
        <f>IF(SUM(H69:H73)=0,"NO",SUM(H69:H73))</f>
        <v>1023.3620123413854</v>
      </c>
      <c r="I68" s="3086">
        <f t="shared" ref="I68:K68" si="36">IF(SUM(I69:I74)=0,"NO",SUM(I69:I74))</f>
        <v>1.3978387116883118E-2</v>
      </c>
      <c r="J68" s="3086">
        <f t="shared" si="36"/>
        <v>9.5608758883116898E-3</v>
      </c>
      <c r="K68" s="3069" t="str">
        <f t="shared" si="36"/>
        <v>NO</v>
      </c>
    </row>
    <row r="69" spans="2:11" ht="18" customHeight="1" x14ac:dyDescent="0.2">
      <c r="B69" s="282" t="s">
        <v>132</v>
      </c>
      <c r="C69" s="3033">
        <v>1129.7999999999997</v>
      </c>
      <c r="D69" s="3076" t="s">
        <v>1814</v>
      </c>
      <c r="E69" s="1913">
        <f>IFERROR(H69*1000/$C69,"NA")</f>
        <v>73.600000000000009</v>
      </c>
      <c r="F69" s="1913">
        <f t="shared" ref="F69:G74" si="37">IFERROR(I69*1000000/$C69,"NA")</f>
        <v>2.019047619047619</v>
      </c>
      <c r="G69" s="1913">
        <f t="shared" si="37"/>
        <v>0.5161904761904762</v>
      </c>
      <c r="H69" s="3033">
        <v>83.153279999999981</v>
      </c>
      <c r="I69" s="3033">
        <v>2.2811199999999993E-3</v>
      </c>
      <c r="J69" s="3033">
        <v>5.8319199999999985E-4</v>
      </c>
      <c r="K69" s="3072" t="s">
        <v>2146</v>
      </c>
    </row>
    <row r="70" spans="2:11" ht="18" customHeight="1" x14ac:dyDescent="0.2">
      <c r="B70" s="282" t="s">
        <v>133</v>
      </c>
      <c r="C70" s="3033">
        <v>12198.400000000001</v>
      </c>
      <c r="D70" s="3076" t="s">
        <v>1814</v>
      </c>
      <c r="E70" s="1913">
        <f t="shared" ref="E70:E74" si="38">IFERROR(H70*1000/$C70,"NA")</f>
        <v>77.076397916233702</v>
      </c>
      <c r="F70" s="1913">
        <f t="shared" si="37"/>
        <v>0.95891814638666684</v>
      </c>
      <c r="G70" s="1913">
        <f t="shared" si="37"/>
        <v>0.73597224950089268</v>
      </c>
      <c r="H70" s="3033">
        <v>940.20873234138537</v>
      </c>
      <c r="I70" s="3033">
        <v>1.1697267116883119E-2</v>
      </c>
      <c r="J70" s="3033">
        <v>8.97768388831169E-3</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156253.19754000037</v>
      </c>
      <c r="D75" s="3077" t="s">
        <v>1814</v>
      </c>
      <c r="E75" s="628"/>
      <c r="F75" s="628"/>
      <c r="G75" s="628"/>
      <c r="H75" s="3086">
        <f>IF(SUM(H76:H80)=0,"NO",SUM(H76:H80))</f>
        <v>8054.0083733173633</v>
      </c>
      <c r="I75" s="3086">
        <f t="shared" ref="I75:K75" si="39">IF(SUM(I76:I81)=0,"NO",SUM(I76:I81))</f>
        <v>6.7739890248290235</v>
      </c>
      <c r="J75" s="3086">
        <f t="shared" si="39"/>
        <v>0.13889519079886464</v>
      </c>
      <c r="K75" s="3069" t="str">
        <f t="shared" si="39"/>
        <v>NO</v>
      </c>
    </row>
    <row r="76" spans="2:11" ht="18" customHeight="1" x14ac:dyDescent="0.2">
      <c r="B76" s="282" t="s">
        <v>132</v>
      </c>
      <c r="C76" s="3033">
        <v>1125.8999999999999</v>
      </c>
      <c r="D76" s="3076" t="s">
        <v>1814</v>
      </c>
      <c r="E76" s="1913">
        <f>IFERROR(H76*1000/$C76,"NA")</f>
        <v>69.825401900701664</v>
      </c>
      <c r="F76" s="1913">
        <f t="shared" ref="F76:G81" si="40">IFERROR(I76*1000000/$C76,"NA")</f>
        <v>2.2507819963899545</v>
      </c>
      <c r="G76" s="1913">
        <f t="shared" si="40"/>
        <v>1.4528265735442218</v>
      </c>
      <c r="H76" s="3033">
        <v>78.616420000000005</v>
      </c>
      <c r="I76" s="3033">
        <v>2.5341554497354496E-3</v>
      </c>
      <c r="J76" s="3033">
        <v>1.6357374391534393E-3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155127.29754000038</v>
      </c>
      <c r="D78" s="3076" t="s">
        <v>1814</v>
      </c>
      <c r="E78" s="1913">
        <f t="shared" si="41"/>
        <v>51.411918339264993</v>
      </c>
      <c r="F78" s="1913">
        <f t="shared" si="40"/>
        <v>43.65095619378809</v>
      </c>
      <c r="G78" s="1913">
        <f t="shared" si="40"/>
        <v>0.88481818181818161</v>
      </c>
      <c r="H78" s="3033">
        <v>7975.391953317363</v>
      </c>
      <c r="I78" s="3033">
        <v>6.771454869379288</v>
      </c>
      <c r="J78" s="3033">
        <v>0.13725945335971121</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33795.612558962268</v>
      </c>
      <c r="D82" s="3077" t="s">
        <v>1814</v>
      </c>
      <c r="E82" s="628"/>
      <c r="F82" s="628"/>
      <c r="G82" s="628"/>
      <c r="H82" s="3086">
        <f>IF(SUM(H83:H87)=0,"NO",SUM(H83:H87))</f>
        <v>2146.4722985116077</v>
      </c>
      <c r="I82" s="3086">
        <f t="shared" ref="I82:K82" si="42">IF(SUM(I83:I88)=0,"NO",SUM(I83:I88))</f>
        <v>0.11931451710842969</v>
      </c>
      <c r="J82" s="3086">
        <f t="shared" si="42"/>
        <v>8.9771162400132595E-2</v>
      </c>
      <c r="K82" s="3069" t="str">
        <f t="shared" si="42"/>
        <v>NO</v>
      </c>
    </row>
    <row r="83" spans="2:11" ht="18" customHeight="1" x14ac:dyDescent="0.2">
      <c r="B83" s="282" t="s">
        <v>132</v>
      </c>
      <c r="C83" s="3033">
        <v>22118.400000000001</v>
      </c>
      <c r="D83" s="3076" t="s">
        <v>1814</v>
      </c>
      <c r="E83" s="1913">
        <f>IFERROR(H83*1000/$C83,"NA")</f>
        <v>69.902180989583329</v>
      </c>
      <c r="F83" s="1913">
        <f t="shared" ref="F83:G88" si="43">IFERROR(I83*1000000/$C83,"NA")</f>
        <v>3.5897570101065401</v>
      </c>
      <c r="G83" s="1913">
        <f t="shared" si="43"/>
        <v>3.5787179280263404</v>
      </c>
      <c r="H83" s="3033">
        <v>1546.1243999999999</v>
      </c>
      <c r="I83" s="3033">
        <v>7.9399681452340498E-2</v>
      </c>
      <c r="J83" s="3033">
        <v>7.9155514619257808E-2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11677.212558962266</v>
      </c>
      <c r="D85" s="3076" t="s">
        <v>1814</v>
      </c>
      <c r="E85" s="1913">
        <f t="shared" si="44"/>
        <v>51.411918339264993</v>
      </c>
      <c r="F85" s="1913">
        <f t="shared" si="43"/>
        <v>3.418181818181818</v>
      </c>
      <c r="G85" s="1913">
        <f t="shared" si="43"/>
        <v>0.90909090909090906</v>
      </c>
      <c r="H85" s="3033">
        <v>600.3478985116077</v>
      </c>
      <c r="I85" s="3033">
        <v>3.99148356560892E-2</v>
      </c>
      <c r="J85" s="3033">
        <v>1.0615647780874787E-2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63521285.43345926</v>
      </c>
      <c r="G10" s="3657" t="s">
        <v>2147</v>
      </c>
      <c r="H10" s="3658">
        <f t="shared" ref="H10:H13" si="0">IF(SUM($F10)=0,"NA",K10*1000/$F10)</f>
        <v>1.0043837181431559E-2</v>
      </c>
      <c r="I10" s="3659">
        <f t="shared" ref="I10:I13" si="1">IF(SUM($F10)=0,"NA",L10*1000/$F10)</f>
        <v>2.3681811762457099E-4</v>
      </c>
      <c r="J10" s="3499" t="str">
        <f>IF(SUM(J11,J25,J36,J48,J59,J70,J76)=0,"IE",SUM(J11,J25,J36,J48,J59,J70,J76))</f>
        <v>IE</v>
      </c>
      <c r="K10" s="3500">
        <f>IF(SUM(K11,K25,K36,K48,K59,K70,K76)=0,"NO",SUM(K11,K25,K36,K48,K59,K70,K76))</f>
        <v>637.99744844890506</v>
      </c>
      <c r="L10" s="3501">
        <f>IF(SUM(L11,L25,L36,L48,L59,L70,L76)=0,"NO",SUM(L11,L25,L36,L48,L59,L70,L76))</f>
        <v>15.042991245444902</v>
      </c>
    </row>
    <row r="11" spans="2:13" ht="18" customHeight="1" x14ac:dyDescent="0.2">
      <c r="B11" s="933" t="s">
        <v>1985</v>
      </c>
      <c r="C11" s="934"/>
      <c r="D11" s="2850"/>
      <c r="E11" s="2854" t="s">
        <v>2250</v>
      </c>
      <c r="F11" s="3679">
        <f>IF(SUM(F12,F19)=0,"NO",SUM(F12,F19))</f>
        <v>9326625.3325704541</v>
      </c>
      <c r="G11" s="3660" t="s">
        <v>2147</v>
      </c>
      <c r="H11" s="3661">
        <f t="shared" si="0"/>
        <v>2.5524105358093029E-2</v>
      </c>
      <c r="I11" s="3662">
        <f t="shared" si="1"/>
        <v>4.3758585552975754E-4</v>
      </c>
      <c r="J11" s="3502" t="str">
        <f>IF(SUM(J12,J19)=0,"IE",SUM(J12,J19))</f>
        <v>IE</v>
      </c>
      <c r="K11" s="3503">
        <f>IF(SUM(K12,K19)=0,"NO",SUM(K12,K19))</f>
        <v>238.05376762398771</v>
      </c>
      <c r="L11" s="3504">
        <f>IF(SUM(L12,L19)=0,"NO",SUM(L12,L19))</f>
        <v>4.0811993253583516</v>
      </c>
      <c r="M11" s="482"/>
    </row>
    <row r="12" spans="2:13" ht="18" customHeight="1" x14ac:dyDescent="0.2">
      <c r="B12" s="903" t="s">
        <v>1912</v>
      </c>
      <c r="C12" s="476"/>
      <c r="D12" s="298"/>
      <c r="E12" s="2852" t="s">
        <v>2250</v>
      </c>
      <c r="F12" s="3680">
        <f>IF(SUM(F13,F17)=0,"NO",SUM(F13,F17))</f>
        <v>9315028.2776648123</v>
      </c>
      <c r="G12" s="3663" t="str">
        <f>IFERROR(IF(SUM($F12)=0,"NA",J12*1000/$F12),"NA")</f>
        <v>NA</v>
      </c>
      <c r="H12" s="3664">
        <f t="shared" si="0"/>
        <v>2.5375093874109095E-2</v>
      </c>
      <c r="I12" s="3665">
        <f t="shared" si="1"/>
        <v>4.3532334434318438E-4</v>
      </c>
      <c r="J12" s="3505" t="str">
        <f>IF(SUM(J13,J17)=0,"IE",SUM(J13,J17))</f>
        <v>IE</v>
      </c>
      <c r="K12" s="3506">
        <f>IF(SUM(K13,K17)=0,"NO",SUM(K13,K17))</f>
        <v>236.36971698572535</v>
      </c>
      <c r="L12" s="3507">
        <f>IF(SUM(L13,L17)=0,"NO",SUM(L13,L17))</f>
        <v>4.0550492624843786</v>
      </c>
    </row>
    <row r="13" spans="2:13" ht="18" customHeight="1" x14ac:dyDescent="0.2">
      <c r="B13" s="923" t="s">
        <v>1270</v>
      </c>
      <c r="C13" s="476"/>
      <c r="D13" s="298"/>
      <c r="E13" s="2852" t="s">
        <v>2250</v>
      </c>
      <c r="F13" s="3681">
        <f>IF(SUM(F14:F16)=0,"NO",SUM(F14:F16))</f>
        <v>8617935.0092117172</v>
      </c>
      <c r="G13" s="3666" t="str">
        <f t="shared" ref="G13:G76" si="2">IFERROR(IF(SUM($F13)=0,"NA",J13*1000/$F13),"NA")</f>
        <v>NA</v>
      </c>
      <c r="H13" s="3667">
        <f t="shared" si="0"/>
        <v>2.1215667528658579E-2</v>
      </c>
      <c r="I13" s="3668">
        <f t="shared" si="1"/>
        <v>4.1156041645941599E-4</v>
      </c>
      <c r="J13" s="3505" t="str">
        <f>IF(SUM(J14:J16)=0,"IE",SUM(J14:J16))</f>
        <v>IE</v>
      </c>
      <c r="K13" s="3505">
        <f>IF(SUM(K14:K16)=0,"NO",SUM(K14:K16))</f>
        <v>182.835243939023</v>
      </c>
      <c r="L13" s="3508">
        <f>IF(SUM(L14:L16)=0,"NO",SUM(L14:L16))</f>
        <v>3.5468009214113554</v>
      </c>
      <c r="M13" s="482"/>
    </row>
    <row r="14" spans="2:13" ht="24" x14ac:dyDescent="0.2">
      <c r="B14" s="923"/>
      <c r="C14" s="4367" t="s">
        <v>2247</v>
      </c>
      <c r="D14" s="542" t="s">
        <v>940</v>
      </c>
      <c r="E14" s="2851" t="s">
        <v>2250</v>
      </c>
      <c r="F14" s="3654">
        <v>176403.65881909407</v>
      </c>
      <c r="G14" s="3666" t="str">
        <f t="shared" si="2"/>
        <v>NA</v>
      </c>
      <c r="H14" s="3667">
        <f>IF(SUM($F14)=0,"NA",K14*1000/$F14)</f>
        <v>0.14840117086409124</v>
      </c>
      <c r="I14" s="3668">
        <f>IF(SUM($F14)=0,"NA",L14*1000/$F14)</f>
        <v>1.6385459497674064E-3</v>
      </c>
      <c r="J14" s="3509" t="s">
        <v>2153</v>
      </c>
      <c r="K14" s="3510">
        <v>26.178509513463236</v>
      </c>
      <c r="L14" s="3511">
        <v>0.28904550068217799</v>
      </c>
      <c r="M14" s="482"/>
    </row>
    <row r="15" spans="2:13" ht="18" customHeight="1" x14ac:dyDescent="0.2">
      <c r="B15" s="923"/>
      <c r="C15" s="4367" t="s">
        <v>2248</v>
      </c>
      <c r="D15" s="542" t="s">
        <v>940</v>
      </c>
      <c r="E15" s="543" t="s">
        <v>2250</v>
      </c>
      <c r="F15" s="3655">
        <v>53317.550659878696</v>
      </c>
      <c r="G15" s="3666" t="str">
        <f t="shared" si="2"/>
        <v>NA</v>
      </c>
      <c r="H15" s="3667">
        <f t="shared" ref="H15:H77" si="3">IF(SUM($F15)=0,"NA",K15*1000/$F15)</f>
        <v>0.29526912239146258</v>
      </c>
      <c r="I15" s="3668">
        <f t="shared" ref="I15:I77" si="4">IF(SUM($F15)=0,"NA",L15*1000/$F15)</f>
        <v>5.458377804208844E-3</v>
      </c>
      <c r="J15" s="3509" t="s">
        <v>2153</v>
      </c>
      <c r="K15" s="3510">
        <v>15.743026391404728</v>
      </c>
      <c r="L15" s="3512">
        <v>0.29102733509666245</v>
      </c>
      <c r="M15" s="482"/>
    </row>
    <row r="16" spans="2:13" ht="18" customHeight="1" x14ac:dyDescent="0.2">
      <c r="B16" s="923"/>
      <c r="C16" s="4367" t="s">
        <v>2263</v>
      </c>
      <c r="D16" s="542" t="s">
        <v>940</v>
      </c>
      <c r="E16" s="543" t="s">
        <v>2250</v>
      </c>
      <c r="F16" s="3655">
        <v>8388213.7997327447</v>
      </c>
      <c r="G16" s="3666" t="str">
        <f t="shared" si="2"/>
        <v>NA</v>
      </c>
      <c r="H16" s="3667">
        <f t="shared" si="3"/>
        <v>1.6799012447518288E-2</v>
      </c>
      <c r="I16" s="3668">
        <f t="shared" si="4"/>
        <v>3.5367816754110838E-4</v>
      </c>
      <c r="J16" s="3509" t="s">
        <v>2153</v>
      </c>
      <c r="K16" s="3510">
        <v>140.91370803415504</v>
      </c>
      <c r="L16" s="3512">
        <v>2.9667280856325151</v>
      </c>
      <c r="M16" s="482"/>
    </row>
    <row r="17" spans="2:13" ht="18" customHeight="1" x14ac:dyDescent="0.2">
      <c r="B17" s="923" t="s">
        <v>1271</v>
      </c>
      <c r="C17" s="4368"/>
      <c r="D17" s="298"/>
      <c r="E17" s="5" t="s">
        <v>2250</v>
      </c>
      <c r="F17" s="3681">
        <f>F18</f>
        <v>697093.26845309511</v>
      </c>
      <c r="G17" s="3666" t="str">
        <f t="shared" si="2"/>
        <v>NA</v>
      </c>
      <c r="H17" s="3667">
        <f t="shared" si="3"/>
        <v>7.6796714972588359E-2</v>
      </c>
      <c r="I17" s="3668">
        <f t="shared" si="4"/>
        <v>7.2909661314169132E-4</v>
      </c>
      <c r="J17" s="3505" t="str">
        <f>J18</f>
        <v>IE</v>
      </c>
      <c r="K17" s="3505">
        <f>K18</f>
        <v>53.53447304670236</v>
      </c>
      <c r="L17" s="3508">
        <f>L18</f>
        <v>0.50824834107302341</v>
      </c>
      <c r="M17" s="482"/>
    </row>
    <row r="18" spans="2:13" ht="18" customHeight="1" x14ac:dyDescent="0.2">
      <c r="B18" s="923"/>
      <c r="C18" s="4367" t="s">
        <v>2249</v>
      </c>
      <c r="D18" s="542" t="s">
        <v>940</v>
      </c>
      <c r="E18" s="543" t="s">
        <v>2250</v>
      </c>
      <c r="F18" s="3654">
        <v>697093.26845309511</v>
      </c>
      <c r="G18" s="3666" t="str">
        <f t="shared" si="2"/>
        <v>NA</v>
      </c>
      <c r="H18" s="3667">
        <f t="shared" si="3"/>
        <v>7.6796714972588359E-2</v>
      </c>
      <c r="I18" s="3668">
        <f t="shared" si="4"/>
        <v>7.2909661314169132E-4</v>
      </c>
      <c r="J18" s="3509" t="s">
        <v>2153</v>
      </c>
      <c r="K18" s="3510">
        <v>53.53447304670236</v>
      </c>
      <c r="L18" s="3511">
        <v>0.50824834107302341</v>
      </c>
      <c r="M18" s="482"/>
    </row>
    <row r="19" spans="2:13" ht="18" customHeight="1" x14ac:dyDescent="0.2">
      <c r="B19" s="903" t="s">
        <v>1272</v>
      </c>
      <c r="C19" s="4368"/>
      <c r="D19" s="298"/>
      <c r="E19" s="5" t="s">
        <v>2250</v>
      </c>
      <c r="F19" s="3682">
        <f>IF(SUM(F20,F23)=0,"NO",SUM(F20,F23))</f>
        <v>11597.0549056418</v>
      </c>
      <c r="G19" s="3663" t="s">
        <v>2147</v>
      </c>
      <c r="H19" s="3664">
        <f t="shared" si="3"/>
        <v>0.14521364708233664</v>
      </c>
      <c r="I19" s="3665">
        <f t="shared" si="4"/>
        <v>2.254888252814201E-3</v>
      </c>
      <c r="J19" s="3505" t="str">
        <f>IF(SUM(J20,J23)=0,"IE",SUM(J20,J23))</f>
        <v>IE</v>
      </c>
      <c r="K19" s="3506">
        <f>IF(SUM(K20,K23)=0,"NO",SUM(K20,K23))</f>
        <v>1.6840506382623492</v>
      </c>
      <c r="L19" s="3507">
        <f>IF(SUM(L20,L23)=0,"NO",SUM(L20,L23))</f>
        <v>2.6150062873973E-2</v>
      </c>
    </row>
    <row r="20" spans="2:13" ht="18" customHeight="1" x14ac:dyDescent="0.2">
      <c r="B20" s="923" t="s">
        <v>1273</v>
      </c>
      <c r="C20" s="4368"/>
      <c r="D20" s="298"/>
      <c r="E20" s="5" t="s">
        <v>2250</v>
      </c>
      <c r="F20" s="3681">
        <f>IF(SUM(F21:F22)=0,"NO",SUM(F21:F22))</f>
        <v>10629.90883570016</v>
      </c>
      <c r="G20" s="3666" t="str">
        <f t="shared" si="2"/>
        <v>NA</v>
      </c>
      <c r="H20" s="3667">
        <f t="shared" si="3"/>
        <v>0.10330170849181992</v>
      </c>
      <c r="I20" s="3668">
        <f t="shared" si="4"/>
        <v>1.9260582190002535E-3</v>
      </c>
      <c r="J20" s="3505" t="str">
        <f>IF(SUM(J21:J22)=0,"IE",SUM(J21:J22))</f>
        <v>IE</v>
      </c>
      <c r="K20" s="3505">
        <f>IF(SUM(K21:K22)=0,"NO",SUM(K21:K22))</f>
        <v>1.0980877438401189</v>
      </c>
      <c r="L20" s="3508">
        <f>IF(SUM(L21:L22)=0,"NO",SUM(L21:L22))</f>
        <v>2.0473823280223707E-2</v>
      </c>
      <c r="M20" s="482"/>
    </row>
    <row r="21" spans="2:13" ht="18" customHeight="1" x14ac:dyDescent="0.2">
      <c r="B21" s="923"/>
      <c r="C21" s="4367" t="s">
        <v>2248</v>
      </c>
      <c r="D21" s="542" t="s">
        <v>940</v>
      </c>
      <c r="E21" s="543" t="s">
        <v>2250</v>
      </c>
      <c r="F21" s="3654">
        <v>4652.5952587058773</v>
      </c>
      <c r="G21" s="3666" t="str">
        <f t="shared" si="2"/>
        <v>NA</v>
      </c>
      <c r="H21" s="3667">
        <f t="shared" si="3"/>
        <v>0.21431984703776036</v>
      </c>
      <c r="I21" s="3668">
        <f t="shared" si="4"/>
        <v>3.9619405056563767E-3</v>
      </c>
      <c r="J21" s="3509" t="s">
        <v>2153</v>
      </c>
      <c r="K21" s="3510">
        <v>0.99714350417445263</v>
      </c>
      <c r="L21" s="3511">
        <v>1.8433305611891621E-2</v>
      </c>
      <c r="M21" s="482"/>
    </row>
    <row r="22" spans="2:13" ht="18" customHeight="1" x14ac:dyDescent="0.2">
      <c r="B22" s="923"/>
      <c r="C22" s="4367" t="s">
        <v>2263</v>
      </c>
      <c r="D22" s="542" t="s">
        <v>940</v>
      </c>
      <c r="E22" s="543" t="s">
        <v>2250</v>
      </c>
      <c r="F22" s="3655">
        <v>5977.3135769942837</v>
      </c>
      <c r="G22" s="3666" t="str">
        <f t="shared" si="2"/>
        <v>NA</v>
      </c>
      <c r="H22" s="3667">
        <f t="shared" si="3"/>
        <v>1.6887894263099119E-2</v>
      </c>
      <c r="I22" s="3668">
        <f t="shared" si="4"/>
        <v>3.4137704874405639E-4</v>
      </c>
      <c r="J22" s="3509" t="s">
        <v>2153</v>
      </c>
      <c r="K22" s="3510">
        <v>0.10094423966566624</v>
      </c>
      <c r="L22" s="3512">
        <v>2.040517668332088E-3</v>
      </c>
      <c r="M22" s="482"/>
    </row>
    <row r="23" spans="2:13" ht="18" customHeight="1" x14ac:dyDescent="0.2">
      <c r="B23" s="923" t="s">
        <v>1274</v>
      </c>
      <c r="C23" s="4368"/>
      <c r="D23" s="298"/>
      <c r="E23" s="5" t="s">
        <v>2250</v>
      </c>
      <c r="F23" s="3681">
        <f>F24</f>
        <v>967.14606994163978</v>
      </c>
      <c r="G23" s="3666" t="str">
        <f t="shared" si="2"/>
        <v>NA</v>
      </c>
      <c r="H23" s="3667">
        <f t="shared" si="3"/>
        <v>0.60586804065448874</v>
      </c>
      <c r="I23" s="3668">
        <f t="shared" si="4"/>
        <v>5.869061323996087E-3</v>
      </c>
      <c r="J23" s="3505" t="str">
        <f>J24</f>
        <v>IE</v>
      </c>
      <c r="K23" s="3505">
        <f>K24</f>
        <v>0.58596289442223037</v>
      </c>
      <c r="L23" s="3508">
        <f>L24</f>
        <v>5.6762395937492924E-3</v>
      </c>
      <c r="M23" s="482"/>
    </row>
    <row r="24" spans="2:13" ht="18" customHeight="1" thickBot="1" x14ac:dyDescent="0.25">
      <c r="B24" s="938"/>
      <c r="C24" s="4369" t="s">
        <v>2251</v>
      </c>
      <c r="D24" s="939" t="s">
        <v>940</v>
      </c>
      <c r="E24" s="940" t="s">
        <v>2250</v>
      </c>
      <c r="F24" s="3656">
        <v>967.14606994163978</v>
      </c>
      <c r="G24" s="3669" t="str">
        <f t="shared" si="2"/>
        <v>NA</v>
      </c>
      <c r="H24" s="3670">
        <f t="shared" si="3"/>
        <v>0.60586804065448874</v>
      </c>
      <c r="I24" s="3671">
        <f t="shared" si="4"/>
        <v>5.869061323996087E-3</v>
      </c>
      <c r="J24" s="3513" t="s">
        <v>2153</v>
      </c>
      <c r="K24" s="3514">
        <v>0.58596289442223037</v>
      </c>
      <c r="L24" s="3515">
        <v>5.6762395937492924E-3</v>
      </c>
      <c r="M24" s="482"/>
    </row>
    <row r="25" spans="2:13" ht="18" customHeight="1" x14ac:dyDescent="0.2">
      <c r="B25" s="933" t="s">
        <v>1986</v>
      </c>
      <c r="C25" s="4370"/>
      <c r="D25" s="2850"/>
      <c r="E25" s="935" t="s">
        <v>2250</v>
      </c>
      <c r="F25" s="3683">
        <f>IF(SUM(F26,F31)=0,"IE",SUM(F26,F31))</f>
        <v>25391</v>
      </c>
      <c r="G25" s="3660" t="str">
        <f t="shared" si="2"/>
        <v>NA</v>
      </c>
      <c r="H25" s="3661">
        <f t="shared" si="3"/>
        <v>0.19005805206569257</v>
      </c>
      <c r="I25" s="3662">
        <f t="shared" si="4"/>
        <v>3.5134342680477344E-3</v>
      </c>
      <c r="J25" s="3502" t="str">
        <f>IF(SUM(J26,J31)=0,"IE",SUM(J26,J31))</f>
        <v>IE</v>
      </c>
      <c r="K25" s="3503">
        <f>IF(SUM(K26,K31)=0,"IE",SUM(K26,K31))</f>
        <v>4.8257640000000004</v>
      </c>
      <c r="L25" s="3504">
        <f>IF(SUM(L26,L31)=0,"IE",SUM(L26,L31))</f>
        <v>8.9209609500000023E-2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25391</v>
      </c>
      <c r="G31" s="3663" t="str">
        <f t="shared" si="2"/>
        <v>NA</v>
      </c>
      <c r="H31" s="3664">
        <f t="shared" si="3"/>
        <v>0.19005805206569257</v>
      </c>
      <c r="I31" s="3665">
        <f t="shared" si="4"/>
        <v>3.5134342680477344E-3</v>
      </c>
      <c r="J31" s="3505" t="str">
        <f>IF(SUM(J32,J34)=0,"IE",SUM(J32,J34))</f>
        <v>IE</v>
      </c>
      <c r="K31" s="3505">
        <f t="shared" ref="K31:L31" si="6">IF(SUM(K32,K34)=0,"IE",SUM(K32,K34))</f>
        <v>4.8257640000000004</v>
      </c>
      <c r="L31" s="3508">
        <f t="shared" si="6"/>
        <v>8.9209609500000023E-2</v>
      </c>
    </row>
    <row r="32" spans="2:13" ht="18" customHeight="1" x14ac:dyDescent="0.2">
      <c r="B32" s="923" t="s">
        <v>1278</v>
      </c>
      <c r="C32" s="4368"/>
      <c r="D32" s="298"/>
      <c r="E32" s="5" t="s">
        <v>2250</v>
      </c>
      <c r="F32" s="3681">
        <f>F33</f>
        <v>25391</v>
      </c>
      <c r="G32" s="3663" t="str">
        <f t="shared" si="2"/>
        <v>NA</v>
      </c>
      <c r="H32" s="3664">
        <f t="shared" si="3"/>
        <v>0.19005805206569257</v>
      </c>
      <c r="I32" s="3665">
        <f t="shared" si="4"/>
        <v>3.5134342680477344E-3</v>
      </c>
      <c r="J32" s="3505" t="str">
        <f>J33</f>
        <v>IE</v>
      </c>
      <c r="K32" s="3505">
        <f>K33</f>
        <v>4.8257640000000004</v>
      </c>
      <c r="L32" s="3508">
        <f>L33</f>
        <v>8.9209609500000023E-2</v>
      </c>
      <c r="M32" s="482"/>
    </row>
    <row r="33" spans="2:13" ht="18" customHeight="1" x14ac:dyDescent="0.2">
      <c r="B33" s="923"/>
      <c r="C33" s="4367" t="s">
        <v>2252</v>
      </c>
      <c r="D33" s="542" t="s">
        <v>940</v>
      </c>
      <c r="E33" s="543" t="s">
        <v>2250</v>
      </c>
      <c r="F33" s="3654">
        <v>25391</v>
      </c>
      <c r="G33" s="3666" t="str">
        <f t="shared" si="2"/>
        <v>NA</v>
      </c>
      <c r="H33" s="3667">
        <f t="shared" si="3"/>
        <v>0.19005805206569257</v>
      </c>
      <c r="I33" s="3668">
        <f t="shared" si="4"/>
        <v>3.5134342680477344E-3</v>
      </c>
      <c r="J33" s="3509" t="s">
        <v>2153</v>
      </c>
      <c r="K33" s="3510">
        <v>4.8257640000000004</v>
      </c>
      <c r="L33" s="3511">
        <v>8.9209609500000023E-2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53204334.505444169</v>
      </c>
      <c r="G36" s="3660" t="str">
        <f t="shared" si="2"/>
        <v>NA</v>
      </c>
      <c r="H36" s="3661">
        <f t="shared" ref="H36" si="7">IF(SUM($F36)=0,"NA",K36*1000/$F36)</f>
        <v>7.0611208628258721E-3</v>
      </c>
      <c r="I36" s="3662">
        <f t="shared" ref="I36" si="8">IF(SUM($F36)=0,"NA",L36*1000/$F36)</f>
        <v>1.966115097962256E-4</v>
      </c>
      <c r="J36" s="3502" t="str">
        <f>IF(SUM(J37,J42)=0,"IE",SUM(J37,J42))</f>
        <v>IE</v>
      </c>
      <c r="K36" s="3503">
        <f>IF(SUM(K37,K42)=0,"NO",SUM(K37,K42))</f>
        <v>375.68223636915826</v>
      </c>
      <c r="L36" s="3504">
        <f>IF(SUM(L37,L42)=0,"NO",SUM(L37,L42))</f>
        <v>10.4605845348188</v>
      </c>
      <c r="M36" s="482"/>
    </row>
    <row r="37" spans="2:13" ht="18" customHeight="1" x14ac:dyDescent="0.2">
      <c r="B37" s="903" t="s">
        <v>1876</v>
      </c>
      <c r="C37" s="4368"/>
      <c r="D37" s="298"/>
      <c r="E37" s="5" t="s">
        <v>2250</v>
      </c>
      <c r="F37" s="3680">
        <f>IF(SUM(F38,F40)=0,"NO",SUM(F38,F40))</f>
        <v>52519083.050244421</v>
      </c>
      <c r="G37" s="3666" t="str">
        <f t="shared" si="2"/>
        <v>NA</v>
      </c>
      <c r="H37" s="3664">
        <f t="shared" si="3"/>
        <v>5.0754936411499868E-3</v>
      </c>
      <c r="I37" s="3665">
        <f t="shared" si="4"/>
        <v>1.6066796617317231E-4</v>
      </c>
      <c r="J37" s="3505" t="str">
        <f>IF(SUM(J38,J40)=0,"IE",SUM(J38,J40))</f>
        <v>IE</v>
      </c>
      <c r="K37" s="3506">
        <f>IF(SUM(K38,K40)=0,"NO",SUM(K38,K40))</f>
        <v>266.56027206054358</v>
      </c>
      <c r="L37" s="3507">
        <f>IF(SUM(L38,L40)=0,"NO",SUM(L38,L40))</f>
        <v>8.4381342589626982</v>
      </c>
    </row>
    <row r="38" spans="2:13" ht="18" customHeight="1" x14ac:dyDescent="0.2">
      <c r="B38" s="923" t="s">
        <v>1280</v>
      </c>
      <c r="C38" s="4368"/>
      <c r="D38" s="298"/>
      <c r="E38" s="5" t="s">
        <v>2250</v>
      </c>
      <c r="F38" s="3681">
        <f>F39</f>
        <v>52519083.050244421</v>
      </c>
      <c r="G38" s="3666" t="str">
        <f t="shared" si="2"/>
        <v>NA</v>
      </c>
      <c r="H38" s="3667">
        <f t="shared" si="3"/>
        <v>5.0754936411499868E-3</v>
      </c>
      <c r="I38" s="3668">
        <f t="shared" si="4"/>
        <v>1.6066796617317231E-4</v>
      </c>
      <c r="J38" s="3505" t="str">
        <f>J39</f>
        <v>IE</v>
      </c>
      <c r="K38" s="3505">
        <f>K39</f>
        <v>266.56027206054358</v>
      </c>
      <c r="L38" s="3508">
        <f>L39</f>
        <v>8.4381342589626982</v>
      </c>
      <c r="M38" s="482"/>
    </row>
    <row r="39" spans="2:13" ht="18" customHeight="1" x14ac:dyDescent="0.2">
      <c r="B39" s="923"/>
      <c r="C39" s="4367" t="s">
        <v>2263</v>
      </c>
      <c r="D39" s="542" t="s">
        <v>940</v>
      </c>
      <c r="E39" s="543" t="s">
        <v>2250</v>
      </c>
      <c r="F39" s="3655">
        <v>52519083.050244421</v>
      </c>
      <c r="G39" s="3666" t="str">
        <f t="shared" si="2"/>
        <v>NA</v>
      </c>
      <c r="H39" s="3667">
        <f t="shared" ref="H39:H40" si="9">IF(SUM($F39)=0,"NA",K39*1000/$F39)</f>
        <v>5.0754936411499868E-3</v>
      </c>
      <c r="I39" s="3668">
        <f t="shared" ref="I39:I40" si="10">IF(SUM($F39)=0,"NA",L39*1000/$F39)</f>
        <v>1.6066796617317231E-4</v>
      </c>
      <c r="J39" s="3509" t="s">
        <v>2153</v>
      </c>
      <c r="K39" s="3510">
        <v>266.56027206054358</v>
      </c>
      <c r="L39" s="3512">
        <v>8.4381342589626982</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685251.45519975096</v>
      </c>
      <c r="G42" s="3663" t="str">
        <f t="shared" si="2"/>
        <v>NA</v>
      </c>
      <c r="H42" s="3664">
        <f t="shared" si="11"/>
        <v>0.15924368125100236</v>
      </c>
      <c r="I42" s="3665">
        <f t="shared" si="12"/>
        <v>2.951398731822551E-3</v>
      </c>
      <c r="J42" s="3505" t="str">
        <f>IF(SUM(J43,J46)=0,"IE",SUM(J43,J46))</f>
        <v>IE</v>
      </c>
      <c r="K42" s="3506">
        <f>IF(SUM(K43,K46)=0,"NO",SUM(K43,K46))</f>
        <v>109.12196430861466</v>
      </c>
      <c r="L42" s="3507">
        <f>IF(SUM(L43,L46)=0,"NO",SUM(L43,L46))</f>
        <v>2.0224502758561025</v>
      </c>
    </row>
    <row r="43" spans="2:13" ht="18" customHeight="1" x14ac:dyDescent="0.2">
      <c r="B43" s="923" t="s">
        <v>1283</v>
      </c>
      <c r="C43" s="4368"/>
      <c r="D43" s="298"/>
      <c r="E43" s="5" t="s">
        <v>2250</v>
      </c>
      <c r="F43" s="3681">
        <f>IF(SUM(F44:F45)=0,"NO",SUM(F44:F45))</f>
        <v>685251.45519975096</v>
      </c>
      <c r="G43" s="3666" t="str">
        <f t="shared" si="2"/>
        <v>NA</v>
      </c>
      <c r="H43" s="3667">
        <f t="shared" ref="H43" si="13">IF(SUM($F43)=0,"NA",K43*1000/$F43)</f>
        <v>0.15924368125100236</v>
      </c>
      <c r="I43" s="3668">
        <f t="shared" ref="I43" si="14">IF(SUM($F43)=0,"NA",L43*1000/$F43)</f>
        <v>2.951398731822551E-3</v>
      </c>
      <c r="J43" s="3505" t="str">
        <f>IF(SUM(J44:J45)=0,"IE",SUM(J44:J45))</f>
        <v>IE</v>
      </c>
      <c r="K43" s="3505">
        <f>IF(SUM(K44:K45)=0,"NO",SUM(K44:K45))</f>
        <v>109.12196430861466</v>
      </c>
      <c r="L43" s="3508">
        <f>IF(SUM(L44:L45)=0,"NO",SUM(L44:L45))</f>
        <v>2.0224502758561025</v>
      </c>
      <c r="M43" s="482"/>
    </row>
    <row r="44" spans="2:13" ht="18" customHeight="1" x14ac:dyDescent="0.2">
      <c r="B44" s="923"/>
      <c r="C44" s="4367" t="s">
        <v>2252</v>
      </c>
      <c r="D44" s="542" t="s">
        <v>940</v>
      </c>
      <c r="E44" s="543" t="s">
        <v>2250</v>
      </c>
      <c r="F44" s="3655">
        <v>598111.7968470687</v>
      </c>
      <c r="G44" s="3666" t="str">
        <f t="shared" si="2"/>
        <v>NA</v>
      </c>
      <c r="H44" s="3667">
        <f t="shared" ref="H44:H46" si="15">IF(SUM($F44)=0,"NA",K44*1000/$F44)</f>
        <v>0.18091166946456833</v>
      </c>
      <c r="I44" s="3668">
        <f t="shared" ref="I44:I46" si="16">IF(SUM($F44)=0,"NA",L44*1000/$F44)</f>
        <v>3.3443532230186166E-3</v>
      </c>
      <c r="J44" s="3509" t="s">
        <v>2153</v>
      </c>
      <c r="K44" s="3510">
        <v>108.20540369405593</v>
      </c>
      <c r="L44" s="3512">
        <v>2.0002971155109504</v>
      </c>
      <c r="M44" s="482"/>
    </row>
    <row r="45" spans="2:13" ht="18" customHeight="1" x14ac:dyDescent="0.2">
      <c r="B45" s="923"/>
      <c r="C45" s="4367" t="s">
        <v>2263</v>
      </c>
      <c r="D45" s="542" t="s">
        <v>940</v>
      </c>
      <c r="E45" s="543" t="s">
        <v>2250</v>
      </c>
      <c r="F45" s="3655">
        <v>87139.658352682251</v>
      </c>
      <c r="G45" s="3666" t="str">
        <f t="shared" si="2"/>
        <v>NA</v>
      </c>
      <c r="H45" s="3667">
        <f t="shared" si="15"/>
        <v>1.051829479120887E-2</v>
      </c>
      <c r="I45" s="3668">
        <f t="shared" si="16"/>
        <v>2.542259261046351E-4</v>
      </c>
      <c r="J45" s="3509" t="s">
        <v>2153</v>
      </c>
      <c r="K45" s="3510">
        <v>0.91656061455873816</v>
      </c>
      <c r="L45" s="3512">
        <v>2.2153160345152148E-2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949749.59544463549</v>
      </c>
      <c r="G48" s="3660" t="str">
        <f t="shared" si="2"/>
        <v>NA</v>
      </c>
      <c r="H48" s="3661">
        <f t="shared" si="17"/>
        <v>1.7159834691089535E-2</v>
      </c>
      <c r="I48" s="3662">
        <f t="shared" si="18"/>
        <v>3.7271495167316032E-4</v>
      </c>
      <c r="J48" s="3502" t="str">
        <f>IF(SUM(J49,J54)=0,"IE",SUM(J49,J54))</f>
        <v>IE</v>
      </c>
      <c r="K48" s="3503">
        <f>IF(SUM(K49,K54)=0,"NO",SUM(K49,K54))</f>
        <v>16.297546055759106</v>
      </c>
      <c r="L48" s="3504">
        <f>IF(SUM(L49,L54)=0,"NO",SUM(L49,L54))</f>
        <v>0.35398587456775088</v>
      </c>
      <c r="M48" s="482"/>
    </row>
    <row r="49" spans="2:13" ht="18" customHeight="1" x14ac:dyDescent="0.2">
      <c r="B49" s="903" t="s">
        <v>1285</v>
      </c>
      <c r="C49" s="4368"/>
      <c r="D49" s="298"/>
      <c r="E49" s="5" t="s">
        <v>2250</v>
      </c>
      <c r="F49" s="3680">
        <f>IF(SUM(F50,F52)=0,"NO",SUM(F50,F52))</f>
        <v>949749.59544463549</v>
      </c>
      <c r="G49" s="3663" t="str">
        <f t="shared" si="2"/>
        <v>NA</v>
      </c>
      <c r="H49" s="3664">
        <f t="shared" si="17"/>
        <v>1.7159834691089535E-2</v>
      </c>
      <c r="I49" s="3665">
        <f t="shared" si="18"/>
        <v>3.7271495167316032E-4</v>
      </c>
      <c r="J49" s="3505" t="str">
        <f>IF(SUM(J50,J52)=0,"IE",SUM(J50,J52))</f>
        <v>IE</v>
      </c>
      <c r="K49" s="3506">
        <f>IF(SUM(K50,K52)=0,"NO",SUM(K50,K52))</f>
        <v>16.297546055759106</v>
      </c>
      <c r="L49" s="3507">
        <f>IF(SUM(L50,L52)=0,"NO",SUM(L50,L52))</f>
        <v>0.35398587456775088</v>
      </c>
    </row>
    <row r="50" spans="2:13" ht="18" customHeight="1" x14ac:dyDescent="0.2">
      <c r="B50" s="923" t="s">
        <v>1286</v>
      </c>
      <c r="C50" s="4368"/>
      <c r="D50" s="298"/>
      <c r="E50" s="5" t="s">
        <v>2250</v>
      </c>
      <c r="F50" s="3681">
        <f>F51</f>
        <v>949749.59544463549</v>
      </c>
      <c r="G50" s="3666" t="str">
        <f t="shared" si="2"/>
        <v>NA</v>
      </c>
      <c r="H50" s="3667">
        <f t="shared" si="17"/>
        <v>1.7159834691089535E-2</v>
      </c>
      <c r="I50" s="3668">
        <f t="shared" si="18"/>
        <v>3.7271495167316032E-4</v>
      </c>
      <c r="J50" s="3505" t="str">
        <f>J51</f>
        <v>IE</v>
      </c>
      <c r="K50" s="3505">
        <f>K51</f>
        <v>16.297546055759106</v>
      </c>
      <c r="L50" s="3508">
        <f>L51</f>
        <v>0.35398587456775088</v>
      </c>
      <c r="M50" s="482"/>
    </row>
    <row r="51" spans="2:13" ht="18" customHeight="1" x14ac:dyDescent="0.2">
      <c r="B51" s="923"/>
      <c r="C51" s="4367" t="s">
        <v>2263</v>
      </c>
      <c r="D51" s="542" t="s">
        <v>940</v>
      </c>
      <c r="E51" s="543" t="s">
        <v>2250</v>
      </c>
      <c r="F51" s="3655">
        <v>949749.59544463549</v>
      </c>
      <c r="G51" s="3666" t="str">
        <f t="shared" si="2"/>
        <v>NA</v>
      </c>
      <c r="H51" s="3667">
        <f t="shared" si="17"/>
        <v>1.7159834691089535E-2</v>
      </c>
      <c r="I51" s="3668">
        <f t="shared" si="18"/>
        <v>3.7271495167316032E-4</v>
      </c>
      <c r="J51" s="3509" t="s">
        <v>2153</v>
      </c>
      <c r="K51" s="3510">
        <v>16.297546055759106</v>
      </c>
      <c r="L51" s="3512">
        <v>0.35398587456775088</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15185</v>
      </c>
      <c r="G59" s="3660" t="str">
        <f t="shared" si="2"/>
        <v>NA</v>
      </c>
      <c r="H59" s="3661">
        <f t="shared" si="3"/>
        <v>0.20666015146526179</v>
      </c>
      <c r="I59" s="3662">
        <f t="shared" si="4"/>
        <v>3.8203425222258806E-3</v>
      </c>
      <c r="J59" s="3502" t="str">
        <f>IF(SUM(J60,J65)=0,"IE",SUM(J60,J65))</f>
        <v>IE</v>
      </c>
      <c r="K59" s="3503">
        <f>IF(SUM(K60,K65)=0,"NO",SUM(K60,K65))</f>
        <v>3.1381344000000002</v>
      </c>
      <c r="L59" s="3504">
        <f>IF(SUM(L60,L65)=0,"NO",SUM(L60,L65))</f>
        <v>5.80119012E-2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15185</v>
      </c>
      <c r="G65" s="3663" t="str">
        <f t="shared" si="2"/>
        <v>NA</v>
      </c>
      <c r="H65" s="3664">
        <f t="shared" si="3"/>
        <v>0.20666015146526179</v>
      </c>
      <c r="I65" s="3665">
        <f t="shared" si="4"/>
        <v>3.8203425222258806E-3</v>
      </c>
      <c r="J65" s="3505" t="str">
        <f>IF(SUM(J66,J68)=0,"IE",SUM(J66,J68))</f>
        <v>IE</v>
      </c>
      <c r="K65" s="3506">
        <f>IF(SUM(K66,K68)=0,"NO",SUM(K66,K68))</f>
        <v>3.1381344000000002</v>
      </c>
      <c r="L65" s="3507">
        <f>IF(SUM(L66,L68)=0,"NO",SUM(L66,L68))</f>
        <v>5.80119012E-2</v>
      </c>
    </row>
    <row r="66" spans="2:13" ht="18" customHeight="1" x14ac:dyDescent="0.2">
      <c r="B66" s="923" t="s">
        <v>1294</v>
      </c>
      <c r="C66" s="4368"/>
      <c r="D66" s="298"/>
      <c r="E66" s="5" t="s">
        <v>2250</v>
      </c>
      <c r="F66" s="3681">
        <f>F67</f>
        <v>15185</v>
      </c>
      <c r="G66" s="3666" t="str">
        <f t="shared" si="2"/>
        <v>NA</v>
      </c>
      <c r="H66" s="3667">
        <f t="shared" si="3"/>
        <v>0.20666015146526179</v>
      </c>
      <c r="I66" s="3668">
        <f t="shared" si="4"/>
        <v>3.8203425222258806E-3</v>
      </c>
      <c r="J66" s="3505" t="str">
        <f>J67</f>
        <v>IE</v>
      </c>
      <c r="K66" s="3505">
        <f>K67</f>
        <v>3.1381344000000002</v>
      </c>
      <c r="L66" s="3508">
        <f>L67</f>
        <v>5.80119012E-2</v>
      </c>
      <c r="M66" s="482"/>
    </row>
    <row r="67" spans="2:13" ht="18" customHeight="1" x14ac:dyDescent="0.2">
      <c r="B67" s="923"/>
      <c r="C67" s="4367" t="s">
        <v>2252</v>
      </c>
      <c r="D67" s="542" t="s">
        <v>940</v>
      </c>
      <c r="E67" s="543" t="s">
        <v>2250</v>
      </c>
      <c r="F67" s="3655">
        <v>15185</v>
      </c>
      <c r="G67" s="3666" t="str">
        <f t="shared" si="2"/>
        <v>NA</v>
      </c>
      <c r="H67" s="3667">
        <f t="shared" ref="H67:H68" si="23">IF(SUM($F67)=0,"NA",K67*1000/$F67)</f>
        <v>0.20666015146526179</v>
      </c>
      <c r="I67" s="3668">
        <f t="shared" ref="I67:I68" si="24">IF(SUM($F67)=0,"NA",L67*1000/$F67)</f>
        <v>3.8203425222258806E-3</v>
      </c>
      <c r="J67" s="3509" t="s">
        <v>2153</v>
      </c>
      <c r="K67" s="3510">
        <v>3.1381344000000002</v>
      </c>
      <c r="L67" s="3512">
        <v>5.80119012E-2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4794.1019776841904</v>
      </c>
      <c r="D10" s="3521">
        <f>IF(SUM(D11,D16:D17)=0,"NO",SUM(D11,D16:D17))</f>
        <v>-2927.9419277648508</v>
      </c>
      <c r="E10" s="3522"/>
      <c r="F10" s="3523">
        <f>IF(SUM(F11,F16:F17)=0,"NO",SUM(F11,F16:F17))</f>
        <v>1866.1600499193391</v>
      </c>
      <c r="G10" s="3524">
        <f>IF(SUM(G11,G16:G17)=0,"NO",SUM(G11,G16:G17))</f>
        <v>-6842.5868497042429</v>
      </c>
      <c r="H10" s="226"/>
      <c r="I10" s="2"/>
      <c r="J10" s="2"/>
    </row>
    <row r="11" spans="1:10" ht="18" customHeight="1" x14ac:dyDescent="0.2">
      <c r="B11" s="606" t="s">
        <v>1314</v>
      </c>
      <c r="C11" s="3525">
        <f>IF(SUM(C13:C15)=0,"NO",SUM(C13:C15))</f>
        <v>1719.598217257133</v>
      </c>
      <c r="D11" s="3526">
        <f>IF(SUM(D13:D15)=0,"NO",SUM(D13:D15))</f>
        <v>-612.00535852973542</v>
      </c>
      <c r="E11" s="3527"/>
      <c r="F11" s="3528">
        <f>IF(SUM(F13:F15)=0,"NO",SUM(F13:F15))</f>
        <v>1107.5928587273975</v>
      </c>
      <c r="G11" s="3529">
        <f>IF(SUM(G13:G15)=0,"NO",SUM(G13:G15))</f>
        <v>-4061.1738153337906</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1234.5419498093661</v>
      </c>
      <c r="D13" s="3534">
        <f>F13-C13</f>
        <v>-378.28806646128669</v>
      </c>
      <c r="E13" s="3535" t="s">
        <v>2147</v>
      </c>
      <c r="F13" s="3536">
        <f>G13/(-44/12)</f>
        <v>856.2538833480794</v>
      </c>
      <c r="G13" s="3537">
        <v>-3139.597572276291</v>
      </c>
      <c r="H13" s="226"/>
      <c r="I13" s="2"/>
      <c r="J13" s="2"/>
    </row>
    <row r="14" spans="1:10" ht="18" customHeight="1" x14ac:dyDescent="0.2">
      <c r="B14" s="1193" t="s">
        <v>1316</v>
      </c>
      <c r="C14" s="3538">
        <v>485.0562674477668</v>
      </c>
      <c r="D14" s="3539">
        <f>F14-C14</f>
        <v>-233.71729206844873</v>
      </c>
      <c r="E14" s="3235" t="s">
        <v>2147</v>
      </c>
      <c r="F14" s="3540">
        <f>G14/(-44/12)</f>
        <v>251.33897537931807</v>
      </c>
      <c r="G14" s="3537">
        <v>-921.5762430574996</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1752.8458609884756</v>
      </c>
      <c r="D16" s="3539">
        <f>F16-C16</f>
        <v>-1785.3012311707446</v>
      </c>
      <c r="E16" s="3235" t="s">
        <v>2147</v>
      </c>
      <c r="F16" s="3540">
        <f>G16/(-44/12)</f>
        <v>-32.455370182269007</v>
      </c>
      <c r="G16" s="3537">
        <v>119.00302400165302</v>
      </c>
      <c r="H16" s="226"/>
      <c r="I16" s="2"/>
      <c r="J16" s="2"/>
    </row>
    <row r="17" spans="2:10" ht="18" customHeight="1" x14ac:dyDescent="0.2">
      <c r="B17" s="1197" t="s">
        <v>1320</v>
      </c>
      <c r="C17" s="3542">
        <f>C18</f>
        <v>1321.6578994385816</v>
      </c>
      <c r="D17" s="3543">
        <f t="shared" ref="D17:F17" si="0">D18</f>
        <v>-530.63533806437101</v>
      </c>
      <c r="E17" s="3544"/>
      <c r="F17" s="3226">
        <f t="shared" si="0"/>
        <v>791.02256137421057</v>
      </c>
      <c r="G17" s="3537">
        <f>-F17*44/12</f>
        <v>-2900.4160583721055</v>
      </c>
      <c r="H17" s="226"/>
      <c r="I17" s="2"/>
      <c r="J17" s="2"/>
    </row>
    <row r="18" spans="2:10" ht="18" customHeight="1" thickBot="1" x14ac:dyDescent="0.25">
      <c r="B18" s="561" t="s">
        <v>2254</v>
      </c>
      <c r="C18" s="3545">
        <v>1321.6578994385816</v>
      </c>
      <c r="D18" s="3546">
        <f>F18-C18</f>
        <v>-530.63533806437101</v>
      </c>
      <c r="E18" s="3238" t="s">
        <v>2147</v>
      </c>
      <c r="F18" s="3547">
        <f>G18/(-44/12)</f>
        <v>791.02256137421057</v>
      </c>
      <c r="G18" s="3548">
        <v>-2900.4160583721055</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28.521775413558473</v>
      </c>
      <c r="D10" s="4371">
        <f t="shared" ref="D10:I10" si="0">IF(SUM(D11,D15,D18,D21)=0,"NO",SUM(D11,D15,D18,D21))</f>
        <v>667.69371537292272</v>
      </c>
      <c r="E10" s="4371">
        <f t="shared" si="0"/>
        <v>0.84230124598577261</v>
      </c>
      <c r="F10" s="4371" t="str">
        <f t="shared" si="0"/>
        <v>NO</v>
      </c>
      <c r="G10" s="4371" t="str">
        <f t="shared" si="0"/>
        <v>NO</v>
      </c>
      <c r="H10" s="4371">
        <f t="shared" si="0"/>
        <v>400.88441051615121</v>
      </c>
      <c r="I10" s="4372" t="str">
        <f t="shared" si="0"/>
        <v>NO</v>
      </c>
      <c r="J10" s="4373">
        <f>IF(SUM(C10:E10)=0,"NO",SUM(C10,IFERROR(28*D10,0),IFERROR(265*E10,0)))</f>
        <v>18947.155636041622</v>
      </c>
    </row>
    <row r="11" spans="1:10" ht="18" customHeight="1" x14ac:dyDescent="0.2">
      <c r="B11" s="1504" t="s">
        <v>1371</v>
      </c>
      <c r="C11" s="4374"/>
      <c r="D11" s="2883">
        <f>IF(SUM(D12:D14)=0,"NO",SUM(D12:D14))</f>
        <v>499.86312427999997</v>
      </c>
      <c r="E11" s="4374"/>
      <c r="F11" s="2883" t="str">
        <f>IF(SUM(F12:F14)=0,"NO",SUM(F12:F14))</f>
        <v>NO</v>
      </c>
      <c r="G11" s="2883" t="str">
        <f t="shared" ref="G11:H11" si="1">IF(SUM(G12:G14)=0,"NO",SUM(G12:G14))</f>
        <v>NO</v>
      </c>
      <c r="H11" s="2883">
        <f t="shared" si="1"/>
        <v>2.7922540431426994</v>
      </c>
      <c r="I11" s="2153"/>
      <c r="J11" s="2872">
        <f t="shared" ref="J11:J18" si="2">IF(SUM(C11:E11)=0,"NO",SUM(C11,IFERROR(28*D11,0),IFERROR(265*E11,0)))</f>
        <v>13996.167479839998</v>
      </c>
    </row>
    <row r="12" spans="1:10" ht="18" customHeight="1" x14ac:dyDescent="0.2">
      <c r="B12" s="1270" t="s">
        <v>1372</v>
      </c>
      <c r="C12" s="4375"/>
      <c r="D12" s="4376">
        <f>IF(SUM(Table5.A!F10:H10)=0,"NO",SUM(Table5.A!F10))</f>
        <v>499.86312427999997</v>
      </c>
      <c r="E12" s="4375"/>
      <c r="F12" s="4377" t="s">
        <v>2147</v>
      </c>
      <c r="G12" s="4377" t="s">
        <v>2147</v>
      </c>
      <c r="H12" s="4377">
        <v>2.7922540431426994</v>
      </c>
      <c r="I12" s="4378"/>
      <c r="J12" s="4379">
        <f t="shared" si="2"/>
        <v>13996.167479839998</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1.9442800525980002</v>
      </c>
      <c r="E15" s="2881">
        <f t="shared" ref="E15" si="3">IF(SUM(E16:E17)=0,"NO",SUM(E16:E17))</f>
        <v>0.24886784673254408</v>
      </c>
      <c r="F15" s="2881" t="s">
        <v>2256</v>
      </c>
      <c r="G15" s="2881" t="s">
        <v>2256</v>
      </c>
      <c r="H15" s="2881" t="s">
        <v>2256</v>
      </c>
      <c r="I15" s="4386"/>
      <c r="J15" s="2873">
        <f t="shared" si="2"/>
        <v>120.38982085686818</v>
      </c>
    </row>
    <row r="16" spans="1:10" ht="18" customHeight="1" x14ac:dyDescent="0.2">
      <c r="B16" s="1883" t="s">
        <v>1376</v>
      </c>
      <c r="C16" s="4387"/>
      <c r="D16" s="4376">
        <f>Table5.B!F10</f>
        <v>1.9442800525980002</v>
      </c>
      <c r="E16" s="4376">
        <f>Table5.B!G10</f>
        <v>0.24886784673254408</v>
      </c>
      <c r="F16" s="4388" t="s">
        <v>2147</v>
      </c>
      <c r="G16" s="4388" t="s">
        <v>2147</v>
      </c>
      <c r="H16" s="4388" t="s">
        <v>2147</v>
      </c>
      <c r="I16" s="4378"/>
      <c r="J16" s="4379">
        <f t="shared" si="2"/>
        <v>120.38982085686818</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28.521775413558473</v>
      </c>
      <c r="D18" s="2871" t="str">
        <f>IF(SUM(D19:D20)=0,"NO,NE",SUM(D19:D20))</f>
        <v>NO,NE</v>
      </c>
      <c r="E18" s="2871" t="str">
        <f>IF(SUM(E19:E20)=0,"NO,NE",SUM(E19:E20))</f>
        <v>NO,NE</v>
      </c>
      <c r="F18" s="2871" t="s">
        <v>2147</v>
      </c>
      <c r="G18" s="2871" t="s">
        <v>2147</v>
      </c>
      <c r="H18" s="2871" t="s">
        <v>2147</v>
      </c>
      <c r="I18" s="2871" t="s">
        <v>2147</v>
      </c>
      <c r="J18" s="2874">
        <f t="shared" si="2"/>
        <v>28.521775413558473</v>
      </c>
    </row>
    <row r="19" spans="2:12" ht="18" customHeight="1" x14ac:dyDescent="0.2">
      <c r="B19" s="1270" t="s">
        <v>1379</v>
      </c>
      <c r="C19" s="4376">
        <f>Table5.C!G10</f>
        <v>28.521775413558473</v>
      </c>
      <c r="D19" s="4376" t="str">
        <f>Table5.C!H10</f>
        <v>NO,NE</v>
      </c>
      <c r="E19" s="4376" t="str">
        <f>Table5.C!I10</f>
        <v>NO,NE</v>
      </c>
      <c r="F19" s="4391" t="s">
        <v>2147</v>
      </c>
      <c r="G19" s="4391" t="s">
        <v>2147</v>
      </c>
      <c r="H19" s="4391" t="s">
        <v>2147</v>
      </c>
      <c r="I19" s="4391" t="s">
        <v>2147</v>
      </c>
      <c r="J19" s="4379">
        <f>IF(SUM(C19:E19)=0,"NO",SUM(C19,IFERROR(28*D19,0),IFERROR(265*E19,0)))</f>
        <v>28.521775413558473</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165.88631104032476</v>
      </c>
      <c r="E21" s="2871">
        <f t="shared" ref="E21:H21" si="5">IF(SUM(E22:E24)=0,"NO",SUM(E22:E24))</f>
        <v>0.59343339925322847</v>
      </c>
      <c r="F21" s="2871" t="str">
        <f t="shared" si="5"/>
        <v>NO</v>
      </c>
      <c r="G21" s="2871" t="str">
        <f t="shared" si="5"/>
        <v>NO</v>
      </c>
      <c r="H21" s="2871">
        <f t="shared" si="5"/>
        <v>398.09215647300852</v>
      </c>
      <c r="I21" s="4393"/>
      <c r="J21" s="2874">
        <f t="shared" si="4"/>
        <v>4802.076559931199</v>
      </c>
    </row>
    <row r="22" spans="2:12" ht="18" customHeight="1" x14ac:dyDescent="0.2">
      <c r="B22" s="1270" t="s">
        <v>1382</v>
      </c>
      <c r="C22" s="4394"/>
      <c r="D22" s="4376">
        <f>IF(SUM(Table5.D!H10)=0,"NO",SUM(Table5.D!H10))</f>
        <v>55.651031891865109</v>
      </c>
      <c r="E22" s="4376">
        <f>IF(SUM(Table5.D!I10:J10)=0,"NO",SUM(Table5.D!I10:J10))</f>
        <v>0.59343339925322847</v>
      </c>
      <c r="F22" s="4377" t="s">
        <v>2147</v>
      </c>
      <c r="G22" s="4377" t="s">
        <v>2147</v>
      </c>
      <c r="H22" s="4377">
        <v>6.5205667458912666</v>
      </c>
      <c r="I22" s="4378"/>
      <c r="J22" s="4379">
        <f t="shared" si="4"/>
        <v>1715.4887437743287</v>
      </c>
    </row>
    <row r="23" spans="2:12" ht="18" customHeight="1" x14ac:dyDescent="0.2">
      <c r="B23" s="1270" t="s">
        <v>1383</v>
      </c>
      <c r="C23" s="4394"/>
      <c r="D23" s="4376">
        <f>IF(SUM(Table5.D!H11)=0,"NO",SUM(Table5.D!H11))</f>
        <v>110.23527914845964</v>
      </c>
      <c r="E23" s="4376" t="str">
        <f>IF(SUM(Table5.D!I11:J11)=0,"IE",SUM(Table5.D!I11:J11))</f>
        <v>IE</v>
      </c>
      <c r="F23" s="4377" t="s">
        <v>2147</v>
      </c>
      <c r="G23" s="4377" t="s">
        <v>2147</v>
      </c>
      <c r="H23" s="4377">
        <v>391.57158972711727</v>
      </c>
      <c r="I23" s="4378"/>
      <c r="J23" s="4379">
        <f t="shared" si="4"/>
        <v>3086.5878161568698</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-239603.90497733816</v>
      </c>
      <c r="D28" s="4404"/>
      <c r="E28" s="4404"/>
      <c r="F28" s="4404"/>
      <c r="G28" s="4404"/>
      <c r="H28" s="4404"/>
      <c r="I28" s="4405"/>
      <c r="J28" s="4406"/>
      <c r="K28"/>
      <c r="L28"/>
    </row>
    <row r="29" spans="2:12" ht="18" customHeight="1" x14ac:dyDescent="0.2">
      <c r="B29" s="2487" t="s">
        <v>2081</v>
      </c>
      <c r="C29" s="4407">
        <v>-5256.4239164425644</v>
      </c>
      <c r="D29" s="4408"/>
      <c r="E29" s="4408"/>
      <c r="F29" s="4408"/>
      <c r="G29" s="4408"/>
      <c r="H29" s="4408"/>
      <c r="I29" s="4406"/>
      <c r="J29" s="4406"/>
      <c r="K29"/>
      <c r="L29"/>
    </row>
    <row r="30" spans="2:12" ht="29.25" customHeight="1" thickBot="1" x14ac:dyDescent="0.25">
      <c r="B30" s="2488" t="s">
        <v>2082</v>
      </c>
      <c r="C30" s="4409">
        <v>-2900.4160583721055</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19542.474376764865</v>
      </c>
      <c r="D10" s="3752"/>
      <c r="E10" s="3751">
        <f>IF(SUM(C10)=0,"NA",(F10-SUM(G10:H10))/C10)</f>
        <v>3.2148084841649584E-2</v>
      </c>
      <c r="F10" s="3753">
        <f>F11</f>
        <v>499.86312427999997</v>
      </c>
      <c r="G10" s="3753" t="str">
        <f>G11</f>
        <v>IE</v>
      </c>
      <c r="H10" s="3754">
        <f>H11</f>
        <v>-128.38999999999999</v>
      </c>
      <c r="I10" s="44"/>
    </row>
    <row r="11" spans="1:13" ht="18" customHeight="1" x14ac:dyDescent="0.2">
      <c r="B11" s="1750" t="s">
        <v>1395</v>
      </c>
      <c r="C11" s="3755">
        <f>IF(SUM(C13:C16)=0,"NO",SUM(C13:C16))</f>
        <v>19542.474376764865</v>
      </c>
      <c r="D11" s="3755">
        <v>1</v>
      </c>
      <c r="E11" s="3755">
        <f>IF(SUM(C11)=0,"NA",(F11-SUM(G11:H11))/C11)</f>
        <v>3.2148084841649584E-2</v>
      </c>
      <c r="F11" s="3755">
        <f>IF(SUM(F13:F16)=0,"NO",SUM(F13:F16))</f>
        <v>499.86312427999997</v>
      </c>
      <c r="G11" s="3756" t="s">
        <v>2153</v>
      </c>
      <c r="H11" s="3757">
        <v>-128.38999999999999</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11272.643343120295</v>
      </c>
      <c r="D13" s="3762">
        <v>1</v>
      </c>
      <c r="E13" s="3755" t="s">
        <v>2153</v>
      </c>
      <c r="F13" s="3762">
        <v>18.179841379999999</v>
      </c>
      <c r="G13" s="3763"/>
      <c r="H13" s="3764"/>
      <c r="I13" s="44"/>
    </row>
    <row r="14" spans="1:13" ht="18" customHeight="1" x14ac:dyDescent="0.2">
      <c r="B14" s="1751" t="s">
        <v>1398</v>
      </c>
      <c r="C14" s="3762">
        <v>3016.7092823614362</v>
      </c>
      <c r="D14" s="3762">
        <v>1</v>
      </c>
      <c r="E14" s="3755" t="s">
        <v>2153</v>
      </c>
      <c r="F14" s="3762">
        <v>213.42342199999999</v>
      </c>
      <c r="G14" s="3763"/>
      <c r="H14" s="3764"/>
      <c r="I14" s="44"/>
    </row>
    <row r="15" spans="1:13" ht="18" customHeight="1" x14ac:dyDescent="0.2">
      <c r="B15" s="1751" t="s">
        <v>1399</v>
      </c>
      <c r="C15" s="3762">
        <v>5253.1217512831336</v>
      </c>
      <c r="D15" s="3762">
        <v>1</v>
      </c>
      <c r="E15" s="3755" t="s">
        <v>2153</v>
      </c>
      <c r="F15" s="3762">
        <v>268.25986089999998</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2592.3734034640001</v>
      </c>
      <c r="D10" s="1913">
        <f>IF(SUM($C10)=0,"NA",F10*1000/$C10)</f>
        <v>0.75</v>
      </c>
      <c r="E10" s="1913">
        <f>IF(SUM($C10)=0,"NA",G10*1000/$C10)</f>
        <v>9.600000000000003E-2</v>
      </c>
      <c r="F10" s="1909">
        <f>IF(SUM(F11:F12)=0,"NO",SUM(F11:F12))</f>
        <v>1.9442800525980002</v>
      </c>
      <c r="G10" s="1909">
        <f>IF(SUM(G11:G12)=0,"NO",SUM(G11:G12))</f>
        <v>0.24886784673254408</v>
      </c>
      <c r="H10" s="1910"/>
      <c r="I10" s="1911"/>
    </row>
    <row r="11" spans="1:9" ht="18" customHeight="1" x14ac:dyDescent="0.2">
      <c r="B11" s="1526" t="s">
        <v>1411</v>
      </c>
      <c r="C11" s="1912">
        <v>2592.3734034640001</v>
      </c>
      <c r="D11" s="1913">
        <f>IF(SUM($C11)=0,"NA",F11*1000/$C11)</f>
        <v>0.75</v>
      </c>
      <c r="E11" s="1913">
        <f>IF(SUM($C11)=0,"NA",G11*1000/$C11)</f>
        <v>9.600000000000003E-2</v>
      </c>
      <c r="F11" s="1912">
        <v>1.9442800525980002</v>
      </c>
      <c r="G11" s="1912">
        <v>0.24886784673254408</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12.845201182838384</v>
      </c>
      <c r="D10" s="2887">
        <f>IF(SUM(G10)=0,"NA",G10*1000/$C10)</f>
        <v>2220.4226315789056</v>
      </c>
      <c r="E10" s="2887" t="str">
        <f t="shared" ref="E10:E20" si="0">IF(SUM(H10)=0,"NA",H10*1000/$C10)</f>
        <v>NA</v>
      </c>
      <c r="F10" s="2887" t="str">
        <f t="shared" ref="F10:F20" si="1">IF(SUM(I10)=0,"NA",I10*1000/$C10)</f>
        <v>NA</v>
      </c>
      <c r="G10" s="2887">
        <f>IF(SUM(G11,G21)=0,"NO",SUM(G11,G21))</f>
        <v>28.521775413558473</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12.845201182838384</v>
      </c>
      <c r="D21" s="116">
        <f>IF(SUM(G21)=0,"NA",G21*1000/$C21)</f>
        <v>2220.4226315789056</v>
      </c>
      <c r="E21" s="116" t="str">
        <f t="shared" ref="E21:F21" si="3">IF(SUM(H21)=0,"NA",H21*1000/$C21)</f>
        <v>NA</v>
      </c>
      <c r="F21" s="116" t="str">
        <f t="shared" si="3"/>
        <v>NA</v>
      </c>
      <c r="G21" s="2889">
        <f>IF(SUM(G22:G23)=0,"NO",SUM(G22:G23))</f>
        <v>28.521775413558473</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12.845201182838384</v>
      </c>
      <c r="D23" s="116">
        <f t="shared" si="4"/>
        <v>2220.4226315789056</v>
      </c>
      <c r="E23" s="151" t="str">
        <f t="shared" si="5"/>
        <v>NA</v>
      </c>
      <c r="F23" s="151" t="str">
        <f t="shared" si="6"/>
        <v>NA</v>
      </c>
      <c r="G23" s="151">
        <f>IF(SUM(G25:G30)=0,"NO",SUM(G25:G30))</f>
        <v>28.521775413558473</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12.845201182838384</v>
      </c>
      <c r="D27" s="116">
        <f t="shared" si="4"/>
        <v>879.99999999999989</v>
      </c>
      <c r="E27" s="116" t="str">
        <f t="shared" si="5"/>
        <v>NA</v>
      </c>
      <c r="F27" s="116" t="str">
        <f t="shared" si="6"/>
        <v>NA</v>
      </c>
      <c r="G27" s="2897">
        <v>11.303777040897776</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19533.449000000001</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36.149629350317532</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2250.6431320486399</v>
      </c>
      <c r="D10" s="3435">
        <v>1726.80319315528</v>
      </c>
      <c r="E10" s="3435">
        <v>112.980310605333</v>
      </c>
      <c r="F10" s="3436">
        <f>(SUM(H10)-SUM(K10:L10))/C10</f>
        <v>4.6264773390535606E-2</v>
      </c>
      <c r="G10" s="3437">
        <f>SUM(I10:J10)/E10/(44/28)</f>
        <v>3.3425243200791168E-3</v>
      </c>
      <c r="H10" s="3434">
        <v>55.651031891865109</v>
      </c>
      <c r="I10" s="3223">
        <v>0.59343339925322847</v>
      </c>
      <c r="J10" s="3223" t="s">
        <v>2153</v>
      </c>
      <c r="K10" s="3438">
        <v>-15.626464512279338</v>
      </c>
      <c r="L10" s="2911">
        <v>-32.847998083051166</v>
      </c>
      <c r="M10"/>
      <c r="N10" s="1770" t="s">
        <v>1468</v>
      </c>
      <c r="O10" s="3440">
        <v>1</v>
      </c>
    </row>
    <row r="11" spans="1:15" ht="18" customHeight="1" x14ac:dyDescent="0.2">
      <c r="A11"/>
      <c r="B11" s="1749" t="s">
        <v>1383</v>
      </c>
      <c r="C11" s="3435">
        <v>1305.23863242372</v>
      </c>
      <c r="D11" s="3435">
        <v>193.86045874938699</v>
      </c>
      <c r="E11" s="691" t="s">
        <v>2153</v>
      </c>
      <c r="F11" s="3162">
        <f>(SUM(H11)-SUM(K11:L11))/C11</f>
        <v>8.6209909343174337E-2</v>
      </c>
      <c r="G11" s="3162" t="s">
        <v>2147</v>
      </c>
      <c r="H11" s="691">
        <v>110.23527914845964</v>
      </c>
      <c r="I11" s="691" t="s">
        <v>2153</v>
      </c>
      <c r="J11" s="691" t="s">
        <v>2153</v>
      </c>
      <c r="K11" s="3147" t="s">
        <v>2153</v>
      </c>
      <c r="L11" s="2911">
        <v>-2.2892250239981133</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407434.13570502802</v>
      </c>
      <c r="D10" s="4213">
        <f t="shared" si="0"/>
        <v>5334.1324504144341</v>
      </c>
      <c r="E10" s="4213">
        <f t="shared" si="0"/>
        <v>83.052862258513954</v>
      </c>
      <c r="F10" s="4213">
        <f t="shared" si="0"/>
        <v>1939.884053930544</v>
      </c>
      <c r="G10" s="4213">
        <f t="shared" si="0"/>
        <v>1553.8183084811451</v>
      </c>
      <c r="H10" s="4213" t="str">
        <f>IF(SUM(H11,H22,H31,H42,H51)=0,"NO",SUM(H11,H22,H31,H42,H51))</f>
        <v>NO</v>
      </c>
      <c r="I10" s="4213">
        <f t="shared" ref="I10:N10" si="1">IF(SUM(I11,I22,I31,I42,I51)=0,"NO",SUM(I11,I22,I31,I42,I51))</f>
        <v>9.8726009996146745E-3</v>
      </c>
      <c r="J10" s="3834" t="str">
        <f t="shared" si="1"/>
        <v>NO</v>
      </c>
      <c r="K10" s="4213">
        <f t="shared" si="1"/>
        <v>3051.9719454360961</v>
      </c>
      <c r="L10" s="4213">
        <f t="shared" si="1"/>
        <v>31439.435319591459</v>
      </c>
      <c r="M10" s="4213">
        <f t="shared" si="1"/>
        <v>2223.3814576077339</v>
      </c>
      <c r="N10" s="4214">
        <f t="shared" si="1"/>
        <v>2776.333072131265</v>
      </c>
      <c r="O10" s="3818">
        <f>IF(SUM(C10:J10)=0,"NO",SUM(C10,F10:H10)+28*SUM(D10)+265*SUM(E10)+23500*SUM(I10)+16100*SUM(J10))</f>
        <v>582524.56130104093</v>
      </c>
    </row>
    <row r="11" spans="1:15" ht="18" customHeight="1" x14ac:dyDescent="0.25">
      <c r="B11" s="1120" t="s">
        <v>1476</v>
      </c>
      <c r="C11" s="2552">
        <f>Table1!C10</f>
        <v>339322.03834284138</v>
      </c>
      <c r="D11" s="3810">
        <f>Table1!D10</f>
        <v>1335.3140884653776</v>
      </c>
      <c r="E11" s="3810">
        <f>Table1!E10</f>
        <v>11.384888177803591</v>
      </c>
      <c r="F11" s="4215"/>
      <c r="G11" s="4215"/>
      <c r="H11" s="4216"/>
      <c r="I11" s="4215"/>
      <c r="J11" s="98"/>
      <c r="K11" s="3810">
        <f>Table1!F10</f>
        <v>1978.4559595682679</v>
      </c>
      <c r="L11" s="3810">
        <f>Table1!G10</f>
        <v>4425.9263089550941</v>
      </c>
      <c r="M11" s="3810">
        <f>Table1!H10</f>
        <v>759.2579386407723</v>
      </c>
      <c r="N11" s="4217">
        <f>Table1!I10</f>
        <v>731.43002439201177</v>
      </c>
      <c r="O11" s="3781">
        <f t="shared" ref="O11:O58" si="2">IF(SUM(C11:J11)=0,"NO",SUM(C11,F11:H11)+28*SUM(D11)+265*SUM(E11)+23500*SUM(I11)+16100*SUM(J11))</f>
        <v>379727.82818698988</v>
      </c>
    </row>
    <row r="12" spans="1:15" ht="18" customHeight="1" x14ac:dyDescent="0.25">
      <c r="B12" s="1370" t="s">
        <v>1477</v>
      </c>
      <c r="C12" s="4218">
        <f>Table1!C11</f>
        <v>331314.54276073747</v>
      </c>
      <c r="D12" s="4219">
        <f>Table1!D11</f>
        <v>96.643076039675989</v>
      </c>
      <c r="E12" s="4219">
        <f>Table1!E11</f>
        <v>11.285943354458036</v>
      </c>
      <c r="F12" s="69"/>
      <c r="G12" s="69"/>
      <c r="H12" s="69"/>
      <c r="I12" s="69"/>
      <c r="J12" s="69"/>
      <c r="K12" s="4219">
        <f>Table1!F11</f>
        <v>1975.4630876835224</v>
      </c>
      <c r="L12" s="4219">
        <f>Table1!G11</f>
        <v>4408.5684520235709</v>
      </c>
      <c r="M12" s="4219">
        <f>Table1!H11</f>
        <v>542.92320421153204</v>
      </c>
      <c r="N12" s="4220">
        <f>Table1!I11</f>
        <v>731.43002439201177</v>
      </c>
      <c r="O12" s="3782">
        <f t="shared" si="2"/>
        <v>337011.32387877977</v>
      </c>
    </row>
    <row r="13" spans="1:15" ht="18" customHeight="1" x14ac:dyDescent="0.25">
      <c r="B13" s="1371" t="s">
        <v>1478</v>
      </c>
      <c r="C13" s="4218">
        <f>Table1!C12</f>
        <v>201393.4683450931</v>
      </c>
      <c r="D13" s="4219">
        <f>Table1!D12</f>
        <v>12.967320809346326</v>
      </c>
      <c r="E13" s="4219">
        <f>Table1!E12</f>
        <v>2.9973257240636362</v>
      </c>
      <c r="F13" s="69"/>
      <c r="G13" s="69"/>
      <c r="H13" s="69"/>
      <c r="I13" s="69"/>
      <c r="J13" s="69"/>
      <c r="K13" s="4219">
        <f>Table1!F12</f>
        <v>736.81085182198512</v>
      </c>
      <c r="L13" s="4219">
        <f>Table1!G12</f>
        <v>112.25419012423671</v>
      </c>
      <c r="M13" s="4219">
        <f>Table1!H12</f>
        <v>18.753822196687558</v>
      </c>
      <c r="N13" s="4220">
        <f>Table1!I12</f>
        <v>601.21085593566272</v>
      </c>
      <c r="O13" s="3783">
        <f t="shared" si="2"/>
        <v>202550.84464463167</v>
      </c>
    </row>
    <row r="14" spans="1:15" ht="18" customHeight="1" x14ac:dyDescent="0.25">
      <c r="B14" s="1371" t="s">
        <v>1479</v>
      </c>
      <c r="C14" s="4218">
        <f>Table1!C16</f>
        <v>38705.238695703512</v>
      </c>
      <c r="D14" s="4221">
        <f>Table1!D16</f>
        <v>2.0836131048420281</v>
      </c>
      <c r="E14" s="4221">
        <f>Table1!E16</f>
        <v>1.2472585483209395</v>
      </c>
      <c r="F14" s="3784"/>
      <c r="G14" s="3784"/>
      <c r="H14" s="3784"/>
      <c r="I14" s="3784"/>
      <c r="J14" s="69"/>
      <c r="K14" s="4221">
        <f>Table1!F16</f>
        <v>554.95375393660163</v>
      </c>
      <c r="L14" s="4221">
        <f>Table1!G16</f>
        <v>168.38324580316032</v>
      </c>
      <c r="M14" s="4221">
        <f>Table1!H16</f>
        <v>65.189750979421092</v>
      </c>
      <c r="N14" s="4222">
        <f>Table1!I16</f>
        <v>97.219040421454778</v>
      </c>
      <c r="O14" s="3785">
        <f t="shared" si="2"/>
        <v>39094.103377944142</v>
      </c>
    </row>
    <row r="15" spans="1:15" ht="18" customHeight="1" x14ac:dyDescent="0.25">
      <c r="B15" s="1371" t="s">
        <v>1480</v>
      </c>
      <c r="C15" s="4218">
        <f>Table1!C24</f>
        <v>73052.312407992649</v>
      </c>
      <c r="D15" s="4219">
        <f>Table1!D24</f>
        <v>26.322056482199386</v>
      </c>
      <c r="E15" s="4219">
        <f>Table1!E24</f>
        <v>6.4041698370851234</v>
      </c>
      <c r="F15" s="69"/>
      <c r="G15" s="69"/>
      <c r="H15" s="69"/>
      <c r="I15" s="69"/>
      <c r="J15" s="69"/>
      <c r="K15" s="4219">
        <f>Table1!F24</f>
        <v>362.23113515766823</v>
      </c>
      <c r="L15" s="4219">
        <f>Table1!G24</f>
        <v>3311.7269104807315</v>
      </c>
      <c r="M15" s="4219">
        <f>Table1!H24</f>
        <v>330.66427554318403</v>
      </c>
      <c r="N15" s="4220">
        <f>Table1!I24</f>
        <v>25.585236766764865</v>
      </c>
      <c r="O15" s="3783">
        <f t="shared" si="2"/>
        <v>75486.434996321783</v>
      </c>
    </row>
    <row r="16" spans="1:15" ht="18" customHeight="1" x14ac:dyDescent="0.25">
      <c r="B16" s="1371" t="s">
        <v>1481</v>
      </c>
      <c r="C16" s="4218">
        <f>Table1!C30</f>
        <v>17571.427876691756</v>
      </c>
      <c r="D16" s="4219">
        <f>Table1!D30</f>
        <v>55.246256990482443</v>
      </c>
      <c r="E16" s="4219">
        <f>Table1!E30</f>
        <v>0.62101485581758986</v>
      </c>
      <c r="F16" s="69"/>
      <c r="G16" s="69"/>
      <c r="H16" s="69"/>
      <c r="I16" s="69"/>
      <c r="J16" s="69"/>
      <c r="K16" s="4219">
        <f>Table1!F30</f>
        <v>317.1030769118226</v>
      </c>
      <c r="L16" s="4219">
        <f>Table1!G30</f>
        <v>811.12186785227277</v>
      </c>
      <c r="M16" s="4219">
        <f>Table1!H30</f>
        <v>127.80605300814679</v>
      </c>
      <c r="N16" s="4220">
        <f>Table1!I30</f>
        <v>7.23503881764805</v>
      </c>
      <c r="O16" s="3783">
        <f t="shared" si="2"/>
        <v>19282.892009216925</v>
      </c>
    </row>
    <row r="17" spans="2:15" ht="18" customHeight="1" x14ac:dyDescent="0.25">
      <c r="B17" s="1371" t="s">
        <v>1482</v>
      </c>
      <c r="C17" s="4218">
        <f>Table1!C34</f>
        <v>592.09543525646234</v>
      </c>
      <c r="D17" s="4219">
        <f>Table1!D34</f>
        <v>2.3828652805809997E-2</v>
      </c>
      <c r="E17" s="4219">
        <f>Table1!E34</f>
        <v>1.6174389170746161E-2</v>
      </c>
      <c r="F17" s="69"/>
      <c r="G17" s="69"/>
      <c r="H17" s="69"/>
      <c r="I17" s="69"/>
      <c r="J17" s="69"/>
      <c r="K17" s="4219">
        <f>Table1!F34</f>
        <v>4.364269855444916</v>
      </c>
      <c r="L17" s="4219">
        <f>Table1!G34</f>
        <v>5.0822377631692337</v>
      </c>
      <c r="M17" s="4219">
        <f>Table1!H34</f>
        <v>0.50930248409257461</v>
      </c>
      <c r="N17" s="4220">
        <f>Table1!I34</f>
        <v>0.17985245048133483</v>
      </c>
      <c r="O17" s="3783">
        <f t="shared" si="2"/>
        <v>597.04885066527265</v>
      </c>
    </row>
    <row r="18" spans="2:15" ht="18" customHeight="1" x14ac:dyDescent="0.25">
      <c r="B18" s="1370" t="s">
        <v>99</v>
      </c>
      <c r="C18" s="4223">
        <f>Table1!C37</f>
        <v>8007.495582103913</v>
      </c>
      <c r="D18" s="4224">
        <f>Table1!D37</f>
        <v>1238.6710124257015</v>
      </c>
      <c r="E18" s="4224">
        <f>Table1!E37</f>
        <v>9.8944823345555363E-2</v>
      </c>
      <c r="F18" s="69"/>
      <c r="G18" s="69"/>
      <c r="H18" s="69"/>
      <c r="I18" s="69"/>
      <c r="J18" s="69"/>
      <c r="K18" s="4224">
        <f>Table1!F37</f>
        <v>2.9928718847454312</v>
      </c>
      <c r="L18" s="4219">
        <f>Table1!G37</f>
        <v>17.3578569315235</v>
      </c>
      <c r="M18" s="4219">
        <f>Table1!H37</f>
        <v>216.33473442924029</v>
      </c>
      <c r="N18" s="4220" t="str">
        <f>Table1!I37</f>
        <v>NO</v>
      </c>
      <c r="O18" s="3783">
        <f t="shared" si="2"/>
        <v>42716.504308210133</v>
      </c>
    </row>
    <row r="19" spans="2:15" ht="18" customHeight="1" x14ac:dyDescent="0.25">
      <c r="B19" s="1371" t="s">
        <v>1483</v>
      </c>
      <c r="C19" s="4225">
        <f>Table1!C38</f>
        <v>1239.4846044535864</v>
      </c>
      <c r="D19" s="4226">
        <f>Table1!D38</f>
        <v>982.85774666992177</v>
      </c>
      <c r="E19" s="4224">
        <f>Table1!E38</f>
        <v>1.4653075432969966E-5</v>
      </c>
      <c r="F19" s="69"/>
      <c r="G19" s="69"/>
      <c r="H19" s="69"/>
      <c r="I19" s="69"/>
      <c r="J19" s="69"/>
      <c r="K19" s="4224" t="str">
        <f>Table1!F38</f>
        <v>NO</v>
      </c>
      <c r="L19" s="4219" t="str">
        <f>Table1!G38</f>
        <v>NO</v>
      </c>
      <c r="M19" s="4219" t="str">
        <f>Table1!H38</f>
        <v>NO</v>
      </c>
      <c r="N19" s="4220" t="str">
        <f>Table1!I38</f>
        <v>NO</v>
      </c>
      <c r="O19" s="3783">
        <f t="shared" si="2"/>
        <v>28759.505394276388</v>
      </c>
    </row>
    <row r="20" spans="2:15" ht="18" customHeight="1" x14ac:dyDescent="0.25">
      <c r="B20" s="1372" t="s">
        <v>1484</v>
      </c>
      <c r="C20" s="4225">
        <f>Table1!C42</f>
        <v>6768.0109776503268</v>
      </c>
      <c r="D20" s="4227">
        <f>Table1!D42</f>
        <v>255.81326575577981</v>
      </c>
      <c r="E20" s="4224">
        <f>Table1!E42</f>
        <v>9.8930170270122395E-2</v>
      </c>
      <c r="F20" s="3784"/>
      <c r="G20" s="3784"/>
      <c r="H20" s="3784"/>
      <c r="I20" s="3784"/>
      <c r="J20" s="69"/>
      <c r="K20" s="4224">
        <f>Table1!F42</f>
        <v>2.9928718847454312</v>
      </c>
      <c r="L20" s="4221">
        <f>Table1!G42</f>
        <v>17.3578569315235</v>
      </c>
      <c r="M20" s="4221">
        <f>Table1!H42</f>
        <v>216.33473442924029</v>
      </c>
      <c r="N20" s="4222" t="str">
        <f>Table1!I42</f>
        <v>NO</v>
      </c>
      <c r="O20" s="3785">
        <f t="shared" si="2"/>
        <v>13956.998913933743</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21255.560630579854</v>
      </c>
      <c r="D22" s="4230">
        <f>'Table2(I)'!D10</f>
        <v>3.2138601525442039</v>
      </c>
      <c r="E22" s="4231">
        <f>'Table2(I)'!E10</f>
        <v>7.5041150510448231</v>
      </c>
      <c r="F22" s="3810">
        <f>'Table2(I)'!F10</f>
        <v>1939.884053930544</v>
      </c>
      <c r="G22" s="3810">
        <f>'Table2(I)'!G10</f>
        <v>1553.8183084811451</v>
      </c>
      <c r="H22" s="3810" t="str">
        <f>'Table2(I)'!H10</f>
        <v>NO</v>
      </c>
      <c r="I22" s="3810">
        <f>'Table2(I)'!I10</f>
        <v>9.8726009996146745E-3</v>
      </c>
      <c r="J22" s="3810" t="str">
        <f>'Table2(I)'!J10</f>
        <v>NO</v>
      </c>
      <c r="K22" s="3810">
        <f>'Table2(I)'!K10</f>
        <v>44.311222692476747</v>
      </c>
      <c r="L22" s="3810">
        <f>'Table2(I)'!L10</f>
        <v>10.354885245209081</v>
      </c>
      <c r="M22" s="3810">
        <f>'Table2(I)'!M10</f>
        <v>228.38622600929426</v>
      </c>
      <c r="N22" s="4217">
        <f>'Table2(I)'!N10</f>
        <v>2044.9030477392535</v>
      </c>
      <c r="O22" s="3781">
        <f t="shared" si="2"/>
        <v>27059.847689280607</v>
      </c>
    </row>
    <row r="23" spans="2:15" ht="18" customHeight="1" x14ac:dyDescent="0.25">
      <c r="B23" s="1133" t="s">
        <v>1487</v>
      </c>
      <c r="C23" s="4232">
        <f>'Table2(I)'!C11</f>
        <v>6291.2170628710082</v>
      </c>
      <c r="D23" s="3789"/>
      <c r="E23" s="98"/>
      <c r="F23" s="98"/>
      <c r="G23" s="98"/>
      <c r="H23" s="98"/>
      <c r="I23" s="98"/>
      <c r="J23" s="69"/>
      <c r="K23" s="4233" t="str">
        <f>'Table2(I)'!K11</f>
        <v>NO</v>
      </c>
      <c r="L23" s="4233" t="str">
        <f>'Table2(I)'!L11</f>
        <v>NO</v>
      </c>
      <c r="M23" s="4233" t="str">
        <f>'Table2(I)'!M11</f>
        <v>NO</v>
      </c>
      <c r="N23" s="4234" t="str">
        <f>'Table2(I)'!N11</f>
        <v>NO</v>
      </c>
      <c r="O23" s="3782">
        <f t="shared" si="2"/>
        <v>6291.2170628710082</v>
      </c>
    </row>
    <row r="24" spans="2:15" ht="18" customHeight="1" x14ac:dyDescent="0.25">
      <c r="B24" s="1133" t="s">
        <v>621</v>
      </c>
      <c r="C24" s="4232">
        <f>'Table2(I)'!C16</f>
        <v>2036.709370586605</v>
      </c>
      <c r="D24" s="4235">
        <f>'Table2(I)'!D16</f>
        <v>0.50438379999999994</v>
      </c>
      <c r="E24" s="4236">
        <f>'Table2(I)'!E16</f>
        <v>7.4275444967741944</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4.7531688000000001</v>
      </c>
      <c r="N24" s="4220" t="str">
        <f>'Table2(I)'!N16</f>
        <v>NO</v>
      </c>
      <c r="O24" s="3783">
        <f t="shared" si="2"/>
        <v>4019.1314086317661</v>
      </c>
    </row>
    <row r="25" spans="2:15" ht="18" customHeight="1" x14ac:dyDescent="0.25">
      <c r="B25" s="1133" t="s">
        <v>459</v>
      </c>
      <c r="C25" s="4232">
        <f>'Table2(I)'!C27</f>
        <v>12479.913157591614</v>
      </c>
      <c r="D25" s="4235">
        <f>'Table2(I)'!D27</f>
        <v>2.709476352544204</v>
      </c>
      <c r="E25" s="4236">
        <f>'Table2(I)'!E27</f>
        <v>7.6570554270628893E-2</v>
      </c>
      <c r="F25" s="4219" t="str">
        <f>'Table2(I)'!F27</f>
        <v>NO</v>
      </c>
      <c r="G25" s="4219">
        <f>'Table2(I)'!G27</f>
        <v>1553.8183084811451</v>
      </c>
      <c r="H25" s="4219" t="str">
        <f>'Table2(I)'!H27</f>
        <v>NO</v>
      </c>
      <c r="I25" s="4219" t="str">
        <f>'Table2(I)'!I27</f>
        <v>NO</v>
      </c>
      <c r="J25" s="4219" t="str">
        <f>'Table2(I)'!J27</f>
        <v>NO</v>
      </c>
      <c r="K25" s="4219">
        <f>'Table2(I)'!K27</f>
        <v>44.311222692476747</v>
      </c>
      <c r="L25" s="4219">
        <f>'Table2(I)'!L27</f>
        <v>10.354885245209081</v>
      </c>
      <c r="M25" s="4219">
        <f>'Table2(I)'!M27</f>
        <v>0.11382370972621066</v>
      </c>
      <c r="N25" s="4220">
        <f>'Table2(I)'!N27</f>
        <v>2044.9030477392535</v>
      </c>
      <c r="O25" s="3783">
        <f t="shared" si="2"/>
        <v>14129.888000825713</v>
      </c>
    </row>
    <row r="26" spans="2:15" ht="18" customHeight="1" x14ac:dyDescent="0.25">
      <c r="B26" s="1133" t="s">
        <v>1488</v>
      </c>
      <c r="C26" s="4232">
        <f>'Table2(I)'!C35</f>
        <v>297.93334749999997</v>
      </c>
      <c r="D26" s="3790" t="str">
        <f>'Table2(I)'!D35</f>
        <v>NO</v>
      </c>
      <c r="E26" s="616" t="str">
        <f>'Table2(I)'!E35</f>
        <v>NO</v>
      </c>
      <c r="F26" s="69"/>
      <c r="G26" s="69"/>
      <c r="H26" s="69"/>
      <c r="I26" s="69"/>
      <c r="J26" s="69"/>
      <c r="K26" s="616" t="str">
        <f>'Table2(I)'!K35</f>
        <v>NO</v>
      </c>
      <c r="L26" s="4236" t="str">
        <f>'Table2(I)'!L35</f>
        <v>NO</v>
      </c>
      <c r="M26" s="4236">
        <f>'Table2(I)'!M35</f>
        <v>169.71192449956806</v>
      </c>
      <c r="N26" s="4237" t="str">
        <f>'Table2(I)'!N35</f>
        <v>NO</v>
      </c>
      <c r="O26" s="3783">
        <f t="shared" si="2"/>
        <v>297.93334749999997</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1939.884053930544</v>
      </c>
      <c r="G28" s="4221" t="str">
        <f>'Table2(I)'!G45</f>
        <v>NO</v>
      </c>
      <c r="H28" s="4221" t="str">
        <f>'Table2(I)'!H45</f>
        <v>NO</v>
      </c>
      <c r="I28" s="4221" t="str">
        <f>'Table2(I)'!I45</f>
        <v>NO</v>
      </c>
      <c r="J28" s="4221" t="str">
        <f>'Table2(I)'!J45</f>
        <v>NO</v>
      </c>
      <c r="K28" s="3784"/>
      <c r="L28" s="3784"/>
      <c r="M28" s="3784"/>
      <c r="N28" s="3793"/>
      <c r="O28" s="3785">
        <f t="shared" si="2"/>
        <v>1939.884053930544</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9.8726009996146745E-3</v>
      </c>
      <c r="J29" s="616" t="str">
        <f>'Table2(I)'!J52</f>
        <v>NO</v>
      </c>
      <c r="K29" s="3796" t="str">
        <f>'Table2(I)'!K52</f>
        <v>NO</v>
      </c>
      <c r="L29" s="3796" t="str">
        <f>'Table2(I)'!L52</f>
        <v>NO</v>
      </c>
      <c r="M29" s="3796" t="str">
        <f>'Table2(I)'!M52</f>
        <v>NO</v>
      </c>
      <c r="N29" s="3797" t="str">
        <f>'Table2(I)'!N52</f>
        <v>NO</v>
      </c>
      <c r="O29" s="3785">
        <f t="shared" si="2"/>
        <v>232.00612349094484</v>
      </c>
    </row>
    <row r="30" spans="2:15" ht="18" customHeight="1" thickBot="1" x14ac:dyDescent="0.3">
      <c r="B30" s="1375" t="s">
        <v>2040</v>
      </c>
      <c r="C30" s="4239">
        <f>'Table2(I)'!C57</f>
        <v>149.78769203062836</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53.807309000000004</v>
      </c>
      <c r="N30" s="4242" t="str">
        <f>'Table2(I)'!N57</f>
        <v>NA</v>
      </c>
      <c r="O30" s="3798">
        <f t="shared" si="2"/>
        <v>149.78769203062836</v>
      </c>
    </row>
    <row r="31" spans="2:15" ht="18" customHeight="1" x14ac:dyDescent="0.25">
      <c r="B31" s="1134" t="s">
        <v>1491</v>
      </c>
      <c r="C31" s="3817">
        <f>Table3!C10</f>
        <v>1930.4128002981445</v>
      </c>
      <c r="D31" s="3799">
        <f>Table3!D10</f>
        <v>2613.1836634629763</v>
      </c>
      <c r="E31" s="3800">
        <f>Table3!E10</f>
        <v>46.553284740067411</v>
      </c>
      <c r="F31" s="3801"/>
      <c r="G31" s="3801"/>
      <c r="H31" s="3801"/>
      <c r="I31" s="3801"/>
      <c r="J31" s="3801"/>
      <c r="K31" s="4243">
        <f>Table3!F10</f>
        <v>34.146524240253598</v>
      </c>
      <c r="L31" s="4243">
        <f>Table3!G10</f>
        <v>554.6041122088559</v>
      </c>
      <c r="M31" s="4243">
        <f>Table3!H10</f>
        <v>32.351906545516592</v>
      </c>
      <c r="N31" s="4244" t="str">
        <f>Table3!I10</f>
        <v>NO</v>
      </c>
      <c r="O31" s="3782">
        <f t="shared" si="2"/>
        <v>87436.17583337934</v>
      </c>
    </row>
    <row r="32" spans="2:15" ht="18" customHeight="1" x14ac:dyDescent="0.25">
      <c r="B32" s="4245" t="s">
        <v>1492</v>
      </c>
      <c r="C32" s="3791"/>
      <c r="D32" s="4246">
        <f>Table3!D11</f>
        <v>2326.0779820086127</v>
      </c>
      <c r="E32" s="98"/>
      <c r="F32" s="3802"/>
      <c r="G32" s="3802"/>
      <c r="H32" s="3789"/>
      <c r="I32" s="3802"/>
      <c r="J32" s="3789"/>
      <c r="K32" s="98"/>
      <c r="L32" s="98"/>
      <c r="M32" s="98"/>
      <c r="N32" s="3803"/>
      <c r="O32" s="3782">
        <f t="shared" si="2"/>
        <v>65130.183496241152</v>
      </c>
    </row>
    <row r="33" spans="2:15" ht="18" customHeight="1" x14ac:dyDescent="0.25">
      <c r="B33" s="4245" t="s">
        <v>1493</v>
      </c>
      <c r="C33" s="3791"/>
      <c r="D33" s="4226">
        <f>Table3!D20</f>
        <v>249.91384359259771</v>
      </c>
      <c r="E33" s="4226">
        <f>Table3!E20</f>
        <v>1.5273295226789434</v>
      </c>
      <c r="F33" s="3802"/>
      <c r="G33" s="3802"/>
      <c r="H33" s="3802"/>
      <c r="I33" s="3802"/>
      <c r="J33" s="3802"/>
      <c r="K33" s="69"/>
      <c r="L33" s="69"/>
      <c r="M33" s="4247" t="str">
        <f>Table3!H20</f>
        <v>NE</v>
      </c>
      <c r="N33" s="3804"/>
      <c r="O33" s="3783">
        <f t="shared" si="2"/>
        <v>7402.3299441026566</v>
      </c>
    </row>
    <row r="34" spans="2:15" ht="18" customHeight="1" x14ac:dyDescent="0.25">
      <c r="B34" s="4245" t="s">
        <v>1494</v>
      </c>
      <c r="C34" s="3791"/>
      <c r="D34" s="4226">
        <f>Table3!D31</f>
        <v>22.971219600000001</v>
      </c>
      <c r="E34" s="69"/>
      <c r="F34" s="3802"/>
      <c r="G34" s="3802"/>
      <c r="H34" s="3802"/>
      <c r="I34" s="3802"/>
      <c r="J34" s="3802"/>
      <c r="K34" s="69"/>
      <c r="L34" s="69"/>
      <c r="M34" s="4247" t="str">
        <f>Table3!H31</f>
        <v>NE</v>
      </c>
      <c r="N34" s="3804"/>
      <c r="O34" s="3783">
        <f t="shared" si="2"/>
        <v>643.19414879999999</v>
      </c>
    </row>
    <row r="35" spans="2:15" ht="18" customHeight="1" x14ac:dyDescent="0.25">
      <c r="B35" s="4245" t="s">
        <v>1495</v>
      </c>
      <c r="C35" s="4248"/>
      <c r="D35" s="4226" t="str">
        <f>Table3!D32</f>
        <v>NE</v>
      </c>
      <c r="E35" s="4226">
        <f>Table3!E32</f>
        <v>44.434930491408096</v>
      </c>
      <c r="F35" s="3802"/>
      <c r="G35" s="3802"/>
      <c r="H35" s="3802"/>
      <c r="I35" s="3802"/>
      <c r="J35" s="3802"/>
      <c r="K35" s="4247" t="str">
        <f>Table3!F32</f>
        <v>NO</v>
      </c>
      <c r="L35" s="4247" t="str">
        <f>Table3!G32</f>
        <v>NO</v>
      </c>
      <c r="M35" s="4247" t="str">
        <f>Table3!H32</f>
        <v>NO</v>
      </c>
      <c r="N35" s="3804"/>
      <c r="O35" s="3783">
        <f t="shared" si="2"/>
        <v>11775.256580223146</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14.220618261765532</v>
      </c>
      <c r="E37" s="4226">
        <f>Table3!E43</f>
        <v>0.59102472598037292</v>
      </c>
      <c r="F37" s="3802"/>
      <c r="G37" s="3802"/>
      <c r="H37" s="3802"/>
      <c r="I37" s="3802"/>
      <c r="J37" s="3802"/>
      <c r="K37" s="4247">
        <f>Table3!F43</f>
        <v>34.146524240253598</v>
      </c>
      <c r="L37" s="4247">
        <f>Table3!G43</f>
        <v>554.6041122088559</v>
      </c>
      <c r="M37" s="4247">
        <f>Table3!H43</f>
        <v>32.351906545516592</v>
      </c>
      <c r="N37" s="4247" t="str">
        <f>Table3!I43</f>
        <v>NO</v>
      </c>
      <c r="O37" s="3783">
        <f t="shared" si="2"/>
        <v>554.79886371423368</v>
      </c>
    </row>
    <row r="38" spans="2:15" ht="18" customHeight="1" x14ac:dyDescent="0.25">
      <c r="B38" s="4249" t="s">
        <v>721</v>
      </c>
      <c r="C38" s="3794">
        <f>Table3!C44</f>
        <v>1021.2878336833335</v>
      </c>
      <c r="D38" s="4250"/>
      <c r="E38" s="4250"/>
      <c r="F38" s="3792"/>
      <c r="G38" s="3792"/>
      <c r="H38" s="3792"/>
      <c r="I38" s="3792"/>
      <c r="J38" s="3792"/>
      <c r="K38" s="3805"/>
      <c r="L38" s="3805"/>
      <c r="M38" s="3805"/>
      <c r="N38" s="3793"/>
      <c r="O38" s="3785">
        <f t="shared" si="2"/>
        <v>1021.2878336833335</v>
      </c>
    </row>
    <row r="39" spans="2:15" ht="18" customHeight="1" x14ac:dyDescent="0.25">
      <c r="B39" s="4249" t="s">
        <v>722</v>
      </c>
      <c r="C39" s="3806">
        <f>Table3!C45</f>
        <v>909.124966614811</v>
      </c>
      <c r="D39" s="4250"/>
      <c r="E39" s="4250"/>
      <c r="F39" s="3792"/>
      <c r="G39" s="3792"/>
      <c r="H39" s="3792"/>
      <c r="I39" s="3792"/>
      <c r="J39" s="3792"/>
      <c r="K39" s="3805"/>
      <c r="L39" s="3805"/>
      <c r="M39" s="3805"/>
      <c r="N39" s="3793"/>
      <c r="O39" s="3785">
        <f t="shared" si="2"/>
        <v>909.124966614811</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44897.60215589514</v>
      </c>
      <c r="D42" s="3809">
        <f>Table4!D10</f>
        <v>714.72712296061309</v>
      </c>
      <c r="E42" s="3810">
        <f>Table4!E10</f>
        <v>16.768273043612375</v>
      </c>
      <c r="F42" s="3801"/>
      <c r="G42" s="3801"/>
      <c r="H42" s="3801"/>
      <c r="I42" s="3801"/>
      <c r="J42" s="3801"/>
      <c r="K42" s="4253">
        <f>Table4!F10</f>
        <v>995.05823893509785</v>
      </c>
      <c r="L42" s="4253">
        <f>Table4!G10</f>
        <v>26448.550013182299</v>
      </c>
      <c r="M42" s="4253">
        <f>Table4!H10</f>
        <v>802.50097589599955</v>
      </c>
      <c r="N42" s="4254" t="str">
        <f>N50</f>
        <v>NO</v>
      </c>
      <c r="O42" s="3781">
        <f t="shared" si="2"/>
        <v>69353.553955349576</v>
      </c>
    </row>
    <row r="43" spans="2:15" ht="18" customHeight="1" x14ac:dyDescent="0.25">
      <c r="B43" s="4245" t="s">
        <v>2042</v>
      </c>
      <c r="C43" s="4255">
        <f>Table4!C11</f>
        <v>-32448.668831322979</v>
      </c>
      <c r="D43" s="4256">
        <f>Table4!D11</f>
        <v>238.05376762398771</v>
      </c>
      <c r="E43" s="4257">
        <f>Table4!E11</f>
        <v>4.7650262664799552</v>
      </c>
      <c r="F43" s="3792"/>
      <c r="G43" s="3792"/>
      <c r="H43" s="3792"/>
      <c r="I43" s="3792"/>
      <c r="J43" s="3792"/>
      <c r="K43" s="4247">
        <f>Table4!F11</f>
        <v>264.48486765167388</v>
      </c>
      <c r="L43" s="4247">
        <f>Table4!G11</f>
        <v>7024.4787891725837</v>
      </c>
      <c r="M43" s="4247">
        <f>Table4!H11</f>
        <v>216.11550218752129</v>
      </c>
      <c r="N43" s="3811"/>
      <c r="O43" s="3812">
        <f t="shared" si="2"/>
        <v>-24520.431377234134</v>
      </c>
    </row>
    <row r="44" spans="2:15" ht="18" customHeight="1" x14ac:dyDescent="0.25">
      <c r="B44" s="4245" t="s">
        <v>2043</v>
      </c>
      <c r="C44" s="4255">
        <f>Table4!C14</f>
        <v>6036.0685759903345</v>
      </c>
      <c r="D44" s="4258">
        <f>Table4!D14</f>
        <v>4.8257640000000004</v>
      </c>
      <c r="E44" s="4258">
        <f>Table4!E14</f>
        <v>0.19250837028800044</v>
      </c>
      <c r="F44" s="3802"/>
      <c r="G44" s="3802"/>
      <c r="H44" s="3802"/>
      <c r="I44" s="3802"/>
      <c r="J44" s="3802"/>
      <c r="K44" s="4247">
        <f>Table4!F14</f>
        <v>3.6336853928571422</v>
      </c>
      <c r="L44" s="4247">
        <f>Table4!G14</f>
        <v>142.31535500000001</v>
      </c>
      <c r="M44" s="4247">
        <f>Table4!H14</f>
        <v>17.202954999999999</v>
      </c>
      <c r="N44" s="4259"/>
      <c r="O44" s="3783">
        <f t="shared" si="2"/>
        <v>6222.2046861166546</v>
      </c>
    </row>
    <row r="45" spans="2:15" ht="18" customHeight="1" x14ac:dyDescent="0.25">
      <c r="B45" s="4245" t="s">
        <v>2044</v>
      </c>
      <c r="C45" s="4255">
        <f>Table4!C17</f>
        <v>72736.645187142451</v>
      </c>
      <c r="D45" s="4258">
        <f>Table4!D17</f>
        <v>375.68223636915826</v>
      </c>
      <c r="E45" s="4258">
        <f>Table4!E17</f>
        <v>11.29404283536058</v>
      </c>
      <c r="F45" s="3802"/>
      <c r="G45" s="3802"/>
      <c r="H45" s="3802"/>
      <c r="I45" s="3802"/>
      <c r="J45" s="3802"/>
      <c r="K45" s="4247">
        <f>Table4!F17</f>
        <v>698.78400945090789</v>
      </c>
      <c r="L45" s="4247">
        <f>Table4!G17</f>
        <v>18570.728018504058</v>
      </c>
      <c r="M45" s="4247">
        <f>Table4!H17</f>
        <v>557.59879146203707</v>
      </c>
      <c r="N45" s="4259"/>
      <c r="O45" s="3783">
        <f t="shared" si="2"/>
        <v>86248.669156849428</v>
      </c>
    </row>
    <row r="46" spans="2:15" ht="18" customHeight="1" x14ac:dyDescent="0.25">
      <c r="B46" s="4245" t="s">
        <v>2045</v>
      </c>
      <c r="C46" s="4255">
        <f>Table4!C20</f>
        <v>870.65990739696156</v>
      </c>
      <c r="D46" s="4258">
        <f>Table4!D20</f>
        <v>93.027220567467154</v>
      </c>
      <c r="E46" s="4258">
        <f>Table4!E20</f>
        <v>0.35398587456775088</v>
      </c>
      <c r="F46" s="3802"/>
      <c r="G46" s="3802"/>
      <c r="H46" s="3802"/>
      <c r="I46" s="3802"/>
      <c r="J46" s="3802"/>
      <c r="K46" s="4247">
        <f>Table4!F20</f>
        <v>25.792735953944618</v>
      </c>
      <c r="L46" s="4247">
        <f>Table4!G20</f>
        <v>618.48194250565507</v>
      </c>
      <c r="M46" s="4247">
        <f>Table4!H20</f>
        <v>0.39685924644112863</v>
      </c>
      <c r="N46" s="4259"/>
      <c r="O46" s="3783">
        <f t="shared" si="2"/>
        <v>3569.2283400464958</v>
      </c>
    </row>
    <row r="47" spans="2:15" ht="18" customHeight="1" x14ac:dyDescent="0.25">
      <c r="B47" s="4245" t="s">
        <v>2046</v>
      </c>
      <c r="C47" s="4255">
        <f>Table4!C23</f>
        <v>4540.8835016655894</v>
      </c>
      <c r="D47" s="4258">
        <f>Table4!D23</f>
        <v>3.1381344000000002</v>
      </c>
      <c r="E47" s="4260">
        <f>Table4!E23</f>
        <v>8.2051072951802972E-2</v>
      </c>
      <c r="F47" s="3802"/>
      <c r="G47" s="3802"/>
      <c r="H47" s="3802"/>
      <c r="I47" s="3802"/>
      <c r="J47" s="3802"/>
      <c r="K47" s="4247">
        <f>Table4!F23</f>
        <v>2.3629404857142857</v>
      </c>
      <c r="L47" s="4247">
        <f>Table4!G23</f>
        <v>92.545908000000011</v>
      </c>
      <c r="M47" s="4247">
        <f>Table4!H23</f>
        <v>11.186868000000002</v>
      </c>
      <c r="N47" s="1838"/>
      <c r="O47" s="3783">
        <f t="shared" si="2"/>
        <v>4650.494799197817</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-6842.5868497042429</v>
      </c>
      <c r="D49" s="3792"/>
      <c r="E49" s="3792"/>
      <c r="F49" s="3792"/>
      <c r="G49" s="3792"/>
      <c r="H49" s="3792"/>
      <c r="I49" s="3792"/>
      <c r="J49" s="3792"/>
      <c r="K49" s="3792"/>
      <c r="L49" s="3792"/>
      <c r="M49" s="3792"/>
      <c r="N49" s="3814"/>
      <c r="O49" s="3785">
        <f t="shared" si="2"/>
        <v>-6842.5868497042429</v>
      </c>
    </row>
    <row r="50" spans="2:15" ht="18" customHeight="1" thickBot="1" x14ac:dyDescent="0.3">
      <c r="B50" s="4251" t="s">
        <v>2049</v>
      </c>
      <c r="C50" s="4264">
        <f>Table4!C30</f>
        <v>4.6006647270185557</v>
      </c>
      <c r="D50" s="4265" t="str">
        <f>Table4!D30</f>
        <v>NO</v>
      </c>
      <c r="E50" s="4265">
        <f>Table4!E30</f>
        <v>8.0658623964285719E-2</v>
      </c>
      <c r="F50" s="3807"/>
      <c r="G50" s="3807"/>
      <c r="H50" s="3807"/>
      <c r="I50" s="3807"/>
      <c r="J50" s="3807"/>
      <c r="K50" s="4266" t="str">
        <f>Table4!F30</f>
        <v>NO</v>
      </c>
      <c r="L50" s="4266" t="str">
        <f>Table4!G30</f>
        <v>NO</v>
      </c>
      <c r="M50" s="4266" t="str">
        <f>Table4!H30</f>
        <v>NO</v>
      </c>
      <c r="N50" s="4266" t="s">
        <v>2146</v>
      </c>
      <c r="O50" s="3798">
        <f t="shared" si="2"/>
        <v>25.97520007755427</v>
      </c>
    </row>
    <row r="51" spans="2:15" ht="18" customHeight="1" x14ac:dyDescent="0.25">
      <c r="B51" s="1377" t="s">
        <v>1500</v>
      </c>
      <c r="C51" s="3815">
        <f>Table5!C10</f>
        <v>28.521775413558473</v>
      </c>
      <c r="D51" s="3799">
        <f>Table5!D10</f>
        <v>667.69371537292272</v>
      </c>
      <c r="E51" s="3800">
        <f>Table5!E10</f>
        <v>0.84230124598577261</v>
      </c>
      <c r="F51" s="3801"/>
      <c r="G51" s="3801"/>
      <c r="H51" s="3801"/>
      <c r="I51" s="3801"/>
      <c r="J51" s="3801"/>
      <c r="K51" s="4243" t="str">
        <f>Table5!F10</f>
        <v>NO</v>
      </c>
      <c r="L51" s="4243" t="str">
        <f>Table5!G10</f>
        <v>NO</v>
      </c>
      <c r="M51" s="4243">
        <f>Table5!H10</f>
        <v>400.88441051615121</v>
      </c>
      <c r="N51" s="4244" t="str">
        <f>Table5!I10</f>
        <v>NO</v>
      </c>
      <c r="O51" s="4267">
        <f t="shared" si="2"/>
        <v>18947.155636041622</v>
      </c>
    </row>
    <row r="52" spans="2:15" ht="18" customHeight="1" x14ac:dyDescent="0.25">
      <c r="B52" s="4245" t="s">
        <v>2050</v>
      </c>
      <c r="C52" s="4248"/>
      <c r="D52" s="4246">
        <f>Table5!D11</f>
        <v>499.86312427999997</v>
      </c>
      <c r="E52" s="3816"/>
      <c r="F52" s="3801"/>
      <c r="G52" s="3801"/>
      <c r="H52" s="3801"/>
      <c r="I52" s="3801"/>
      <c r="J52" s="3801"/>
      <c r="K52" s="4247" t="str">
        <f>Table5!F11</f>
        <v>NO</v>
      </c>
      <c r="L52" s="4247" t="str">
        <f>Table5!G11</f>
        <v>NO</v>
      </c>
      <c r="M52" s="4247">
        <f>Table5!H11</f>
        <v>2.7922540431426994</v>
      </c>
      <c r="N52" s="3803"/>
      <c r="O52" s="4267">
        <f t="shared" si="2"/>
        <v>13996.167479839998</v>
      </c>
    </row>
    <row r="53" spans="2:15" ht="18" customHeight="1" x14ac:dyDescent="0.25">
      <c r="B53" s="4245" t="s">
        <v>1501</v>
      </c>
      <c r="C53" s="4248"/>
      <c r="D53" s="4246">
        <f>Table5!D15</f>
        <v>1.9442800525980002</v>
      </c>
      <c r="E53" s="4246">
        <f>Table5!E15</f>
        <v>0.24886784673254408</v>
      </c>
      <c r="F53" s="3802"/>
      <c r="G53" s="3802"/>
      <c r="H53" s="3802"/>
      <c r="I53" s="3802"/>
      <c r="J53" s="3802"/>
      <c r="K53" s="4247" t="str">
        <f>Table5!F15</f>
        <v>NA,NE</v>
      </c>
      <c r="L53" s="4247" t="str">
        <f>Table5!G15</f>
        <v>NA,NE</v>
      </c>
      <c r="M53" s="4247" t="str">
        <f>Table5!H15</f>
        <v>NA,NE</v>
      </c>
      <c r="N53" s="3803"/>
      <c r="O53" s="3782">
        <f t="shared" si="2"/>
        <v>120.38982085686818</v>
      </c>
    </row>
    <row r="54" spans="2:15" ht="18" customHeight="1" x14ac:dyDescent="0.25">
      <c r="B54" s="4245" t="s">
        <v>2051</v>
      </c>
      <c r="C54" s="4268">
        <f>Table5!C18</f>
        <v>28.521775413558473</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28.521775413558473</v>
      </c>
    </row>
    <row r="55" spans="2:15" ht="18" customHeight="1" x14ac:dyDescent="0.25">
      <c r="B55" s="4245" t="s">
        <v>1502</v>
      </c>
      <c r="C55" s="3791"/>
      <c r="D55" s="4226">
        <f>Table5!D21</f>
        <v>165.88631104032476</v>
      </c>
      <c r="E55" s="4226">
        <f>Table5!E21</f>
        <v>0.59343339925322847</v>
      </c>
      <c r="F55" s="3802"/>
      <c r="G55" s="3802"/>
      <c r="H55" s="3802"/>
      <c r="I55" s="3802"/>
      <c r="J55" s="3802"/>
      <c r="K55" s="4247" t="str">
        <f>Table5!F21</f>
        <v>NO</v>
      </c>
      <c r="L55" s="4247" t="str">
        <f>Table5!G21</f>
        <v>NO</v>
      </c>
      <c r="M55" s="4247">
        <f>Table5!H21</f>
        <v>398.09215647300852</v>
      </c>
      <c r="N55" s="3803"/>
      <c r="O55" s="4270">
        <f t="shared" si="2"/>
        <v>4802.076559931199</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9620.1779999999962</v>
      </c>
      <c r="D61" s="3820">
        <f>Table1!D52</f>
        <v>0.28705713166666669</v>
      </c>
      <c r="E61" s="3820">
        <f>Table1!E52</f>
        <v>0.11388578527807017</v>
      </c>
      <c r="F61" s="628"/>
      <c r="G61" s="628"/>
      <c r="H61" s="628"/>
      <c r="I61" s="628"/>
      <c r="J61" s="628"/>
      <c r="K61" s="3820">
        <f>Table1!F52</f>
        <v>110.08668993938596</v>
      </c>
      <c r="L61" s="3820">
        <f>Table1!G52</f>
        <v>13.180654052368421</v>
      </c>
      <c r="M61" s="3820">
        <f>Table1!H52</f>
        <v>7.5241251117456143</v>
      </c>
      <c r="N61" s="3821">
        <f>Table1!I52</f>
        <v>43.168376736842106</v>
      </c>
      <c r="O61" s="4267">
        <f t="shared" ref="O61:O67" si="4">IF(SUM(C61:J61)=0,"NO",SUM(C61,F61:H61)+28*SUM(D61)+265*SUM(E61)+23500*SUM(I61)+16100*SUM(J61))</f>
        <v>9658.3953327853505</v>
      </c>
    </row>
    <row r="62" spans="2:15" ht="18" customHeight="1" x14ac:dyDescent="0.25">
      <c r="B62" s="1371" t="s">
        <v>111</v>
      </c>
      <c r="C62" s="4279">
        <f>Table1!C53</f>
        <v>6751.895999999997</v>
      </c>
      <c r="D62" s="4233">
        <f>Table1!D53</f>
        <v>1.1957131666666666E-2</v>
      </c>
      <c r="E62" s="4233">
        <f>Table1!E53</f>
        <v>3.5285785278070171E-2</v>
      </c>
      <c r="F62" s="628"/>
      <c r="G62" s="628"/>
      <c r="H62" s="628"/>
      <c r="I62" s="628"/>
      <c r="J62" s="2135"/>
      <c r="K62" s="4233">
        <f>Table1!F53</f>
        <v>34.233489939385962</v>
      </c>
      <c r="L62" s="4233">
        <f>Table1!G53</f>
        <v>10.673194052368421</v>
      </c>
      <c r="M62" s="4233">
        <f>Table1!H53</f>
        <v>5.1594051117456141</v>
      </c>
      <c r="N62" s="4234">
        <f>Table1!I53</f>
        <v>0.79548199999999991</v>
      </c>
      <c r="O62" s="3782">
        <f t="shared" si="4"/>
        <v>6761.5815327853525</v>
      </c>
    </row>
    <row r="63" spans="2:15" ht="18" customHeight="1" x14ac:dyDescent="0.25">
      <c r="B63" s="1380" t="s">
        <v>1503</v>
      </c>
      <c r="C63" s="4279">
        <f>Table1!C54</f>
        <v>2868.2820000000002</v>
      </c>
      <c r="D63" s="4219">
        <f>Table1!D54</f>
        <v>0.27510000000000001</v>
      </c>
      <c r="E63" s="4219">
        <f>Table1!E54</f>
        <v>7.8600000000000003E-2</v>
      </c>
      <c r="F63" s="628"/>
      <c r="G63" s="628"/>
      <c r="H63" s="628"/>
      <c r="I63" s="628"/>
      <c r="J63" s="628"/>
      <c r="K63" s="4219">
        <f>Table1!F54</f>
        <v>75.853200000000001</v>
      </c>
      <c r="L63" s="4219">
        <f>Table1!G54</f>
        <v>2.50746</v>
      </c>
      <c r="M63" s="4219">
        <f>Table1!H54</f>
        <v>2.3647200000000002</v>
      </c>
      <c r="N63" s="4220">
        <f>Table1!I54</f>
        <v>42.372894736842106</v>
      </c>
      <c r="O63" s="3783">
        <f t="shared" si="4"/>
        <v>2896.8138000000004</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16548.893514000003</v>
      </c>
      <c r="D65" s="3823"/>
      <c r="E65" s="3823"/>
      <c r="F65" s="3824"/>
      <c r="G65" s="3824"/>
      <c r="H65" s="3824"/>
      <c r="I65" s="3824"/>
      <c r="J65" s="3823"/>
      <c r="K65" s="3823"/>
      <c r="L65" s="3823"/>
      <c r="M65" s="3823"/>
      <c r="N65" s="3825"/>
      <c r="O65" s="3812">
        <f t="shared" si="4"/>
        <v>16548.893514000003</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-239603.90497733816</v>
      </c>
      <c r="D67" s="3824"/>
      <c r="E67" s="3824"/>
      <c r="F67" s="3828"/>
      <c r="G67" s="3824"/>
      <c r="H67" s="3824"/>
      <c r="I67" s="3824"/>
      <c r="J67" s="3824"/>
      <c r="K67" s="3824"/>
      <c r="L67" s="3824"/>
      <c r="M67" s="3824"/>
      <c r="N67" s="3829"/>
      <c r="O67" s="3785">
        <f t="shared" si="4"/>
        <v>-239603.90497733816</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407434.13570502802</v>
      </c>
      <c r="D10" s="4213">
        <f>IFERROR(Summary1!D10*28,Summary1!D10)</f>
        <v>149355.70861160415</v>
      </c>
      <c r="E10" s="4213">
        <f>IFERROR(Summary1!E10*265,Summary1!E10)</f>
        <v>22009.008498506199</v>
      </c>
      <c r="F10" s="4213">
        <f>Summary1!F10</f>
        <v>1939.884053930544</v>
      </c>
      <c r="G10" s="4213">
        <f>Summary1!G10</f>
        <v>1553.8183084811451</v>
      </c>
      <c r="H10" s="4213" t="str">
        <f>Summary1!H10</f>
        <v>NO</v>
      </c>
      <c r="I10" s="4288">
        <f>IFERROR(Summary1!I10*23500,Summary1!I10)</f>
        <v>232.00612349094484</v>
      </c>
      <c r="J10" s="4289" t="str">
        <f>IFERROR(Summary1!J10*16100,Summary1!J10)</f>
        <v>NO</v>
      </c>
      <c r="K10" s="4214">
        <f>IF(SUM(C10:J10)=0,"NO",SUM(C10:J10))</f>
        <v>582524.56130104093</v>
      </c>
    </row>
    <row r="11" spans="2:12" ht="18" customHeight="1" x14ac:dyDescent="0.2">
      <c r="B11" s="1550" t="s">
        <v>1476</v>
      </c>
      <c r="C11" s="4253">
        <f>Summary1!C11</f>
        <v>339322.03834284138</v>
      </c>
      <c r="D11" s="4253">
        <f>IFERROR(Summary1!D11*28,Summary1!D11)</f>
        <v>37388.794477030577</v>
      </c>
      <c r="E11" s="4253">
        <f>IFERROR(Summary1!E11*265,Summary1!E11)</f>
        <v>3016.9953671179514</v>
      </c>
      <c r="F11" s="1929"/>
      <c r="G11" s="1929"/>
      <c r="H11" s="1930"/>
      <c r="I11" s="1930"/>
      <c r="J11" s="627"/>
      <c r="K11" s="4290">
        <f t="shared" ref="K11:K55" si="0">IF(SUM(C11:J11)=0,"NO",SUM(C11:J11))</f>
        <v>379727.82818698988</v>
      </c>
      <c r="L11" s="19"/>
    </row>
    <row r="12" spans="2:12" ht="18" customHeight="1" x14ac:dyDescent="0.2">
      <c r="B12" s="620" t="s">
        <v>131</v>
      </c>
      <c r="C12" s="4247">
        <f>Summary1!C12</f>
        <v>331314.54276073747</v>
      </c>
      <c r="D12" s="4247">
        <f>IFERROR(Summary1!D12*28,Summary1!D12)</f>
        <v>2706.0061291109278</v>
      </c>
      <c r="E12" s="4247">
        <f>IFERROR(Summary1!E12*265,Summary1!E12)</f>
        <v>2990.7749889313795</v>
      </c>
      <c r="F12" s="628"/>
      <c r="G12" s="628"/>
      <c r="H12" s="628"/>
      <c r="I12" s="69"/>
      <c r="J12" s="69"/>
      <c r="K12" s="4291">
        <f t="shared" si="0"/>
        <v>337011.32387877977</v>
      </c>
      <c r="L12" s="19"/>
    </row>
    <row r="13" spans="2:12" ht="18" customHeight="1" x14ac:dyDescent="0.2">
      <c r="B13" s="1392" t="s">
        <v>1478</v>
      </c>
      <c r="C13" s="4247">
        <f>Summary1!C13</f>
        <v>201393.4683450931</v>
      </c>
      <c r="D13" s="4247">
        <f>IFERROR(Summary1!D13*28,Summary1!D13)</f>
        <v>363.08498266169715</v>
      </c>
      <c r="E13" s="4247">
        <f>IFERROR(Summary1!E13*265,Summary1!E13)</f>
        <v>794.29131687686356</v>
      </c>
      <c r="F13" s="628"/>
      <c r="G13" s="628"/>
      <c r="H13" s="628"/>
      <c r="I13" s="69"/>
      <c r="J13" s="69"/>
      <c r="K13" s="4291">
        <f t="shared" si="0"/>
        <v>202550.84464463167</v>
      </c>
      <c r="L13" s="19"/>
    </row>
    <row r="14" spans="2:12" ht="18" customHeight="1" x14ac:dyDescent="0.2">
      <c r="B14" s="1392" t="s">
        <v>1517</v>
      </c>
      <c r="C14" s="4247">
        <f>Summary1!C14</f>
        <v>38705.238695703512</v>
      </c>
      <c r="D14" s="4247">
        <f>IFERROR(Summary1!D14*28,Summary1!D14)</f>
        <v>58.341166935576787</v>
      </c>
      <c r="E14" s="4247">
        <f>IFERROR(Summary1!E14*265,Summary1!E14)</f>
        <v>330.52351530504899</v>
      </c>
      <c r="F14" s="628"/>
      <c r="G14" s="628"/>
      <c r="H14" s="628"/>
      <c r="I14" s="69"/>
      <c r="J14" s="69"/>
      <c r="K14" s="4291">
        <f t="shared" si="0"/>
        <v>39094.103377944142</v>
      </c>
      <c r="L14" s="19"/>
    </row>
    <row r="15" spans="2:12" ht="18" customHeight="1" x14ac:dyDescent="0.2">
      <c r="B15" s="1392" t="s">
        <v>1480</v>
      </c>
      <c r="C15" s="4247">
        <f>Summary1!C15</f>
        <v>73052.312407992649</v>
      </c>
      <c r="D15" s="4247">
        <f>IFERROR(Summary1!D15*28,Summary1!D15)</f>
        <v>737.01758150158275</v>
      </c>
      <c r="E15" s="4247">
        <f>IFERROR(Summary1!E15*265,Summary1!E15)</f>
        <v>1697.1050068275576</v>
      </c>
      <c r="F15" s="628"/>
      <c r="G15" s="628"/>
      <c r="H15" s="628"/>
      <c r="I15" s="69"/>
      <c r="J15" s="69"/>
      <c r="K15" s="4291">
        <f t="shared" si="0"/>
        <v>75486.434996321783</v>
      </c>
      <c r="L15" s="19"/>
    </row>
    <row r="16" spans="2:12" ht="18" customHeight="1" x14ac:dyDescent="0.2">
      <c r="B16" s="1392" t="s">
        <v>1481</v>
      </c>
      <c r="C16" s="4247">
        <f>Summary1!C16</f>
        <v>17571.427876691756</v>
      </c>
      <c r="D16" s="4247">
        <f>IFERROR(Summary1!D16*28,Summary1!D16)</f>
        <v>1546.8951957335084</v>
      </c>
      <c r="E16" s="4247">
        <f>IFERROR(Summary1!E16*265,Summary1!E16)</f>
        <v>164.56893679166132</v>
      </c>
      <c r="F16" s="628"/>
      <c r="G16" s="628"/>
      <c r="H16" s="628"/>
      <c r="I16" s="69"/>
      <c r="J16" s="69"/>
      <c r="K16" s="4291">
        <f t="shared" si="0"/>
        <v>19282.892009216925</v>
      </c>
      <c r="L16" s="19"/>
    </row>
    <row r="17" spans="2:12" ht="18" customHeight="1" x14ac:dyDescent="0.2">
      <c r="B17" s="1392" t="s">
        <v>1482</v>
      </c>
      <c r="C17" s="4247">
        <f>Summary1!C17</f>
        <v>592.09543525646234</v>
      </c>
      <c r="D17" s="4247">
        <f>IFERROR(Summary1!D17*28,Summary1!D17)</f>
        <v>0.66720227856267988</v>
      </c>
      <c r="E17" s="4247">
        <f>IFERROR(Summary1!E17*265,Summary1!E17)</f>
        <v>4.2862131302477326</v>
      </c>
      <c r="F17" s="628"/>
      <c r="G17" s="628"/>
      <c r="H17" s="628"/>
      <c r="I17" s="69"/>
      <c r="J17" s="69"/>
      <c r="K17" s="4291">
        <f t="shared" si="0"/>
        <v>597.04885066527265</v>
      </c>
      <c r="L17" s="19"/>
    </row>
    <row r="18" spans="2:12" ht="18" customHeight="1" x14ac:dyDescent="0.2">
      <c r="B18" s="620" t="s">
        <v>99</v>
      </c>
      <c r="C18" s="4247">
        <f>Summary1!C18</f>
        <v>8007.495582103913</v>
      </c>
      <c r="D18" s="4247">
        <f>IFERROR(Summary1!D18*28,Summary1!D18)</f>
        <v>34682.788347919646</v>
      </c>
      <c r="E18" s="4247">
        <f>IFERROR(Summary1!E18*265,Summary1!E18)</f>
        <v>26.220378186572173</v>
      </c>
      <c r="F18" s="628"/>
      <c r="G18" s="628"/>
      <c r="H18" s="628"/>
      <c r="I18" s="69"/>
      <c r="J18" s="69"/>
      <c r="K18" s="4291">
        <f t="shared" si="0"/>
        <v>42716.504308210133</v>
      </c>
      <c r="L18" s="19"/>
    </row>
    <row r="19" spans="2:12" ht="18" customHeight="1" x14ac:dyDescent="0.2">
      <c r="B19" s="1392" t="s">
        <v>1483</v>
      </c>
      <c r="C19" s="4247">
        <f>Summary1!C19</f>
        <v>1239.4846044535864</v>
      </c>
      <c r="D19" s="4247">
        <f>IFERROR(Summary1!D19*28,Summary1!D19)</f>
        <v>27520.01690675781</v>
      </c>
      <c r="E19" s="4247">
        <f>IFERROR(Summary1!E19*265,Summary1!E19)</f>
        <v>3.8830649897370409E-3</v>
      </c>
      <c r="F19" s="628"/>
      <c r="G19" s="628"/>
      <c r="H19" s="628"/>
      <c r="I19" s="69"/>
      <c r="J19" s="69"/>
      <c r="K19" s="4291">
        <f t="shared" si="0"/>
        <v>28759.505394276388</v>
      </c>
      <c r="L19" s="19"/>
    </row>
    <row r="20" spans="2:12" ht="18" customHeight="1" x14ac:dyDescent="0.2">
      <c r="B20" s="1393" t="s">
        <v>1484</v>
      </c>
      <c r="C20" s="4247">
        <f>Summary1!C20</f>
        <v>6768.0109776503268</v>
      </c>
      <c r="D20" s="4247">
        <f>IFERROR(Summary1!D20*28,Summary1!D20)</f>
        <v>7162.7714411618344</v>
      </c>
      <c r="E20" s="4247">
        <f>IFERROR(Summary1!E20*265,Summary1!E20)</f>
        <v>26.216495121582433</v>
      </c>
      <c r="F20" s="628"/>
      <c r="G20" s="628"/>
      <c r="H20" s="628"/>
      <c r="I20" s="69"/>
      <c r="J20" s="69"/>
      <c r="K20" s="4291">
        <f t="shared" si="0"/>
        <v>13956.998913933743</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21255.560630579854</v>
      </c>
      <c r="D22" s="4253">
        <f>IFERROR(Summary1!D22*28,Summary1!D22)</f>
        <v>89.98808427123771</v>
      </c>
      <c r="E22" s="4253">
        <f>IFERROR(Summary1!E22*265,Summary1!E22)</f>
        <v>1988.5904885268781</v>
      </c>
      <c r="F22" s="4253">
        <f>Summary1!F22</f>
        <v>1939.884053930544</v>
      </c>
      <c r="G22" s="4253">
        <f>Summary1!G22</f>
        <v>1553.8183084811451</v>
      </c>
      <c r="H22" s="4253" t="str">
        <f>Summary1!H22</f>
        <v>NO</v>
      </c>
      <c r="I22" s="4253">
        <f>IFERROR(Summary1!I22*23500,Summary1!I22)</f>
        <v>232.00612349094484</v>
      </c>
      <c r="J22" s="4293" t="str">
        <f>IFERROR(Summary1!J22*16100,Summary1!J22)</f>
        <v>NO</v>
      </c>
      <c r="K22" s="4290">
        <f t="shared" si="0"/>
        <v>27059.847689280607</v>
      </c>
      <c r="L22" s="19"/>
    </row>
    <row r="23" spans="2:12" ht="18" customHeight="1" x14ac:dyDescent="0.2">
      <c r="B23" s="1394" t="s">
        <v>1487</v>
      </c>
      <c r="C23" s="4247">
        <f>Summary1!C23</f>
        <v>6291.2170628710082</v>
      </c>
      <c r="D23" s="628"/>
      <c r="E23" s="628"/>
      <c r="F23" s="628"/>
      <c r="G23" s="628"/>
      <c r="H23" s="628"/>
      <c r="I23" s="69"/>
      <c r="J23" s="69"/>
      <c r="K23" s="4291">
        <f t="shared" si="0"/>
        <v>6291.2170628710082</v>
      </c>
      <c r="L23" s="19"/>
    </row>
    <row r="24" spans="2:12" ht="18" customHeight="1" x14ac:dyDescent="0.2">
      <c r="B24" s="1394" t="s">
        <v>621</v>
      </c>
      <c r="C24" s="4247">
        <f>Summary1!C24</f>
        <v>2036.709370586605</v>
      </c>
      <c r="D24" s="4247">
        <f>IFERROR(Summary1!D24*28,Summary1!D24)</f>
        <v>14.122746399999999</v>
      </c>
      <c r="E24" s="4247">
        <f>IFERROR(Summary1!E24*265,Summary1!E24)</f>
        <v>1968.2992916451615</v>
      </c>
      <c r="F24" s="1924" t="str">
        <f>Summary1!F24</f>
        <v>NO</v>
      </c>
      <c r="G24" s="1924" t="str">
        <f>Summary1!G24</f>
        <v>NO</v>
      </c>
      <c r="H24" s="1924" t="str">
        <f>Summary1!H24</f>
        <v>NO</v>
      </c>
      <c r="I24" s="616" t="str">
        <f>IFERROR(Summary1!I24*23500,Summary1!I24)</f>
        <v>NO</v>
      </c>
      <c r="J24" s="616" t="str">
        <f>IFERROR(Summary1!J24*16100,Summary1!J24)</f>
        <v>NO</v>
      </c>
      <c r="K24" s="4291">
        <f t="shared" si="0"/>
        <v>4019.1314086317661</v>
      </c>
      <c r="L24" s="19"/>
    </row>
    <row r="25" spans="2:12" ht="18" customHeight="1" x14ac:dyDescent="0.2">
      <c r="B25" s="1394" t="s">
        <v>459</v>
      </c>
      <c r="C25" s="4247">
        <f>Summary1!C25</f>
        <v>12479.913157591614</v>
      </c>
      <c r="D25" s="4247">
        <f>IFERROR(Summary1!D25*28,Summary1!D25)</f>
        <v>75.865337871237713</v>
      </c>
      <c r="E25" s="4247">
        <f>IFERROR(Summary1!E25*265,Summary1!E25)</f>
        <v>20.291196881716658</v>
      </c>
      <c r="F25" s="1924" t="str">
        <f>Summary1!F25</f>
        <v>NO</v>
      </c>
      <c r="G25" s="4247">
        <f>Summary1!G25</f>
        <v>1553.8183084811451</v>
      </c>
      <c r="H25" s="4247" t="str">
        <f>Summary1!H25</f>
        <v>NO</v>
      </c>
      <c r="I25" s="4247" t="str">
        <f>IFERROR(Summary1!I25*23500,Summary1!I25)</f>
        <v>NO</v>
      </c>
      <c r="J25" s="4247" t="str">
        <f>IFERROR(Summary1!J25*16100,Summary1!J25)</f>
        <v>NO</v>
      </c>
      <c r="K25" s="4291">
        <f t="shared" si="0"/>
        <v>14129.888000825713</v>
      </c>
      <c r="L25" s="19"/>
    </row>
    <row r="26" spans="2:12" ht="18" customHeight="1" x14ac:dyDescent="0.2">
      <c r="B26" s="1395" t="s">
        <v>1519</v>
      </c>
      <c r="C26" s="4247">
        <f>Summary1!C26</f>
        <v>297.93334749999997</v>
      </c>
      <c r="D26" s="4247" t="str">
        <f>IFERROR(Summary1!D26*28,Summary1!D26)</f>
        <v>NO</v>
      </c>
      <c r="E26" s="4247" t="str">
        <f>IFERROR(Summary1!E26*265,Summary1!E26)</f>
        <v>NO</v>
      </c>
      <c r="F26" s="628"/>
      <c r="G26" s="628"/>
      <c r="H26" s="628"/>
      <c r="I26" s="69"/>
      <c r="J26" s="69"/>
      <c r="K26" s="4291">
        <f t="shared" si="0"/>
        <v>297.93334749999997</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1939.884053930544</v>
      </c>
      <c r="G28" s="4247" t="str">
        <f>Summary1!G28</f>
        <v>NO</v>
      </c>
      <c r="H28" s="4247" t="str">
        <f>Summary1!H28</f>
        <v>NO</v>
      </c>
      <c r="I28" s="4247" t="str">
        <f>IFERROR(Summary1!I28*23500,Summary1!I28)</f>
        <v>NO</v>
      </c>
      <c r="J28" s="4247" t="str">
        <f>IFERROR(Summary1!J28*16100,Summary1!J28)</f>
        <v>NO</v>
      </c>
      <c r="K28" s="4291">
        <f t="shared" si="0"/>
        <v>1939.884053930544</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232.00612349094484</v>
      </c>
      <c r="J29" s="4247" t="str">
        <f>IFERROR(Summary1!J29*16100,Summary1!J29)</f>
        <v>NO</v>
      </c>
      <c r="K29" s="4291">
        <f t="shared" si="0"/>
        <v>232.00612349094484</v>
      </c>
      <c r="L29" s="19"/>
    </row>
    <row r="30" spans="2:12" ht="18" customHeight="1" thickBot="1" x14ac:dyDescent="0.25">
      <c r="B30" s="1407" t="s">
        <v>1523</v>
      </c>
      <c r="C30" s="4266">
        <f>Summary1!C30</f>
        <v>149.78769203062836</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149.78769203062836</v>
      </c>
      <c r="L30" s="19"/>
    </row>
    <row r="31" spans="2:12" ht="18" customHeight="1" x14ac:dyDescent="0.2">
      <c r="B31" s="772" t="s">
        <v>1491</v>
      </c>
      <c r="C31" s="4253">
        <f>Summary1!C31</f>
        <v>1930.4128002981445</v>
      </c>
      <c r="D31" s="4253">
        <f>IFERROR(Summary1!D31*28,Summary1!D31)</f>
        <v>73169.142576963335</v>
      </c>
      <c r="E31" s="4253">
        <f>IFERROR(Summary1!E31*265,Summary1!E31)</f>
        <v>12336.620456117864</v>
      </c>
      <c r="F31" s="1929"/>
      <c r="G31" s="1929"/>
      <c r="H31" s="1929"/>
      <c r="I31" s="4215"/>
      <c r="J31" s="627"/>
      <c r="K31" s="4290">
        <f t="shared" si="0"/>
        <v>87436.17583337934</v>
      </c>
      <c r="L31" s="19"/>
    </row>
    <row r="32" spans="2:12" ht="18" customHeight="1" x14ac:dyDescent="0.2">
      <c r="B32" s="620" t="s">
        <v>1492</v>
      </c>
      <c r="C32" s="628"/>
      <c r="D32" s="4247">
        <f>IFERROR(Summary1!D32*28,Summary1!D32)</f>
        <v>65130.183496241152</v>
      </c>
      <c r="E32" s="628"/>
      <c r="F32" s="628"/>
      <c r="G32" s="628"/>
      <c r="H32" s="628"/>
      <c r="I32" s="69"/>
      <c r="J32" s="69"/>
      <c r="K32" s="4291">
        <f t="shared" si="0"/>
        <v>65130.183496241152</v>
      </c>
      <c r="L32" s="19"/>
    </row>
    <row r="33" spans="2:12" ht="18" customHeight="1" x14ac:dyDescent="0.2">
      <c r="B33" s="620" t="s">
        <v>1493</v>
      </c>
      <c r="C33" s="628"/>
      <c r="D33" s="4247">
        <f>IFERROR(Summary1!D33*28,Summary1!D33)</f>
        <v>6997.5876205927361</v>
      </c>
      <c r="E33" s="4247">
        <f>IFERROR(Summary1!E33*265,Summary1!E33)</f>
        <v>404.74232350992003</v>
      </c>
      <c r="F33" s="628"/>
      <c r="G33" s="628"/>
      <c r="H33" s="628"/>
      <c r="I33" s="69"/>
      <c r="J33" s="69"/>
      <c r="K33" s="4291">
        <f t="shared" si="0"/>
        <v>7402.3299441026566</v>
      </c>
      <c r="L33" s="19"/>
    </row>
    <row r="34" spans="2:12" ht="18" customHeight="1" x14ac:dyDescent="0.2">
      <c r="B34" s="620" t="s">
        <v>1494</v>
      </c>
      <c r="C34" s="628"/>
      <c r="D34" s="4247">
        <f>IFERROR(Summary1!D34*28,Summary1!D34)</f>
        <v>643.19414879999999</v>
      </c>
      <c r="E34" s="628"/>
      <c r="F34" s="628"/>
      <c r="G34" s="628"/>
      <c r="H34" s="628"/>
      <c r="I34" s="69"/>
      <c r="J34" s="69"/>
      <c r="K34" s="4291">
        <f t="shared" si="0"/>
        <v>643.19414879999999</v>
      </c>
      <c r="L34" s="19"/>
    </row>
    <row r="35" spans="2:12" ht="18" customHeight="1" x14ac:dyDescent="0.2">
      <c r="B35" s="620" t="s">
        <v>1495</v>
      </c>
      <c r="C35" s="4294"/>
      <c r="D35" s="4247" t="str">
        <f>IFERROR(Summary1!D35*28,Summary1!D35)</f>
        <v>NE</v>
      </c>
      <c r="E35" s="4247">
        <f>IFERROR(Summary1!E35*265,Summary1!E35)</f>
        <v>11775.256580223146</v>
      </c>
      <c r="F35" s="628"/>
      <c r="G35" s="628"/>
      <c r="H35" s="628"/>
      <c r="I35" s="69"/>
      <c r="J35" s="69"/>
      <c r="K35" s="4291">
        <f t="shared" si="0"/>
        <v>11775.256580223146</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398.17731132943487</v>
      </c>
      <c r="E37" s="4247">
        <f>IFERROR(Summary1!E37*265,Summary1!E37)</f>
        <v>156.62155238479883</v>
      </c>
      <c r="F37" s="628"/>
      <c r="G37" s="628"/>
      <c r="H37" s="628"/>
      <c r="I37" s="69"/>
      <c r="J37" s="69"/>
      <c r="K37" s="4291">
        <f t="shared" si="0"/>
        <v>554.79886371423368</v>
      </c>
      <c r="L37" s="19"/>
    </row>
    <row r="38" spans="2:12" ht="18" customHeight="1" x14ac:dyDescent="0.2">
      <c r="B38" s="620" t="s">
        <v>721</v>
      </c>
      <c r="C38" s="1924">
        <f>Summary1!C38</f>
        <v>1021.2878336833335</v>
      </c>
      <c r="D38" s="4295"/>
      <c r="E38" s="4295"/>
      <c r="F38" s="628"/>
      <c r="G38" s="628"/>
      <c r="H38" s="628"/>
      <c r="I38" s="69"/>
      <c r="J38" s="69"/>
      <c r="K38" s="4291">
        <f t="shared" si="0"/>
        <v>1021.2878336833335</v>
      </c>
      <c r="L38" s="19"/>
    </row>
    <row r="39" spans="2:12" ht="18" customHeight="1" x14ac:dyDescent="0.2">
      <c r="B39" s="620" t="s">
        <v>722</v>
      </c>
      <c r="C39" s="1924">
        <f>Summary1!C39</f>
        <v>909.124966614811</v>
      </c>
      <c r="D39" s="4295"/>
      <c r="E39" s="4295"/>
      <c r="F39" s="628"/>
      <c r="G39" s="628"/>
      <c r="H39" s="628"/>
      <c r="I39" s="69"/>
      <c r="J39" s="69"/>
      <c r="K39" s="4291">
        <f t="shared" si="0"/>
        <v>909.124966614811</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44897.60215589514</v>
      </c>
      <c r="D42" s="1927">
        <f>IFERROR(Summary1!D42*28,Summary1!D42)</f>
        <v>20012.359442897166</v>
      </c>
      <c r="E42" s="1927">
        <f>IFERROR(Summary1!E42*265,Summary1!E42)</f>
        <v>4443.5923565572793</v>
      </c>
      <c r="F42" s="1929"/>
      <c r="G42" s="1929"/>
      <c r="H42" s="1929"/>
      <c r="I42" s="4215"/>
      <c r="J42" s="627"/>
      <c r="K42" s="4290">
        <f t="shared" si="0"/>
        <v>69353.553955349576</v>
      </c>
      <c r="L42" s="19"/>
    </row>
    <row r="43" spans="2:12" ht="18" customHeight="1" x14ac:dyDescent="0.2">
      <c r="B43" s="620" t="s">
        <v>981</v>
      </c>
      <c r="C43" s="1924">
        <f>Summary1!C43</f>
        <v>-32448.668831322979</v>
      </c>
      <c r="D43" s="1924">
        <f>IFERROR(Summary1!D43*28,Summary1!D43)</f>
        <v>6665.5054934716554</v>
      </c>
      <c r="E43" s="1924">
        <f>IFERROR(Summary1!E43*265,Summary1!E43)</f>
        <v>1262.7319606171882</v>
      </c>
      <c r="F43" s="1931"/>
      <c r="G43" s="1931"/>
      <c r="H43" s="1931"/>
      <c r="I43" s="3352"/>
      <c r="J43" s="69"/>
      <c r="K43" s="4291">
        <f t="shared" si="0"/>
        <v>-24520.431377234134</v>
      </c>
      <c r="L43" s="19"/>
    </row>
    <row r="44" spans="2:12" ht="18" customHeight="1" x14ac:dyDescent="0.2">
      <c r="B44" s="620" t="s">
        <v>984</v>
      </c>
      <c r="C44" s="1924">
        <f>Summary1!C44</f>
        <v>6036.0685759903345</v>
      </c>
      <c r="D44" s="1924">
        <f>IFERROR(Summary1!D44*28,Summary1!D44)</f>
        <v>135.12139200000001</v>
      </c>
      <c r="E44" s="1924">
        <f>IFERROR(Summary1!E44*265,Summary1!E44)</f>
        <v>51.014718126320119</v>
      </c>
      <c r="F44" s="1931"/>
      <c r="G44" s="1931"/>
      <c r="H44" s="1931"/>
      <c r="I44" s="3352"/>
      <c r="J44" s="69"/>
      <c r="K44" s="4291">
        <f t="shared" si="0"/>
        <v>6222.2046861166546</v>
      </c>
      <c r="L44" s="19"/>
    </row>
    <row r="45" spans="2:12" ht="18" customHeight="1" x14ac:dyDescent="0.2">
      <c r="B45" s="620" t="s">
        <v>987</v>
      </c>
      <c r="C45" s="1924">
        <f>Summary1!C45</f>
        <v>72736.645187142451</v>
      </c>
      <c r="D45" s="1924">
        <f>IFERROR(Summary1!D45*28,Summary1!D45)</f>
        <v>10519.102618336432</v>
      </c>
      <c r="E45" s="1924">
        <f>IFERROR(Summary1!E45*265,Summary1!E45)</f>
        <v>2992.9213513705536</v>
      </c>
      <c r="F45" s="1931"/>
      <c r="G45" s="1931"/>
      <c r="H45" s="1931"/>
      <c r="I45" s="3352"/>
      <c r="J45" s="69"/>
      <c r="K45" s="4291">
        <f t="shared" si="0"/>
        <v>86248.669156849428</v>
      </c>
      <c r="L45" s="19"/>
    </row>
    <row r="46" spans="2:12" ht="18" customHeight="1" x14ac:dyDescent="0.2">
      <c r="B46" s="620" t="s">
        <v>1525</v>
      </c>
      <c r="C46" s="1924">
        <f>Summary1!C46</f>
        <v>870.65990739696156</v>
      </c>
      <c r="D46" s="1924">
        <f>IFERROR(Summary1!D46*28,Summary1!D46)</f>
        <v>2604.7621758890805</v>
      </c>
      <c r="E46" s="1924">
        <f>IFERROR(Summary1!E46*265,Summary1!E46)</f>
        <v>93.806256760453977</v>
      </c>
      <c r="F46" s="1931"/>
      <c r="G46" s="1931"/>
      <c r="H46" s="1931"/>
      <c r="I46" s="3352"/>
      <c r="J46" s="69"/>
      <c r="K46" s="4291">
        <f t="shared" si="0"/>
        <v>3569.2283400464958</v>
      </c>
      <c r="L46" s="19"/>
    </row>
    <row r="47" spans="2:12" ht="18" customHeight="1" x14ac:dyDescent="0.2">
      <c r="B47" s="620" t="s">
        <v>1526</v>
      </c>
      <c r="C47" s="1924">
        <f>Summary1!C47</f>
        <v>4540.8835016655894</v>
      </c>
      <c r="D47" s="1924">
        <f>IFERROR(Summary1!D47*28,Summary1!D47)</f>
        <v>87.867763200000013</v>
      </c>
      <c r="E47" s="1924">
        <f>IFERROR(Summary1!E47*265,Summary1!E47)</f>
        <v>21.743534332227789</v>
      </c>
      <c r="F47" s="1931"/>
      <c r="G47" s="1931"/>
      <c r="H47" s="1931"/>
      <c r="I47" s="3352"/>
      <c r="J47" s="69"/>
      <c r="K47" s="4291">
        <f t="shared" si="0"/>
        <v>4650.494799197817</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-6842.5868497042429</v>
      </c>
      <c r="D49" s="3835"/>
      <c r="E49" s="3835"/>
      <c r="F49" s="1931"/>
      <c r="G49" s="1931"/>
      <c r="H49" s="1931"/>
      <c r="I49" s="3352"/>
      <c r="J49" s="69"/>
      <c r="K49" s="4291">
        <f t="shared" si="0"/>
        <v>-6842.5868497042429</v>
      </c>
      <c r="L49" s="19"/>
    </row>
    <row r="50" spans="2:12" ht="18" customHeight="1" thickBot="1" x14ac:dyDescent="0.25">
      <c r="B50" s="1552" t="s">
        <v>1529</v>
      </c>
      <c r="C50" s="1926">
        <f>Summary1!C50</f>
        <v>4.6006647270185557</v>
      </c>
      <c r="D50" s="1926" t="str">
        <f>IFERROR(Summary1!D50*28,Summary1!D50)</f>
        <v>NO</v>
      </c>
      <c r="E50" s="1926">
        <f>IFERROR(Summary1!E50*265,Summary1!E50)</f>
        <v>21.374535350535716</v>
      </c>
      <c r="F50" s="3024"/>
      <c r="G50" s="3024"/>
      <c r="H50" s="3024"/>
      <c r="I50" s="3828"/>
      <c r="J50" s="87"/>
      <c r="K50" s="4292">
        <f t="shared" si="0"/>
        <v>25.97520007755427</v>
      </c>
      <c r="L50" s="19"/>
    </row>
    <row r="51" spans="2:12" ht="18" customHeight="1" x14ac:dyDescent="0.2">
      <c r="B51" s="1550" t="s">
        <v>1500</v>
      </c>
      <c r="C51" s="1927">
        <f>Summary1!C51</f>
        <v>28.521775413558473</v>
      </c>
      <c r="D51" s="1927">
        <f>IFERROR(Summary1!D51*28,Summary1!D51)</f>
        <v>18695.424030441834</v>
      </c>
      <c r="E51" s="1927">
        <f>IFERROR(Summary1!E51*265,Summary1!E51)</f>
        <v>223.20983018622974</v>
      </c>
      <c r="F51" s="1929"/>
      <c r="G51" s="1929"/>
      <c r="H51" s="1929"/>
      <c r="I51" s="4215"/>
      <c r="J51" s="627"/>
      <c r="K51" s="4290">
        <f t="shared" si="0"/>
        <v>18947.155636041622</v>
      </c>
      <c r="L51" s="19"/>
    </row>
    <row r="52" spans="2:12" ht="18" customHeight="1" x14ac:dyDescent="0.2">
      <c r="B52" s="620" t="s">
        <v>1530</v>
      </c>
      <c r="C52" s="628"/>
      <c r="D52" s="1924">
        <f>IFERROR(Summary1!D52*28,Summary1!D52)</f>
        <v>13996.167479839998</v>
      </c>
      <c r="E52" s="1931"/>
      <c r="F52" s="628"/>
      <c r="G52" s="628"/>
      <c r="H52" s="628"/>
      <c r="I52" s="69"/>
      <c r="J52" s="69"/>
      <c r="K52" s="4291">
        <f t="shared" si="0"/>
        <v>13996.167479839998</v>
      </c>
      <c r="L52" s="19"/>
    </row>
    <row r="53" spans="2:12" ht="18" customHeight="1" x14ac:dyDescent="0.2">
      <c r="B53" s="1396" t="s">
        <v>1531</v>
      </c>
      <c r="C53" s="628"/>
      <c r="D53" s="1924">
        <f>IFERROR(Summary1!D53*28,Summary1!D53)</f>
        <v>54.439841472744007</v>
      </c>
      <c r="E53" s="1924">
        <f>IFERROR(Summary1!E53*265,Summary1!E53)</f>
        <v>65.949979384124177</v>
      </c>
      <c r="F53" s="628"/>
      <c r="G53" s="628"/>
      <c r="H53" s="628"/>
      <c r="I53" s="69"/>
      <c r="J53" s="69"/>
      <c r="K53" s="4291">
        <f t="shared" si="0"/>
        <v>120.38982085686818</v>
      </c>
      <c r="L53" s="19"/>
    </row>
    <row r="54" spans="2:12" ht="18" customHeight="1" x14ac:dyDescent="0.2">
      <c r="B54" s="1397" t="s">
        <v>1532</v>
      </c>
      <c r="C54" s="1924">
        <f>Summary1!C54</f>
        <v>28.521775413558473</v>
      </c>
      <c r="D54" s="1924" t="str">
        <f>IFERROR(Summary1!D54*28,Summary1!D54)</f>
        <v>NO,NE</v>
      </c>
      <c r="E54" s="1924" t="str">
        <f>IFERROR(Summary1!E54*265,Summary1!E54)</f>
        <v>NO,NE</v>
      </c>
      <c r="F54" s="628"/>
      <c r="G54" s="628"/>
      <c r="H54" s="628"/>
      <c r="I54" s="69"/>
      <c r="J54" s="69"/>
      <c r="K54" s="4291">
        <f t="shared" si="0"/>
        <v>28.521775413558473</v>
      </c>
      <c r="L54" s="19"/>
    </row>
    <row r="55" spans="2:12" ht="18" customHeight="1" x14ac:dyDescent="0.2">
      <c r="B55" s="620" t="s">
        <v>1533</v>
      </c>
      <c r="C55" s="628"/>
      <c r="D55" s="1924">
        <f>IFERROR(Summary1!D55*28,Summary1!D55)</f>
        <v>4644.8167091290934</v>
      </c>
      <c r="E55" s="1924">
        <f>IFERROR(Summary1!E55*265,Summary1!E55)</f>
        <v>157.25985080210555</v>
      </c>
      <c r="F55" s="628"/>
      <c r="G55" s="628"/>
      <c r="H55" s="628"/>
      <c r="I55" s="69"/>
      <c r="J55" s="69"/>
      <c r="K55" s="4291">
        <f t="shared" si="0"/>
        <v>4802.076559931199</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9620.1779999999962</v>
      </c>
      <c r="D60" s="4219">
        <f>IFERROR(Summary1!D61*28,Summary1!D61)</f>
        <v>8.0375996866666668</v>
      </c>
      <c r="E60" s="4219">
        <f>IFERROR(Summary1!E61*265,Summary1!E61)</f>
        <v>30.179733098688594</v>
      </c>
      <c r="F60" s="1931"/>
      <c r="G60" s="1931"/>
      <c r="H60" s="1932"/>
      <c r="I60" s="630"/>
      <c r="J60" s="630"/>
      <c r="K60" s="4220">
        <f t="shared" ref="K60:K66" si="2">IF(SUM(C60:J60)=0,"NO",SUM(C60:J60))</f>
        <v>9658.3953327853505</v>
      </c>
    </row>
    <row r="61" spans="2:12" ht="18" customHeight="1" x14ac:dyDescent="0.2">
      <c r="B61" s="1386" t="s">
        <v>111</v>
      </c>
      <c r="C61" s="4219">
        <f>Summary1!C62</f>
        <v>6751.895999999997</v>
      </c>
      <c r="D61" s="4219">
        <f>IFERROR(Summary1!D62*28,Summary1!D62)</f>
        <v>0.33479968666666665</v>
      </c>
      <c r="E61" s="4219">
        <f>IFERROR(Summary1!E62*265,Summary1!E62)</f>
        <v>9.350733098688595</v>
      </c>
      <c r="F61" s="628"/>
      <c r="G61" s="628"/>
      <c r="H61" s="628"/>
      <c r="I61" s="631"/>
      <c r="J61" s="631"/>
      <c r="K61" s="4234">
        <f t="shared" si="2"/>
        <v>6761.5815327853525</v>
      </c>
    </row>
    <row r="62" spans="2:12" ht="18" customHeight="1" x14ac:dyDescent="0.2">
      <c r="B62" s="1387" t="s">
        <v>1503</v>
      </c>
      <c r="C62" s="4219">
        <f>Summary1!C63</f>
        <v>2868.2820000000002</v>
      </c>
      <c r="D62" s="4219">
        <f>IFERROR(Summary1!D63*28,Summary1!D63)</f>
        <v>7.7027999999999999</v>
      </c>
      <c r="E62" s="4219">
        <f>IFERROR(Summary1!E63*265,Summary1!E63)</f>
        <v>20.829000000000001</v>
      </c>
      <c r="F62" s="628"/>
      <c r="G62" s="628"/>
      <c r="H62" s="628"/>
      <c r="I62" s="632"/>
      <c r="J62" s="632"/>
      <c r="K62" s="4220">
        <f t="shared" si="2"/>
        <v>2896.8138000000004</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16548.893514000003</v>
      </c>
      <c r="D64" s="1931"/>
      <c r="E64" s="1931"/>
      <c r="F64" s="1931"/>
      <c r="G64" s="1931"/>
      <c r="H64" s="1931"/>
      <c r="I64" s="3352"/>
      <c r="J64" s="3352"/>
      <c r="K64" s="3821">
        <f t="shared" si="2"/>
        <v>16548.893514000003</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-239603.90497733816</v>
      </c>
      <c r="D66" s="4301"/>
      <c r="E66" s="4301"/>
      <c r="F66" s="4301"/>
      <c r="G66" s="4301"/>
      <c r="H66" s="4301"/>
      <c r="I66" s="3824"/>
      <c r="J66" s="3824"/>
      <c r="K66" s="4302">
        <f t="shared" si="2"/>
        <v>-239603.90497733816</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513171.00734569132</v>
      </c>
      <c r="N71" s="1126"/>
    </row>
    <row r="72" spans="2:14" s="634" customFormat="1" ht="18" customHeight="1" x14ac:dyDescent="0.25">
      <c r="B72" s="637"/>
      <c r="C72" s="638"/>
      <c r="D72" s="638"/>
      <c r="E72" s="638"/>
      <c r="F72" s="638"/>
      <c r="G72" s="638"/>
      <c r="H72" s="638"/>
      <c r="I72" s="638"/>
      <c r="J72" s="2553" t="s">
        <v>2122</v>
      </c>
      <c r="K72" s="3821">
        <f>K10</f>
        <v>582524.56130104093</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725437.4151620653</v>
      </c>
      <c r="D10" s="3076" t="s">
        <v>1814</v>
      </c>
      <c r="E10" s="628"/>
      <c r="F10" s="628"/>
      <c r="G10" s="628"/>
      <c r="H10" s="1913">
        <f>IF(SUM(H11:H15)=0,"NO",SUM(H11:H15))</f>
        <v>38705.238695703512</v>
      </c>
      <c r="I10" s="1913">
        <f t="shared" ref="I10:K10" si="0">IF(SUM(I11:I16)=0,"NO",SUM(I11:I16))</f>
        <v>2.0836131048420281</v>
      </c>
      <c r="J10" s="1847">
        <f t="shared" si="0"/>
        <v>1.2472585483209397</v>
      </c>
      <c r="K10" s="3065" t="str">
        <f t="shared" si="0"/>
        <v>NO</v>
      </c>
    </row>
    <row r="11" spans="2:11" ht="18" customHeight="1" x14ac:dyDescent="0.2">
      <c r="B11" s="282" t="s">
        <v>132</v>
      </c>
      <c r="C11" s="1913">
        <f>IF(SUM(C18,C25,C32,C39,C46,C53,C62,C69,C76,C83,C90,C97,C114,C104:C107)=0,"NO",SUM(C18,C25,C32,C39,C46,C53,C62,C69,C76,C83,C90,C97,C114,C104:C107))</f>
        <v>170352.15255037459</v>
      </c>
      <c r="D11" s="3077" t="s">
        <v>1814</v>
      </c>
      <c r="E11" s="1913">
        <f>IFERROR(H11*1000/$C11,"NA")</f>
        <v>69.498673675699777</v>
      </c>
      <c r="F11" s="1913">
        <f t="shared" ref="F11:G16" si="1">IFERROR(I11*1000000/$C11,"NA")</f>
        <v>4.017379845601643</v>
      </c>
      <c r="G11" s="1913">
        <f t="shared" si="1"/>
        <v>2.178865746404572</v>
      </c>
      <c r="H11" s="1913">
        <f>IF(SUM(H18,H25,H32,H39,H46,H53,H62,H69,H76,H83,H90,H97,H114,H104:H107)=0,"NO",SUM(H18,H25,H32,H39,H46,H53,H62,H69,H76,H83,H90,H97,H114,H104:H107))</f>
        <v>11839.248660051511</v>
      </c>
      <c r="I11" s="1913">
        <f>IF(SUM(I18,I25,I32,I39,I46,I53,I62,I69,I76,I83,I90,I97,I114,I104:I107)=0,"NO",SUM(I18,I25,I32,I39,I46,I53,I62,I69,I76,I83,I90,I97,I114,I104:I107))</f>
        <v>0.68436930431073151</v>
      </c>
      <c r="J11" s="1913">
        <f>IF(SUM(J18,J25,J32,J39,J46,J53,J62,J69,J76,J83,J90,J97,J114,J104:J107)=0,"NO",SUM(J18,J25,J32,J39,J46,J53,J62,J69,J76,J83,J90,J97,J114,J104:J107))</f>
        <v>0.37117447001829745</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123380.78315116282</v>
      </c>
      <c r="D12" s="3077" t="s">
        <v>1814</v>
      </c>
      <c r="E12" s="1913">
        <f t="shared" ref="E12:E16" si="2">IFERROR(H12*1000/$C12,"NA")</f>
        <v>81.506452955361041</v>
      </c>
      <c r="F12" s="1913">
        <f t="shared" si="1"/>
        <v>0.96108471801192341</v>
      </c>
      <c r="G12" s="1913">
        <f t="shared" si="1"/>
        <v>0.71043941383304021</v>
      </c>
      <c r="H12" s="1913">
        <f>IF(SUM(H19,H26,H33,H40,H47,H54,H63,H70,H77,H84,H91,H98,H115)=0,"NO",SUM(H19,H26,H33,H40,H47,H54,H63,H70,H77,H84,H91,H98,H115))</f>
        <v>10056.329997505854</v>
      </c>
      <c r="I12" s="1913">
        <f>IF(SUM(I19,I26,I33,I40,I47,I54,I63,I70,I77,I84,I91,I98,I115)=0,"NO",SUM(I19,I26,I33,I40,I47,I54,I63,I70,I77,I84,I91,I98,I115))</f>
        <v>0.11857938518292559</v>
      </c>
      <c r="J12" s="1913">
        <f>IF(SUM(J19,J26,J33,J40,J47,J54,J63,J70,J77,J84,J91,J98,J115)=0,"NO",SUM(J19,J26,J33,J40,J47,J54,J63,J70,J77,J84,J91,J98,J115))</f>
        <v>8.7654571260173564E-2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326960.37380320905</v>
      </c>
      <c r="D13" s="3077" t="s">
        <v>1814</v>
      </c>
      <c r="E13" s="1913">
        <f t="shared" si="2"/>
        <v>51.411918339265007</v>
      </c>
      <c r="F13" s="1913">
        <f t="shared" si="1"/>
        <v>0.9802720426375684</v>
      </c>
      <c r="G13" s="1913">
        <f t="shared" si="1"/>
        <v>0.54264136652910899</v>
      </c>
      <c r="H13" s="1913">
        <f t="shared" ref="H13:K14" si="3">IF(SUM(H20,H27,H34,H41,H48,H55,H64,H71,H78,H85,H92,H99,H116,H109)=0,"NO",SUM(H20,H27,H34,H41,H48,H55,H64,H71,H78,H85,H92,H99,H116,H109))</f>
        <v>16809.660038146147</v>
      </c>
      <c r="I13" s="1913">
        <f t="shared" si="3"/>
        <v>0.32051011348961461</v>
      </c>
      <c r="J13" s="1913">
        <f t="shared" si="3"/>
        <v>0.17742222404144167</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104744.10565731888</v>
      </c>
      <c r="D16" s="3092" t="s">
        <v>1814</v>
      </c>
      <c r="E16" s="1913">
        <f t="shared" si="2"/>
        <v>94.753543172305527</v>
      </c>
      <c r="F16" s="1913">
        <f t="shared" si="1"/>
        <v>9.1666666666666679</v>
      </c>
      <c r="G16" s="1913">
        <f t="shared" si="1"/>
        <v>5.8333333333333348</v>
      </c>
      <c r="H16" s="1913">
        <f>IF(SUM(H23,H30,H37,H44,H51,H58,H67,H74,H81,H88,H95,H102,H119,H111)=0,"NO",SUM(H23,H30,H37,H44,H51,H58,H67,H74,H81,H88,H95,H102,H119,H111))</f>
        <v>9924.8751374452968</v>
      </c>
      <c r="I16" s="1913">
        <f>IF(SUM(I23,I30,I37,I44,I51,I58,I67,I74,I81,I88,I95,I102,I119,I111)=0,"NO",SUM(I23,I30,I37,I44,I51,I58,I67,I74,I81,I88,I95,I102,I119,I111))</f>
        <v>0.96015430185875661</v>
      </c>
      <c r="J16" s="1913">
        <f>IF(SUM(J23,J30,J37,J44,J51,J58,J67,J74,J81,J88,J95,J102,J119,J111)=0,"NO",SUM(J23,J30,J37,J44,J51,J58,J67,J74,J81,J88,J95,J102,J119,J111))</f>
        <v>0.61100728300102691</v>
      </c>
      <c r="K16" s="3065" t="str">
        <f>IF(SUM(K23,K30,K37,K44,K51,K58,K67,K74,K81,K88,K95,K102,K119,K111)=0,"NO",SUM(K23,K30,K37,K44,K51,K58,K67,K74,K81,K88,K95,K102,K119,K111))</f>
        <v>NO</v>
      </c>
    </row>
    <row r="17" spans="2:11" ht="18" customHeight="1" x14ac:dyDescent="0.2">
      <c r="B17" s="1241" t="s">
        <v>151</v>
      </c>
      <c r="C17" s="1913">
        <f>IF(SUM(C18:C23)=0,"NO",SUM(C18:C23))</f>
        <v>54759.9</v>
      </c>
      <c r="D17" s="3076" t="s">
        <v>1814</v>
      </c>
      <c r="E17" s="628"/>
      <c r="F17" s="628"/>
      <c r="G17" s="628"/>
      <c r="H17" s="1913">
        <f>IF(SUM(H18:H22)=0,"NO",SUM(H18:H22))</f>
        <v>2756.8649302742715</v>
      </c>
      <c r="I17" s="1913">
        <f t="shared" ref="I17:K17" si="4">IF(SUM(I18:I23)=0,"NO",SUM(I18:I23))</f>
        <v>7.3147899211957856E-2</v>
      </c>
      <c r="J17" s="1913">
        <f t="shared" si="4"/>
        <v>3.3785340337564328E-2</v>
      </c>
      <c r="K17" s="3065" t="str">
        <f t="shared" si="4"/>
        <v>NO</v>
      </c>
    </row>
    <row r="18" spans="2:11" ht="18" customHeight="1" x14ac:dyDescent="0.2">
      <c r="B18" s="282" t="s">
        <v>132</v>
      </c>
      <c r="C18" s="691">
        <v>2699.9999999999995</v>
      </c>
      <c r="D18" s="3077" t="s">
        <v>1814</v>
      </c>
      <c r="E18" s="1913">
        <f>IFERROR(H18*1000/$C18,"NA")</f>
        <v>69.970370370370375</v>
      </c>
      <c r="F18" s="1913">
        <f t="shared" ref="F18:G23" si="5">IFERROR(I18*1000000/$C18,"NA")</f>
        <v>8.6724089048617365</v>
      </c>
      <c r="G18" s="1913">
        <f t="shared" si="5"/>
        <v>1.2994030148747131</v>
      </c>
      <c r="H18" s="691">
        <v>188.92</v>
      </c>
      <c r="I18" s="691">
        <v>2.3415504043126686E-2</v>
      </c>
      <c r="J18" s="691">
        <v>3.5083881401617245E-3</v>
      </c>
      <c r="K18" s="3093" t="s">
        <v>2146</v>
      </c>
    </row>
    <row r="19" spans="2:11" ht="18" customHeight="1" x14ac:dyDescent="0.2">
      <c r="B19" s="282" t="s">
        <v>133</v>
      </c>
      <c r="C19" s="691">
        <v>25489.9</v>
      </c>
      <c r="D19" s="3077" t="s">
        <v>1814</v>
      </c>
      <c r="E19" s="1913">
        <f t="shared" ref="E19:E23" si="6">IFERROR(H19*1000/$C19,"NA")</f>
        <v>47.153196364050082</v>
      </c>
      <c r="F19" s="1913">
        <f t="shared" si="5"/>
        <v>0.9559795059477677</v>
      </c>
      <c r="G19" s="1913">
        <f t="shared" si="5"/>
        <v>0.60698771592225087</v>
      </c>
      <c r="H19" s="691">
        <v>1201.9302600000003</v>
      </c>
      <c r="I19" s="691">
        <v>2.4367822008658006E-2</v>
      </c>
      <c r="J19" s="691">
        <v>1.5472056180086584E-2</v>
      </c>
      <c r="K19" s="3093" t="s">
        <v>2146</v>
      </c>
    </row>
    <row r="20" spans="2:11" ht="18" customHeight="1" x14ac:dyDescent="0.2">
      <c r="B20" s="282" t="s">
        <v>134</v>
      </c>
      <c r="C20" s="691">
        <v>26570</v>
      </c>
      <c r="D20" s="3077" t="s">
        <v>1814</v>
      </c>
      <c r="E20" s="1913">
        <f t="shared" si="6"/>
        <v>51.411918339265007</v>
      </c>
      <c r="F20" s="1913">
        <f t="shared" si="5"/>
        <v>0.95463203463203483</v>
      </c>
      <c r="G20" s="1913">
        <f t="shared" si="5"/>
        <v>0.55720346320346326</v>
      </c>
      <c r="H20" s="691">
        <v>1366.0146702742711</v>
      </c>
      <c r="I20" s="691">
        <v>2.5364573160173164E-2</v>
      </c>
      <c r="J20" s="691">
        <v>1.4804896017316018E-2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199446.80629640003</v>
      </c>
      <c r="D24" s="3077" t="s">
        <v>1814</v>
      </c>
      <c r="E24" s="628"/>
      <c r="F24" s="628"/>
      <c r="G24" s="628"/>
      <c r="H24" s="1913">
        <f>IF(SUM(H25:H29)=0,"NO",SUM(H25:H29))</f>
        <v>12694.445554027559</v>
      </c>
      <c r="I24" s="1913">
        <f t="shared" ref="I24:K24" si="7">IF(SUM(I25:I30)=0,"NO",SUM(I25:I30))</f>
        <v>0.23704919780693068</v>
      </c>
      <c r="J24" s="1913">
        <f t="shared" si="7"/>
        <v>0.13673191024186576</v>
      </c>
      <c r="K24" s="3065" t="str">
        <f t="shared" si="7"/>
        <v>NO</v>
      </c>
    </row>
    <row r="25" spans="2:11" ht="18" customHeight="1" x14ac:dyDescent="0.2">
      <c r="B25" s="282" t="s">
        <v>132</v>
      </c>
      <c r="C25" s="691">
        <v>35031.740296400007</v>
      </c>
      <c r="D25" s="3077" t="s">
        <v>1814</v>
      </c>
      <c r="E25" s="1913">
        <f>IFERROR(H25*1000/$C25,"NA")</f>
        <v>72.89587921417494</v>
      </c>
      <c r="F25" s="1913">
        <f t="shared" ref="F25:G30" si="8">IFERROR(I25*1000000/$C25,"NA")</f>
        <v>1.7410737916656003</v>
      </c>
      <c r="G25" s="1913">
        <f t="shared" si="8"/>
        <v>0.71041877356575067</v>
      </c>
      <c r="H25" s="691">
        <v>2553.6695093087201</v>
      </c>
      <c r="I25" s="691">
        <v>6.0992844906497763E-2</v>
      </c>
      <c r="J25" s="691">
        <v>2.488720597724238E-2</v>
      </c>
      <c r="K25" s="3093" t="s">
        <v>2146</v>
      </c>
    </row>
    <row r="26" spans="2:11" ht="18" customHeight="1" x14ac:dyDescent="0.2">
      <c r="B26" s="282" t="s">
        <v>133</v>
      </c>
      <c r="C26" s="691">
        <v>44015.066000000006</v>
      </c>
      <c r="D26" s="3077" t="s">
        <v>1814</v>
      </c>
      <c r="E26" s="1913">
        <f t="shared" ref="E26:E30" si="9">IFERROR(H26*1000/$C26,"NA")</f>
        <v>92.446265759357047</v>
      </c>
      <c r="F26" s="1913">
        <f t="shared" si="8"/>
        <v>0.95238095238095211</v>
      </c>
      <c r="G26" s="1913">
        <f t="shared" si="8"/>
        <v>0.70609523809523811</v>
      </c>
      <c r="H26" s="691">
        <v>4069.0284888516408</v>
      </c>
      <c r="I26" s="691">
        <v>4.1919110476190471E-2</v>
      </c>
      <c r="J26" s="691">
        <v>3.1078828507047622E-2</v>
      </c>
      <c r="K26" s="3093" t="s">
        <v>2146</v>
      </c>
    </row>
    <row r="27" spans="2:11" ht="18" customHeight="1" x14ac:dyDescent="0.2">
      <c r="B27" s="282" t="s">
        <v>134</v>
      </c>
      <c r="C27" s="691">
        <v>118100</v>
      </c>
      <c r="D27" s="3077" t="s">
        <v>1814</v>
      </c>
      <c r="E27" s="1913">
        <f t="shared" si="9"/>
        <v>51.411918339265014</v>
      </c>
      <c r="F27" s="1913">
        <f t="shared" si="8"/>
        <v>0.95727272727272728</v>
      </c>
      <c r="G27" s="1913">
        <f t="shared" si="8"/>
        <v>0.57027272727272726</v>
      </c>
      <c r="H27" s="691">
        <v>6071.7475558671977</v>
      </c>
      <c r="I27" s="691">
        <v>0.11305390909090909</v>
      </c>
      <c r="J27" s="691">
        <v>6.7349209090909093E-2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2300.0000000000005</v>
      </c>
      <c r="D30" s="3077" t="s">
        <v>1814</v>
      </c>
      <c r="E30" s="1913">
        <f t="shared" si="9"/>
        <v>94</v>
      </c>
      <c r="F30" s="1913">
        <f t="shared" si="8"/>
        <v>9.1666666666666679</v>
      </c>
      <c r="G30" s="1913">
        <f t="shared" si="8"/>
        <v>5.8333333333333339</v>
      </c>
      <c r="H30" s="691">
        <v>216.20000000000005</v>
      </c>
      <c r="I30" s="691">
        <v>2.1083333333333339E-2</v>
      </c>
      <c r="J30" s="691">
        <v>1.3416666666666672E-2</v>
      </c>
      <c r="K30" s="3093" t="s">
        <v>2146</v>
      </c>
    </row>
    <row r="31" spans="2:11" ht="18" customHeight="1" x14ac:dyDescent="0.2">
      <c r="B31" s="1241" t="s">
        <v>153</v>
      </c>
      <c r="C31" s="1913">
        <f>IF(SUM(C32:C37)=0,"NO",SUM(C32:C37))</f>
        <v>103077.24877150501</v>
      </c>
      <c r="D31" s="3077" t="s">
        <v>1814</v>
      </c>
      <c r="E31" s="628"/>
      <c r="F31" s="628"/>
      <c r="G31" s="628"/>
      <c r="H31" s="1913">
        <f>IF(SUM(H32:H36)=0,"NO",SUM(H32:H36))</f>
        <v>6133.8156487592005</v>
      </c>
      <c r="I31" s="1913">
        <f t="shared" ref="I31:K31" si="10">IF(SUM(I32:I37)=0,"NO",SUM(I32:I37))</f>
        <v>0.23017969168308278</v>
      </c>
      <c r="J31" s="1913">
        <f t="shared" si="10"/>
        <v>6.9765992681504657E-2</v>
      </c>
      <c r="K31" s="3065" t="str">
        <f t="shared" si="10"/>
        <v>NO</v>
      </c>
    </row>
    <row r="32" spans="2:11" ht="18" customHeight="1" x14ac:dyDescent="0.2">
      <c r="B32" s="282" t="s">
        <v>132</v>
      </c>
      <c r="C32" s="691">
        <v>41105.047642714548</v>
      </c>
      <c r="D32" s="3077" t="s">
        <v>1814</v>
      </c>
      <c r="E32" s="1913">
        <f>IFERROR(H32*1000/$C32,"NA")</f>
        <v>66.600663325400319</v>
      </c>
      <c r="F32" s="1913">
        <f t="shared" ref="F32:G37" si="11">IFERROR(I32*1000000/$C32,"NA")</f>
        <v>4.1554283395899878</v>
      </c>
      <c r="G32" s="1913">
        <f t="shared" si="11"/>
        <v>0.96380434970919604</v>
      </c>
      <c r="H32" s="691">
        <v>2737.6234390269719</v>
      </c>
      <c r="I32" s="691">
        <v>0.17080907987473265</v>
      </c>
      <c r="J32" s="691">
        <v>3.9617223713052013E-2</v>
      </c>
      <c r="K32" s="3093" t="s">
        <v>2146</v>
      </c>
    </row>
    <row r="33" spans="2:11" ht="18" customHeight="1" x14ac:dyDescent="0.2">
      <c r="B33" s="282" t="s">
        <v>133</v>
      </c>
      <c r="C33" s="691">
        <v>5581.8273255813965</v>
      </c>
      <c r="D33" s="3077" t="s">
        <v>1814</v>
      </c>
      <c r="E33" s="1913">
        <f t="shared" ref="E33:E37" si="12">IFERROR(H33*1000/$C33,"NA")</f>
        <v>89.048780560269719</v>
      </c>
      <c r="F33" s="1913">
        <f t="shared" si="11"/>
        <v>0.95238095238095222</v>
      </c>
      <c r="G33" s="1913">
        <f t="shared" si="11"/>
        <v>0.66666666666666652</v>
      </c>
      <c r="H33" s="691">
        <v>497.05491664101498</v>
      </c>
      <c r="I33" s="691">
        <v>5.3160260243632334E-3</v>
      </c>
      <c r="J33" s="691">
        <v>3.7212182170542635E-3</v>
      </c>
      <c r="K33" s="3093" t="s">
        <v>2146</v>
      </c>
    </row>
    <row r="34" spans="2:11" ht="18" customHeight="1" x14ac:dyDescent="0.2">
      <c r="B34" s="282" t="s">
        <v>134</v>
      </c>
      <c r="C34" s="691">
        <v>56390.373803209062</v>
      </c>
      <c r="D34" s="3077" t="s">
        <v>1814</v>
      </c>
      <c r="E34" s="1913">
        <f t="shared" si="12"/>
        <v>51.411918339265007</v>
      </c>
      <c r="F34" s="1913">
        <f t="shared" si="11"/>
        <v>0.95857824905765665</v>
      </c>
      <c r="G34" s="1913">
        <f t="shared" si="11"/>
        <v>0.46865358338685903</v>
      </c>
      <c r="H34" s="691">
        <v>2899.137293091213</v>
      </c>
      <c r="I34" s="691">
        <v>5.4054585783986892E-2</v>
      </c>
      <c r="J34" s="691">
        <v>2.6427550751398389E-2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42600</v>
      </c>
      <c r="D38" s="3077" t="s">
        <v>1814</v>
      </c>
      <c r="E38" s="628"/>
      <c r="F38" s="628"/>
      <c r="G38" s="628"/>
      <c r="H38" s="1913">
        <f>IF(SUM(H39:H43)=0,"NO",SUM(H39:H43))</f>
        <v>1463.6228729442555</v>
      </c>
      <c r="I38" s="1913">
        <f t="shared" ref="I38:K38" si="13">IF(SUM(I39:I44)=0,"NO",SUM(I39:I44))</f>
        <v>0.18758557142857141</v>
      </c>
      <c r="J38" s="1913">
        <f t="shared" si="13"/>
        <v>0.12487593809523811</v>
      </c>
      <c r="K38" s="3065" t="str">
        <f t="shared" si="13"/>
        <v>NO</v>
      </c>
    </row>
    <row r="39" spans="2:11" ht="18" customHeight="1" x14ac:dyDescent="0.2">
      <c r="B39" s="282" t="s">
        <v>132</v>
      </c>
      <c r="C39" s="691">
        <v>1900</v>
      </c>
      <c r="D39" s="3077" t="s">
        <v>1814</v>
      </c>
      <c r="E39" s="1913">
        <f>IFERROR(H39*1000/$C39,"NA")</f>
        <v>70.115789473684217</v>
      </c>
      <c r="F39" s="1913">
        <f t="shared" ref="F39:G44" si="14">IFERROR(I39*1000000/$C39,"NA")</f>
        <v>1.3223558897243111</v>
      </c>
      <c r="G39" s="1913">
        <f t="shared" si="14"/>
        <v>0.78023057644110283</v>
      </c>
      <c r="H39" s="691">
        <v>133.22</v>
      </c>
      <c r="I39" s="691">
        <v>2.5124761904761908E-3</v>
      </c>
      <c r="J39" s="691">
        <v>1.4824380952380954E-3</v>
      </c>
      <c r="K39" s="3093" t="s">
        <v>2146</v>
      </c>
    </row>
    <row r="40" spans="2:11" ht="18" customHeight="1" x14ac:dyDescent="0.2">
      <c r="B40" s="282" t="s">
        <v>133</v>
      </c>
      <c r="C40" s="691">
        <v>4100</v>
      </c>
      <c r="D40" s="3077" t="s">
        <v>1814</v>
      </c>
      <c r="E40" s="1913">
        <f t="shared" ref="E40:E44" si="15">IFERROR(H40*1000/$C40,"NA")</f>
        <v>90</v>
      </c>
      <c r="F40" s="1913">
        <f t="shared" si="14"/>
        <v>0.95238095238095222</v>
      </c>
      <c r="G40" s="1913">
        <f t="shared" si="14"/>
        <v>0.66666666666666674</v>
      </c>
      <c r="H40" s="691">
        <v>369</v>
      </c>
      <c r="I40" s="691">
        <v>3.9047619047619039E-3</v>
      </c>
      <c r="J40" s="691">
        <v>2.7333333333333333E-3</v>
      </c>
      <c r="K40" s="3093" t="s">
        <v>2146</v>
      </c>
    </row>
    <row r="41" spans="2:11" ht="18" customHeight="1" x14ac:dyDescent="0.2">
      <c r="B41" s="282" t="s">
        <v>134</v>
      </c>
      <c r="C41" s="691">
        <v>18699.999999999996</v>
      </c>
      <c r="D41" s="3077" t="s">
        <v>1814</v>
      </c>
      <c r="E41" s="1913">
        <f t="shared" si="15"/>
        <v>51.411918339265</v>
      </c>
      <c r="F41" s="1913">
        <f t="shared" si="14"/>
        <v>0.91363636363636358</v>
      </c>
      <c r="G41" s="1913">
        <f t="shared" si="14"/>
        <v>0.86863636363636354</v>
      </c>
      <c r="H41" s="691">
        <v>961.40287294425536</v>
      </c>
      <c r="I41" s="691">
        <v>1.7084999999999996E-2</v>
      </c>
      <c r="J41" s="691">
        <v>1.6243499999999994E-2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17900</v>
      </c>
      <c r="D44" s="3076" t="s">
        <v>1814</v>
      </c>
      <c r="E44" s="1913">
        <f t="shared" si="15"/>
        <v>94</v>
      </c>
      <c r="F44" s="1913">
        <f t="shared" si="14"/>
        <v>9.1666666666666679</v>
      </c>
      <c r="G44" s="1913">
        <f t="shared" si="14"/>
        <v>5.8333333333333348</v>
      </c>
      <c r="H44" s="691">
        <v>1682.6</v>
      </c>
      <c r="I44" s="691">
        <v>0.16408333333333333</v>
      </c>
      <c r="J44" s="691">
        <v>0.10441666666666669</v>
      </c>
      <c r="K44" s="3093" t="s">
        <v>2146</v>
      </c>
    </row>
    <row r="45" spans="2:11" ht="18" customHeight="1" x14ac:dyDescent="0.2">
      <c r="B45" s="1241" t="s">
        <v>155</v>
      </c>
      <c r="C45" s="1913">
        <f>IF(SUM(C46:C51)=0,"NO",SUM(C46:C51))</f>
        <v>124429.20565731889</v>
      </c>
      <c r="D45" s="3076" t="s">
        <v>1814</v>
      </c>
      <c r="E45" s="628"/>
      <c r="F45" s="628"/>
      <c r="G45" s="628"/>
      <c r="H45" s="1913">
        <f>IF(SUM(H46:H50)=0,"NO",SUM(H46:H50))</f>
        <v>2489.6015910083179</v>
      </c>
      <c r="I45" s="1913">
        <f t="shared" ref="I45:K45" si="16">IF(SUM(I46:I51)=0,"NO",SUM(I46:I51))</f>
        <v>0.8067537476825406</v>
      </c>
      <c r="J45" s="1913">
        <f t="shared" si="16"/>
        <v>0.52461202868475487</v>
      </c>
      <c r="K45" s="3065" t="str">
        <f t="shared" si="16"/>
        <v>NO</v>
      </c>
    </row>
    <row r="46" spans="2:11" ht="18" customHeight="1" x14ac:dyDescent="0.2">
      <c r="B46" s="282" t="s">
        <v>132</v>
      </c>
      <c r="C46" s="691">
        <v>2500.0000000000005</v>
      </c>
      <c r="D46" s="3076" t="s">
        <v>1814</v>
      </c>
      <c r="E46" s="1913">
        <f>IFERROR(H46*1000/$C46,"NA")</f>
        <v>67.98</v>
      </c>
      <c r="F46" s="1913">
        <f t="shared" ref="F46:G51" si="17">IFERROR(I46*1000000/$C46,"NA")</f>
        <v>2.2509960784313714</v>
      </c>
      <c r="G46" s="1913">
        <f t="shared" si="17"/>
        <v>2.3373112605042015</v>
      </c>
      <c r="H46" s="691">
        <v>169.95000000000005</v>
      </c>
      <c r="I46" s="691">
        <v>5.6274901960784302E-3</v>
      </c>
      <c r="J46" s="691">
        <v>5.8432781512605045E-3</v>
      </c>
      <c r="K46" s="3093" t="s">
        <v>2146</v>
      </c>
    </row>
    <row r="47" spans="2:11" ht="18" customHeight="1" x14ac:dyDescent="0.2">
      <c r="B47" s="282" t="s">
        <v>133</v>
      </c>
      <c r="C47" s="691">
        <v>8900</v>
      </c>
      <c r="D47" s="3076" t="s">
        <v>1814</v>
      </c>
      <c r="E47" s="1913">
        <f t="shared" ref="E47:E51" si="18">IFERROR(H47*1000/$C47,"NA")</f>
        <v>90.224719101123597</v>
      </c>
      <c r="F47" s="1913">
        <f t="shared" si="17"/>
        <v>0.95238095238095233</v>
      </c>
      <c r="G47" s="1913">
        <f t="shared" si="17"/>
        <v>0.67523809523809519</v>
      </c>
      <c r="H47" s="691">
        <v>803</v>
      </c>
      <c r="I47" s="691">
        <v>8.4761904761904757E-3</v>
      </c>
      <c r="J47" s="691">
        <v>6.0096190476190466E-3</v>
      </c>
      <c r="K47" s="3093" t="s">
        <v>2146</v>
      </c>
    </row>
    <row r="48" spans="2:11" ht="18" customHeight="1" x14ac:dyDescent="0.2">
      <c r="B48" s="282" t="s">
        <v>134</v>
      </c>
      <c r="C48" s="691">
        <v>29499.999999999996</v>
      </c>
      <c r="D48" s="3076" t="s">
        <v>1814</v>
      </c>
      <c r="E48" s="1913">
        <f t="shared" si="18"/>
        <v>51.411918339265014</v>
      </c>
      <c r="F48" s="1913">
        <f t="shared" si="17"/>
        <v>0.91409090909090929</v>
      </c>
      <c r="G48" s="1913">
        <f t="shared" si="17"/>
        <v>0.86459090909090908</v>
      </c>
      <c r="H48" s="691">
        <v>1516.6515910083176</v>
      </c>
      <c r="I48" s="691">
        <v>2.6965681818181819E-2</v>
      </c>
      <c r="J48" s="691">
        <v>2.5505431818181816E-2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83529.205657318889</v>
      </c>
      <c r="D51" s="3076" t="s">
        <v>1814</v>
      </c>
      <c r="E51" s="1913">
        <f t="shared" si="18"/>
        <v>94.944929441579148</v>
      </c>
      <c r="F51" s="1913">
        <f t="shared" si="17"/>
        <v>9.1666666666666679</v>
      </c>
      <c r="G51" s="1913">
        <f t="shared" si="17"/>
        <v>5.833333333333333</v>
      </c>
      <c r="H51" s="691">
        <v>7930.6745374452958</v>
      </c>
      <c r="I51" s="691">
        <v>0.76568438519208992</v>
      </c>
      <c r="J51" s="691">
        <v>0.48725369966769355</v>
      </c>
      <c r="K51" s="3093" t="s">
        <v>2146</v>
      </c>
    </row>
    <row r="52" spans="2:11" ht="18" customHeight="1" x14ac:dyDescent="0.2">
      <c r="B52" s="1241" t="s">
        <v>156</v>
      </c>
      <c r="C52" s="3094">
        <f>IF(SUM(C53:C58)=0,"NO",SUM(C53:C58))</f>
        <v>86478.889825581398</v>
      </c>
      <c r="D52" s="3076" t="s">
        <v>1814</v>
      </c>
      <c r="E52" s="628"/>
      <c r="F52" s="628"/>
      <c r="G52" s="628"/>
      <c r="H52" s="1913">
        <f>IF(SUM(H53:H57)=0,"NO",SUM(H53:H57))</f>
        <v>5478.0536556278585</v>
      </c>
      <c r="I52" s="1913">
        <f t="shared" ref="I52:K52" si="19">IF(SUM(I53:I58)=0,"NO",SUM(I53:I58))</f>
        <v>0.16873134288710515</v>
      </c>
      <c r="J52" s="1913">
        <f t="shared" si="19"/>
        <v>4.3542659002004637E-2</v>
      </c>
      <c r="K52" s="3065" t="str">
        <f t="shared" si="19"/>
        <v>NO</v>
      </c>
    </row>
    <row r="53" spans="2:11" ht="18" customHeight="1" x14ac:dyDescent="0.2">
      <c r="B53" s="282" t="s">
        <v>132</v>
      </c>
      <c r="C53" s="2147">
        <v>5600.0000000000018</v>
      </c>
      <c r="D53" s="3076" t="s">
        <v>1814</v>
      </c>
      <c r="E53" s="1913">
        <f>IFERROR(H53*1000/$C53,"NA")</f>
        <v>66.221428571428561</v>
      </c>
      <c r="F53" s="1913">
        <f t="shared" ref="F53:G58" si="20">IFERROR(I53*1000000/$C53,"NA")</f>
        <v>14.449672770016521</v>
      </c>
      <c r="G53" s="1913">
        <f t="shared" si="20"/>
        <v>1.707680542076772</v>
      </c>
      <c r="H53" s="691">
        <v>370.84000000000003</v>
      </c>
      <c r="I53" s="691">
        <v>8.0918167512092548E-2</v>
      </c>
      <c r="J53" s="691">
        <v>9.5630110356299258E-3</v>
      </c>
      <c r="K53" s="3093" t="s">
        <v>2146</v>
      </c>
    </row>
    <row r="54" spans="2:11" ht="18" customHeight="1" x14ac:dyDescent="0.2">
      <c r="B54" s="282" t="s">
        <v>133</v>
      </c>
      <c r="C54" s="691">
        <v>26363.989825581408</v>
      </c>
      <c r="D54" s="3076" t="s">
        <v>1814</v>
      </c>
      <c r="E54" s="1913">
        <f t="shared" ref="E54:E58" si="21">IFERROR(H54*1000/$C54,"NA")</f>
        <v>89.389961082084014</v>
      </c>
      <c r="F54" s="1913">
        <f t="shared" si="20"/>
        <v>0.952380952380952</v>
      </c>
      <c r="G54" s="1913">
        <f t="shared" si="20"/>
        <v>0.82808157924668835</v>
      </c>
      <c r="H54" s="691">
        <v>2356.6760244771808</v>
      </c>
      <c r="I54" s="691">
        <v>2.5108561738648949E-2</v>
      </c>
      <c r="J54" s="691">
        <v>2.1831534330011077E-2</v>
      </c>
      <c r="K54" s="3093" t="s">
        <v>2146</v>
      </c>
    </row>
    <row r="55" spans="2:11" ht="18" customHeight="1" x14ac:dyDescent="0.2">
      <c r="B55" s="282" t="s">
        <v>134</v>
      </c>
      <c r="C55" s="691">
        <v>53499.999999999993</v>
      </c>
      <c r="D55" s="3076" t="s">
        <v>1814</v>
      </c>
      <c r="E55" s="1913">
        <f t="shared" si="21"/>
        <v>51.411918339265007</v>
      </c>
      <c r="F55" s="1913">
        <f t="shared" si="20"/>
        <v>0.99815632965165679</v>
      </c>
      <c r="G55" s="1913">
        <f t="shared" si="20"/>
        <v>0.11640866610025488</v>
      </c>
      <c r="H55" s="691">
        <v>2750.5376311506775</v>
      </c>
      <c r="I55" s="691">
        <v>5.3401363636363636E-2</v>
      </c>
      <c r="J55" s="691">
        <v>6.2278636363636355E-3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1014.8999999999999</v>
      </c>
      <c r="D58" s="3076" t="s">
        <v>1814</v>
      </c>
      <c r="E58" s="3095">
        <f t="shared" si="21"/>
        <v>94.000000000000014</v>
      </c>
      <c r="F58" s="3095">
        <f t="shared" si="20"/>
        <v>9.1666666666666696</v>
      </c>
      <c r="G58" s="3095">
        <f t="shared" si="20"/>
        <v>5.8333333333333348</v>
      </c>
      <c r="H58" s="2190">
        <v>95.400600000000011</v>
      </c>
      <c r="I58" s="691">
        <v>9.3032500000000025E-3</v>
      </c>
      <c r="J58" s="691">
        <v>5.920250000000001E-3</v>
      </c>
      <c r="K58" s="3093" t="s">
        <v>2146</v>
      </c>
    </row>
    <row r="59" spans="2:11" ht="18" customHeight="1" x14ac:dyDescent="0.2">
      <c r="B59" s="1241" t="s">
        <v>157</v>
      </c>
      <c r="C59" s="3094">
        <f>IF(SUM(C61,C68,C75,C82,C89,C96,C103,C112)=0,"NO",SUM(C61,C68,C75,C82,C89,C96,C103,C112))</f>
        <v>114645.36461126004</v>
      </c>
      <c r="D59" s="3076" t="s">
        <v>1814</v>
      </c>
      <c r="E59" s="1914"/>
      <c r="F59" s="1914"/>
      <c r="G59" s="1914"/>
      <c r="H59" s="1913">
        <f>IF(SUM(H61,H68,H75,H82,H89,H96,H103,H112)=0,"NO",SUM(H61,H68,H75,H82,H89,H96,H103,H112))</f>
        <v>7688.8344430620491</v>
      </c>
      <c r="I59" s="1913">
        <f>IF(SUM(I61,I68,I75,I82,I89,I96,I103,I112)=0,"NO",SUM(I61,I68,I75,I82,I89,I96,I103,I112))</f>
        <v>0.38016565414183967</v>
      </c>
      <c r="J59" s="1913">
        <f>IF(SUM(J61,J68,J75,J82,J89,J96,J103,J112)=0,"NO",SUM(J61,J68,J75,J82,J89,J96,J103,J112))</f>
        <v>0.31394467927800723</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5900</v>
      </c>
      <c r="D61" s="3076" t="s">
        <v>1814</v>
      </c>
      <c r="E61" s="628"/>
      <c r="F61" s="628"/>
      <c r="G61" s="628"/>
      <c r="H61" s="1913">
        <f>IF(SUM(H62:H66)=0,"NO",SUM(H62:H66))</f>
        <v>311.33078353025149</v>
      </c>
      <c r="I61" s="1913">
        <f t="shared" ref="I61:K61" si="22">IF(SUM(I62:I67)=0,"NO",SUM(I62:I67))</f>
        <v>3.8447761904761901E-2</v>
      </c>
      <c r="J61" s="1913">
        <f t="shared" si="22"/>
        <v>5.8510619047619037E-3</v>
      </c>
      <c r="K61" s="3065" t="str">
        <f t="shared" si="22"/>
        <v>NO</v>
      </c>
    </row>
    <row r="62" spans="2:11" ht="18" customHeight="1" x14ac:dyDescent="0.2">
      <c r="B62" s="158" t="s">
        <v>132</v>
      </c>
      <c r="C62" s="691">
        <v>800</v>
      </c>
      <c r="D62" s="3076" t="s">
        <v>1814</v>
      </c>
      <c r="E62" s="1913">
        <f>IFERROR(H62*1000/$C62,"NA")</f>
        <v>61.412500000000001</v>
      </c>
      <c r="F62" s="1913">
        <f t="shared" ref="F62:G67" si="23">IFERROR(I62*1000000/$C62,"NA")</f>
        <v>42.13095238095238</v>
      </c>
      <c r="G62" s="1913">
        <f t="shared" si="23"/>
        <v>2.1309523809523809</v>
      </c>
      <c r="H62" s="691">
        <v>49.13</v>
      </c>
      <c r="I62" s="691">
        <v>3.3704761904761904E-2</v>
      </c>
      <c r="J62" s="691">
        <v>1.7047619047619047E-3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5100</v>
      </c>
      <c r="D64" s="3076" t="s">
        <v>1814</v>
      </c>
      <c r="E64" s="1913">
        <f t="shared" si="24"/>
        <v>51.411918339264993</v>
      </c>
      <c r="F64" s="1913">
        <f t="shared" si="23"/>
        <v>0.93</v>
      </c>
      <c r="G64" s="1913">
        <f t="shared" si="23"/>
        <v>0.81299999999999983</v>
      </c>
      <c r="H64" s="691">
        <v>262.2007835302515</v>
      </c>
      <c r="I64" s="691">
        <v>4.7429999999999998E-3</v>
      </c>
      <c r="J64" s="691">
        <v>4.1462999999999995E-3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69841.075067024125</v>
      </c>
      <c r="D75" s="3077" t="s">
        <v>1814</v>
      </c>
      <c r="E75" s="628"/>
      <c r="F75" s="628"/>
      <c r="G75" s="628"/>
      <c r="H75" s="1913">
        <f>IF(SUM(H76:H80)=0,"NO",SUM(H76:H80))</f>
        <v>4850.6146245341743</v>
      </c>
      <c r="I75" s="1913">
        <f t="shared" ref="I75:K75" si="28">IF(SUM(I76:I81)=0,"NO",SUM(I76:I81))</f>
        <v>0.21682782254358987</v>
      </c>
      <c r="J75" s="1913">
        <f t="shared" si="28"/>
        <v>0.20454460559904988</v>
      </c>
      <c r="K75" s="3065" t="str">
        <f t="shared" si="28"/>
        <v>NO</v>
      </c>
    </row>
    <row r="76" spans="2:11" ht="18" customHeight="1" x14ac:dyDescent="0.2">
      <c r="B76" s="158" t="s">
        <v>132</v>
      </c>
      <c r="C76" s="691">
        <v>54011.075067024132</v>
      </c>
      <c r="D76" s="3077" t="s">
        <v>1814</v>
      </c>
      <c r="E76" s="1913">
        <f>IFERROR(H76*1000/$C76,"NA")</f>
        <v>69.936029924058374</v>
      </c>
      <c r="F76" s="1913">
        <f t="shared" ref="F76:G81" si="29">IFERROR(I76*1000000/$C76,"NA")</f>
        <v>3.5675497996226784</v>
      </c>
      <c r="G76" s="1913">
        <f t="shared" si="29"/>
        <v>3.5439625437338589</v>
      </c>
      <c r="H76" s="691">
        <v>3777.3201621179628</v>
      </c>
      <c r="I76" s="691">
        <v>0.19268720003276738</v>
      </c>
      <c r="J76" s="691">
        <v>0.19141322698433125</v>
      </c>
      <c r="K76" s="3093" t="s">
        <v>2146</v>
      </c>
    </row>
    <row r="77" spans="2:11" ht="18" customHeight="1" x14ac:dyDescent="0.2">
      <c r="B77" s="158" t="s">
        <v>133</v>
      </c>
      <c r="C77" s="691">
        <v>7930</v>
      </c>
      <c r="D77" s="3077" t="s">
        <v>1814</v>
      </c>
      <c r="E77" s="1913">
        <f t="shared" ref="E77:E81" si="30">IFERROR(H77*1000/$C77,"NA")</f>
        <v>84.128664254226791</v>
      </c>
      <c r="F77" s="1913">
        <f t="shared" si="29"/>
        <v>1.0762334932826736</v>
      </c>
      <c r="G77" s="1913">
        <f t="shared" si="29"/>
        <v>0.77444072867023683</v>
      </c>
      <c r="H77" s="691">
        <v>667.14030753601844</v>
      </c>
      <c r="I77" s="691">
        <v>8.5345316017316018E-3</v>
      </c>
      <c r="J77" s="691">
        <v>6.1413149783549779E-3</v>
      </c>
      <c r="K77" s="3093" t="s">
        <v>2146</v>
      </c>
    </row>
    <row r="78" spans="2:11" ht="18" customHeight="1" x14ac:dyDescent="0.2">
      <c r="B78" s="158" t="s">
        <v>134</v>
      </c>
      <c r="C78" s="691">
        <v>7900</v>
      </c>
      <c r="D78" s="3077" t="s">
        <v>1814</v>
      </c>
      <c r="E78" s="1913">
        <f t="shared" si="30"/>
        <v>51.411918339265</v>
      </c>
      <c r="F78" s="1913">
        <f t="shared" si="29"/>
        <v>1.9754545454545458</v>
      </c>
      <c r="G78" s="1913">
        <f t="shared" si="29"/>
        <v>0.88481818181818184</v>
      </c>
      <c r="H78" s="691">
        <v>406.15415488019352</v>
      </c>
      <c r="I78" s="691">
        <v>1.5606090909090911E-2</v>
      </c>
      <c r="J78" s="691">
        <v>6.9900636363636366E-3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28104.289544235922</v>
      </c>
      <c r="D89" s="3077" t="s">
        <v>1814</v>
      </c>
      <c r="E89" s="628"/>
      <c r="F89" s="628"/>
      <c r="G89" s="628"/>
      <c r="H89" s="1913">
        <f>IF(SUM(H90:H94)=0,"NO",SUM(H90:H94))</f>
        <v>1918.4841536120912</v>
      </c>
      <c r="I89" s="1913">
        <f t="shared" ref="I89:K89" si="36">IF(SUM(I90:I95)=0,"NO",SUM(I90:I95))</f>
        <v>9.6155978784397009E-2</v>
      </c>
      <c r="J89" s="1913">
        <f t="shared" si="36"/>
        <v>9.3460459826143469E-2</v>
      </c>
      <c r="K89" s="3065" t="str">
        <f t="shared" si="36"/>
        <v>NO</v>
      </c>
    </row>
    <row r="90" spans="2:11" ht="18" customHeight="1" x14ac:dyDescent="0.2">
      <c r="B90" s="158" t="s">
        <v>132</v>
      </c>
      <c r="C90" s="691">
        <v>25704.289544235922</v>
      </c>
      <c r="D90" s="3077" t="s">
        <v>1814</v>
      </c>
      <c r="E90" s="1913">
        <f>IFERROR(H90*1000/$C90,"NA")</f>
        <v>69.836419579252592</v>
      </c>
      <c r="F90" s="1913">
        <f t="shared" ref="F90:G95" si="37">IFERROR(I90*1000000/$C90,"NA")</f>
        <v>3.6559719124254935</v>
      </c>
      <c r="G90" s="1913">
        <f t="shared" si="37"/>
        <v>3.5511054093612997</v>
      </c>
      <c r="H90" s="691">
        <v>1795.0955495978551</v>
      </c>
      <c r="I90" s="691">
        <v>9.3974160602578821E-2</v>
      </c>
      <c r="J90" s="691">
        <v>9.1278641644325281E-2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2400.0000000000005</v>
      </c>
      <c r="D92" s="3077" t="s">
        <v>1814</v>
      </c>
      <c r="E92" s="1913">
        <f t="shared" si="38"/>
        <v>51.411918339264993</v>
      </c>
      <c r="F92" s="1913">
        <f t="shared" si="37"/>
        <v>0.90909090909090895</v>
      </c>
      <c r="G92" s="1913">
        <f t="shared" si="37"/>
        <v>0.90909090909090895</v>
      </c>
      <c r="H92" s="691">
        <v>123.38860401423599</v>
      </c>
      <c r="I92" s="691">
        <v>2.1818181818181819E-3</v>
      </c>
      <c r="J92" s="691">
        <v>2.1818181818181819E-3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8000</v>
      </c>
      <c r="D96" s="3076" t="s">
        <v>1814</v>
      </c>
      <c r="E96" s="628"/>
      <c r="F96" s="628"/>
      <c r="G96" s="628"/>
      <c r="H96" s="1913">
        <f>IF(SUM(H97:H101)=0,"NO",SUM(H97:H101))</f>
        <v>459.08746920522253</v>
      </c>
      <c r="I96" s="1913">
        <f t="shared" ref="I96:K96" si="42">IF(SUM(I97:I102)=0,"NO",SUM(I97:I102))</f>
        <v>7.5071861471861477E-3</v>
      </c>
      <c r="J96" s="1913">
        <f t="shared" si="42"/>
        <v>7.1911168831168834E-3</v>
      </c>
      <c r="K96" s="3065" t="str">
        <f t="shared" si="42"/>
        <v>NO</v>
      </c>
    </row>
    <row r="97" spans="2:11" ht="18" customHeight="1" x14ac:dyDescent="0.2">
      <c r="B97" s="158" t="s">
        <v>132</v>
      </c>
      <c r="C97" s="691">
        <v>500</v>
      </c>
      <c r="D97" s="3076" t="s">
        <v>1814</v>
      </c>
      <c r="E97" s="1913">
        <f>IFERROR(H97*1000/$C97,"NA")</f>
        <v>64.820000000000007</v>
      </c>
      <c r="F97" s="1913">
        <f t="shared" ref="F97:G102" si="43">IFERROR(I97*1000000/$C97,"NA")</f>
        <v>1.1968831168831171</v>
      </c>
      <c r="G97" s="1913">
        <f t="shared" si="43"/>
        <v>2.0721731601731599</v>
      </c>
      <c r="H97" s="691">
        <v>32.410000000000004</v>
      </c>
      <c r="I97" s="691">
        <v>5.9844155844155852E-4</v>
      </c>
      <c r="J97" s="691">
        <v>1.03608658008658E-3</v>
      </c>
      <c r="K97" s="3093" t="s">
        <v>2146</v>
      </c>
    </row>
    <row r="98" spans="2:11" ht="18" customHeight="1" x14ac:dyDescent="0.2">
      <c r="B98" s="158" t="s">
        <v>133</v>
      </c>
      <c r="C98" s="691">
        <v>1000</v>
      </c>
      <c r="D98" s="3076" t="s">
        <v>1814</v>
      </c>
      <c r="E98" s="1913">
        <f t="shared" ref="E98:E102" si="44">IFERROR(H98*1000/$C98,"NA")</f>
        <v>92.5</v>
      </c>
      <c r="F98" s="1913">
        <f t="shared" si="43"/>
        <v>0.95238095238095244</v>
      </c>
      <c r="G98" s="1913">
        <f t="shared" si="43"/>
        <v>0.66666666666666674</v>
      </c>
      <c r="H98" s="691">
        <v>92.5</v>
      </c>
      <c r="I98" s="691">
        <v>9.5238095238095238E-4</v>
      </c>
      <c r="J98" s="691">
        <v>6.6666666666666675E-4</v>
      </c>
      <c r="K98" s="3093" t="s">
        <v>2146</v>
      </c>
    </row>
    <row r="99" spans="2:11" ht="18" customHeight="1" x14ac:dyDescent="0.2">
      <c r="B99" s="158" t="s">
        <v>134</v>
      </c>
      <c r="C99" s="691">
        <v>6500</v>
      </c>
      <c r="D99" s="3076" t="s">
        <v>1814</v>
      </c>
      <c r="E99" s="1913">
        <f t="shared" si="44"/>
        <v>51.411918339265</v>
      </c>
      <c r="F99" s="1913">
        <f t="shared" si="43"/>
        <v>0.91636363636363649</v>
      </c>
      <c r="G99" s="1913">
        <f t="shared" si="43"/>
        <v>0.84436363636363643</v>
      </c>
      <c r="H99" s="691">
        <v>334.17746920522251</v>
      </c>
      <c r="I99" s="691">
        <v>5.9563636363636372E-3</v>
      </c>
      <c r="J99" s="691">
        <v>5.4883636363636367E-3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2800</v>
      </c>
      <c r="D112" s="3076" t="s">
        <v>1814</v>
      </c>
      <c r="E112" s="628"/>
      <c r="F112" s="628"/>
      <c r="G112" s="628"/>
      <c r="H112" s="1913">
        <f>H113</f>
        <v>149.31741218030947</v>
      </c>
      <c r="I112" s="1913">
        <f>I113</f>
        <v>2.1226904761904763E-2</v>
      </c>
      <c r="J112" s="1913">
        <f>J113</f>
        <v>2.8974350649350646E-3</v>
      </c>
      <c r="K112" s="3065" t="str">
        <f>K113</f>
        <v>NO</v>
      </c>
    </row>
    <row r="113" spans="2:11" ht="18" customHeight="1" x14ac:dyDescent="0.2">
      <c r="B113" s="3090" t="s">
        <v>2259</v>
      </c>
      <c r="C113" s="3099">
        <f>IF(SUM(C114:C119)=0,"NO",SUM(C114:C119))</f>
        <v>2800</v>
      </c>
      <c r="D113" s="3099" t="s">
        <v>1814</v>
      </c>
      <c r="E113" s="628"/>
      <c r="F113" s="628"/>
      <c r="G113" s="628"/>
      <c r="H113" s="3099">
        <f>IF(SUM(H114:H118)=0,"NO",SUM(H114:H118))</f>
        <v>149.31741218030947</v>
      </c>
      <c r="I113" s="3099">
        <f t="shared" ref="I113" si="51">IF(SUM(I114:I119)=0,"NO",SUM(I114:I119))</f>
        <v>2.1226904761904763E-2</v>
      </c>
      <c r="J113" s="3099">
        <f t="shared" ref="J113" si="52">IF(SUM(J114:J119)=0,"NO",SUM(J114:J119))</f>
        <v>2.8974350649350646E-3</v>
      </c>
      <c r="K113" s="3100" t="str">
        <f t="shared" ref="K113" si="53">IF(SUM(K114:K119)=0,"NO",SUM(K114:K119))</f>
        <v>NO</v>
      </c>
    </row>
    <row r="114" spans="2:11" ht="18" customHeight="1" x14ac:dyDescent="0.2">
      <c r="B114" s="158" t="s">
        <v>132</v>
      </c>
      <c r="C114" s="691">
        <v>500.00000000000011</v>
      </c>
      <c r="D114" s="3076" t="s">
        <v>1814</v>
      </c>
      <c r="E114" s="1913">
        <f>IFERROR(H114*1000/$C114,"NA")</f>
        <v>62.139999999999986</v>
      </c>
      <c r="F114" s="1913">
        <f t="shared" ref="F114:G119" si="54">IFERROR(I114*1000000/$C114,"NA")</f>
        <v>38.258354978354973</v>
      </c>
      <c r="G114" s="1913">
        <f t="shared" si="54"/>
        <v>1.6804155844155839</v>
      </c>
      <c r="H114" s="691">
        <v>31.07</v>
      </c>
      <c r="I114" s="691">
        <v>1.9129177489177491E-2</v>
      </c>
      <c r="J114" s="691">
        <v>8.4020779220779214E-4</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2300</v>
      </c>
      <c r="D116" s="3076" t="s">
        <v>1814</v>
      </c>
      <c r="E116" s="1913">
        <f t="shared" si="55"/>
        <v>51.411918339264986</v>
      </c>
      <c r="F116" s="1913">
        <f t="shared" si="54"/>
        <v>0.91205533596837918</v>
      </c>
      <c r="G116" s="1913">
        <f t="shared" si="54"/>
        <v>0.89444664031620524</v>
      </c>
      <c r="H116" s="691">
        <v>118.24741218030947</v>
      </c>
      <c r="I116" s="691">
        <v>2.0977272727272719E-3</v>
      </c>
      <c r="J116" s="691">
        <v>2.0572272727272722E-3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5334.1324504144341</v>
      </c>
      <c r="D10" s="4413">
        <f t="shared" ref="D10:F10" si="0">SUM(D11:D16)</f>
        <v>31439.435319591459</v>
      </c>
      <c r="E10" s="4413">
        <f t="shared" si="0"/>
        <v>2223.3814576077339</v>
      </c>
      <c r="F10" s="4413">
        <f t="shared" si="0"/>
        <v>3051.9719454360961</v>
      </c>
      <c r="G10" s="4414" t="s">
        <v>2146</v>
      </c>
      <c r="H10" s="4415" t="s">
        <v>2312</v>
      </c>
      <c r="I10" s="4416" t="s">
        <v>2313</v>
      </c>
    </row>
    <row r="11" spans="2:9" ht="18" customHeight="1" x14ac:dyDescent="0.2">
      <c r="B11" s="1558" t="s">
        <v>1476</v>
      </c>
      <c r="C11" s="4417">
        <f>Table1!D10</f>
        <v>1335.3140884653776</v>
      </c>
      <c r="D11" s="4418">
        <f>Table1!G10</f>
        <v>4425.9263089550941</v>
      </c>
      <c r="E11" s="4418">
        <f>Table1!H10</f>
        <v>759.2579386407723</v>
      </c>
      <c r="F11" s="4418">
        <f>Table1!F10</f>
        <v>1978.4559595682679</v>
      </c>
      <c r="G11" s="4419" t="s">
        <v>2146</v>
      </c>
      <c r="H11" s="4420" t="s">
        <v>2154</v>
      </c>
      <c r="I11" s="4421" t="s">
        <v>2154</v>
      </c>
    </row>
    <row r="12" spans="2:9" ht="18" customHeight="1" x14ac:dyDescent="0.2">
      <c r="B12" s="2393" t="s">
        <v>1551</v>
      </c>
      <c r="C12" s="4422">
        <f>'Table2(I)'!D10</f>
        <v>3.2138601525442039</v>
      </c>
      <c r="D12" s="4388">
        <f>'Table2(I)'!L10</f>
        <v>10.354885245209081</v>
      </c>
      <c r="E12" s="4388">
        <f>'Table2(I)'!M10</f>
        <v>228.38622600929426</v>
      </c>
      <c r="F12" s="4388">
        <f>'Table2(I)'!K10</f>
        <v>44.311222692476747</v>
      </c>
      <c r="G12" s="4423" t="s">
        <v>2146</v>
      </c>
      <c r="H12" s="4424" t="s">
        <v>2146</v>
      </c>
      <c r="I12" s="4425" t="s">
        <v>2146</v>
      </c>
    </row>
    <row r="13" spans="2:9" ht="18" customHeight="1" x14ac:dyDescent="0.2">
      <c r="B13" s="2393" t="s">
        <v>1552</v>
      </c>
      <c r="C13" s="4422">
        <f>Table3!D10</f>
        <v>2613.1836634629763</v>
      </c>
      <c r="D13" s="4388">
        <f>Table3!G10</f>
        <v>554.6041122088559</v>
      </c>
      <c r="E13" s="4388">
        <f>Table3!H10</f>
        <v>32.351906545516592</v>
      </c>
      <c r="F13" s="4388">
        <f>Table3!F10</f>
        <v>34.146524240253598</v>
      </c>
      <c r="G13" s="4426"/>
      <c r="H13" s="4424" t="s">
        <v>2154</v>
      </c>
      <c r="I13" s="4425" t="s">
        <v>2153</v>
      </c>
    </row>
    <row r="14" spans="2:9" ht="18" customHeight="1" x14ac:dyDescent="0.2">
      <c r="B14" s="2393" t="s">
        <v>1553</v>
      </c>
      <c r="C14" s="4422">
        <f>Table4!D10</f>
        <v>714.72712296061309</v>
      </c>
      <c r="D14" s="4388">
        <f>Table4!G10</f>
        <v>26448.550013182299</v>
      </c>
      <c r="E14" s="4423">
        <f>Table4!H10</f>
        <v>802.50097589599955</v>
      </c>
      <c r="F14" s="4423">
        <f>Table4!F10</f>
        <v>995.05823893509785</v>
      </c>
      <c r="G14" s="4426"/>
      <c r="H14" s="4427" t="s">
        <v>2154</v>
      </c>
      <c r="I14" s="4425" t="s">
        <v>2154</v>
      </c>
    </row>
    <row r="15" spans="2:9" ht="18" customHeight="1" x14ac:dyDescent="0.2">
      <c r="B15" s="2393" t="s">
        <v>1554</v>
      </c>
      <c r="C15" s="4422">
        <f>Table5!D10</f>
        <v>667.69371537292272</v>
      </c>
      <c r="D15" s="4388" t="str">
        <f>Table5!G10</f>
        <v>NO</v>
      </c>
      <c r="E15" s="4423">
        <f>Table5!H10</f>
        <v>400.88441051615121</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2002</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407331.94338039454</v>
      </c>
      <c r="D10" s="4193">
        <f>SUM(D11,D22,D30,D41,D50,D56)</f>
        <v>407434.13570502802</v>
      </c>
      <c r="E10" s="3840">
        <f>IF(D10="NO",IF(C10="NO","NA",-C10),IF(C10="NO",D10,D10-C10))</f>
        <v>102.19232463347726</v>
      </c>
      <c r="F10" s="3838">
        <f>IF(E10="NA","NA",E10/C10*100)</f>
        <v>2.5088217679516245E-2</v>
      </c>
      <c r="G10" s="3841">
        <f>IF(E10="NA","NA",E10/Table8s2!$G$35*100)</f>
        <v>1.9913892868198738E-2</v>
      </c>
      <c r="H10" s="3842">
        <f>IF(E10="NA","NA",E10/Table8s2!$G$34*100)</f>
        <v>1.7543007011624631E-2</v>
      </c>
      <c r="I10" s="4194">
        <f>SUM(I11,I22,I30,I41,I50,I56)</f>
        <v>153187.22811921607</v>
      </c>
      <c r="J10" s="4193">
        <f>SUM(J11,J22,J30,J41,J50,J56)</f>
        <v>149355.70861160418</v>
      </c>
      <c r="K10" s="3840">
        <f t="shared" ref="K10:K12" si="0">IF(J10="NO",IF(I10="NO","NA",-I10),IF(I10="NO",J10,J10-I10))</f>
        <v>-3831.519507611898</v>
      </c>
      <c r="L10" s="3838">
        <f t="shared" ref="L10:L12" si="1">IF(K10="NA","NA",K10/I10*100)</f>
        <v>-2.5012003641909786</v>
      </c>
      <c r="M10" s="3841">
        <f>IF(K10="NA","NA",K10/Table8s2!$G$35*100)</f>
        <v>-0.74663600491187565</v>
      </c>
      <c r="N10" s="3842">
        <f>IF(K10="NA","NA",K10/Table8s2!$G$34*100)</f>
        <v>-0.6577438553070416</v>
      </c>
      <c r="O10" s="4194">
        <f>SUM(O11,O22,O30,O41,O50,O56)</f>
        <v>22147.656639469667</v>
      </c>
      <c r="P10" s="4193">
        <f>SUM(P11,P22,P30,P41,P50,P56)</f>
        <v>22009.008498506199</v>
      </c>
      <c r="Q10" s="3840">
        <f t="shared" ref="Q10:Q12" si="2">IF(P10="NO",IF(O10="NO","NA",-O10),IF(O10="NO",P10,P10-O10))</f>
        <v>-138.6481409634689</v>
      </c>
      <c r="R10" s="3838">
        <f t="shared" ref="R10:R12" si="3">IF(Q10="NA","NA",Q10/O10*100)</f>
        <v>-0.62601720453071319</v>
      </c>
      <c r="S10" s="3841">
        <f>IF(Q10="NA","NA",Q10/Table8s2!$G$35*100)</f>
        <v>-2.7017921702281643E-2</v>
      </c>
      <c r="T10" s="3842">
        <f>IF(Q10="NA","NA",Q10/Table8s2!$G$34*100)</f>
        <v>-2.3801252371883658E-2</v>
      </c>
    </row>
    <row r="11" spans="2:20" ht="18" customHeight="1" x14ac:dyDescent="0.2">
      <c r="B11" s="1405" t="s">
        <v>1476</v>
      </c>
      <c r="C11" s="3839">
        <f>SUM(C12,C18,C21)</f>
        <v>338371.67891105486</v>
      </c>
      <c r="D11" s="3839">
        <f>Summary2!C11</f>
        <v>339322.03834284138</v>
      </c>
      <c r="E11" s="3843">
        <f t="shared" ref="E11:E38" si="4">IF(D11="NO",IF(C11="NO","NA",-C11),IF(C11="NO",D11,D11-C11))</f>
        <v>950.35943178652087</v>
      </c>
      <c r="F11" s="3839">
        <f t="shared" ref="F11:F38" si="5">IF(E11="NA","NA",E11/C11*100)</f>
        <v>0.28086258130259611</v>
      </c>
      <c r="G11" s="3844">
        <f>IF(E11="NA","NA",E11/Table8s2!$G$35*100)</f>
        <v>0.18519351603710588</v>
      </c>
      <c r="H11" s="3845">
        <f>IF(E11="NA","NA",E11/Table8s2!$G$34*100)</f>
        <v>0.16314495472327176</v>
      </c>
      <c r="I11" s="3846">
        <f>SUM(I12,I18,I21)</f>
        <v>37387.058376113819</v>
      </c>
      <c r="J11" s="3839">
        <f>Summary2!D11</f>
        <v>37388.794477030577</v>
      </c>
      <c r="K11" s="3843">
        <f t="shared" si="0"/>
        <v>1.736100916758005</v>
      </c>
      <c r="L11" s="3839">
        <f t="shared" si="1"/>
        <v>4.6435878942195164E-3</v>
      </c>
      <c r="M11" s="3844">
        <f>IF(K11="NA","NA",K11/Table8s2!$G$35*100)</f>
        <v>3.3830845700690601E-4</v>
      </c>
      <c r="N11" s="3845">
        <f>IF(K11="NA","NA",K11/Table8s2!$G$34*100)</f>
        <v>2.9803050928539491E-4</v>
      </c>
      <c r="O11" s="3846">
        <f>SUM(O12,O18,O21)</f>
        <v>3015.667946793179</v>
      </c>
      <c r="P11" s="3839">
        <f>Summary2!E11</f>
        <v>3016.9953671179514</v>
      </c>
      <c r="Q11" s="3843">
        <f t="shared" si="2"/>
        <v>1.3274203247724472</v>
      </c>
      <c r="R11" s="3839">
        <f t="shared" si="3"/>
        <v>4.4017456437271486E-2</v>
      </c>
      <c r="S11" s="3844">
        <f>IF(Q11="NA","NA",Q11/Table8s2!$G$35*100)</f>
        <v>2.5867017149670081E-4</v>
      </c>
      <c r="T11" s="3845">
        <f>IF(Q11="NA","NA",Q11/Table8s2!$G$34*100)</f>
        <v>2.2787370918879657E-4</v>
      </c>
    </row>
    <row r="12" spans="2:20" ht="18" customHeight="1" x14ac:dyDescent="0.2">
      <c r="B12" s="620" t="s">
        <v>131</v>
      </c>
      <c r="C12" s="3839">
        <f>SUM(C13:C17)</f>
        <v>330364.18332895095</v>
      </c>
      <c r="D12" s="3839">
        <f>Summary2!C12</f>
        <v>331314.54276073747</v>
      </c>
      <c r="E12" s="3839">
        <f t="shared" si="4"/>
        <v>950.35943178652087</v>
      </c>
      <c r="F12" s="3847">
        <f t="shared" si="5"/>
        <v>0.2876702377994248</v>
      </c>
      <c r="G12" s="3844">
        <f>IF(E12="NA","NA",E12/Table8s2!$G$35*100)</f>
        <v>0.18519351603710588</v>
      </c>
      <c r="H12" s="3845">
        <f>IF(E12="NA","NA",E12/Table8s2!$G$34*100)</f>
        <v>0.16314495472327176</v>
      </c>
      <c r="I12" s="3846">
        <f>SUM(I13:I17)</f>
        <v>2704.5727943571683</v>
      </c>
      <c r="J12" s="3839">
        <f>Summary2!D12</f>
        <v>2706.0061291109278</v>
      </c>
      <c r="K12" s="3839">
        <f t="shared" si="0"/>
        <v>1.4333347537594818</v>
      </c>
      <c r="L12" s="3847">
        <f t="shared" si="1"/>
        <v>5.2996715664300011E-2</v>
      </c>
      <c r="M12" s="3844">
        <f>IF(K12="NA","NA",K12/Table8s2!$G$35*100)</f>
        <v>2.7930937898717518E-4</v>
      </c>
      <c r="N12" s="3845">
        <f>IF(K12="NA","NA",K12/Table8s2!$G$34*100)</f>
        <v>2.4605567713028214E-4</v>
      </c>
      <c r="O12" s="3848">
        <f>SUM(O13:O17)</f>
        <v>2989.4475686066066</v>
      </c>
      <c r="P12" s="3847">
        <f>Summary2!E12</f>
        <v>2990.7749889313795</v>
      </c>
      <c r="Q12" s="3839">
        <f t="shared" si="2"/>
        <v>1.3274203247729019</v>
      </c>
      <c r="R12" s="3847">
        <f t="shared" si="3"/>
        <v>4.4403532569451211E-2</v>
      </c>
      <c r="S12" s="3844">
        <f>IF(Q12="NA","NA",Q12/Table8s2!$G$35*100)</f>
        <v>2.5867017149678944E-4</v>
      </c>
      <c r="T12" s="3845">
        <f>IF(Q12="NA","NA",Q12/Table8s2!$G$34*100)</f>
        <v>2.2787370918887461E-4</v>
      </c>
    </row>
    <row r="13" spans="2:20" ht="18" customHeight="1" x14ac:dyDescent="0.2">
      <c r="B13" s="1392" t="s">
        <v>1478</v>
      </c>
      <c r="C13" s="3847">
        <v>200450.98866330663</v>
      </c>
      <c r="D13" s="3839">
        <f>Summary2!C13</f>
        <v>201393.4683450931</v>
      </c>
      <c r="E13" s="3839">
        <f t="shared" si="4"/>
        <v>942.47968178646988</v>
      </c>
      <c r="F13" s="3847">
        <f t="shared" si="5"/>
        <v>0.47017961251841639</v>
      </c>
      <c r="G13" s="3844">
        <f>IF(E13="NA","NA",E13/Table8s2!$G$35*100)</f>
        <v>0.18365801424778852</v>
      </c>
      <c r="H13" s="3845">
        <f>IF(E13="NA","NA",E13/Table8s2!$G$34*100)</f>
        <v>0.16179226497874805</v>
      </c>
      <c r="I13" s="3846">
        <v>361.64513199503057</v>
      </c>
      <c r="J13" s="3839">
        <f>Summary2!D13</f>
        <v>363.08498266169715</v>
      </c>
      <c r="K13" s="3839">
        <f t="shared" ref="K13" si="6">IF(J13="NO",IF(I13="NO","NA",-I13),IF(I13="NO",J13,J13-I13))</f>
        <v>1.4398506666665867</v>
      </c>
      <c r="L13" s="3847">
        <f t="shared" ref="L13" si="7">IF(K13="NA","NA",K13/I13*100)</f>
        <v>0.39813909804995579</v>
      </c>
      <c r="M13" s="3844">
        <f>IF(K13="NA","NA",K13/Table8s2!$G$35*100)</f>
        <v>2.8057911418535159E-4</v>
      </c>
      <c r="N13" s="3845">
        <f>IF(K13="NA","NA",K13/Table8s2!$G$34*100)</f>
        <v>2.4717424162352031E-4</v>
      </c>
      <c r="O13" s="3848">
        <v>792.92860106733986</v>
      </c>
      <c r="P13" s="3847">
        <f>Summary2!E13</f>
        <v>794.29131687686356</v>
      </c>
      <c r="Q13" s="3839">
        <f t="shared" ref="Q13" si="8">IF(P13="NO",IF(O13="NO","NA",-O13),IF(O13="NO",P13,P13-O13))</f>
        <v>1.3627158095237064</v>
      </c>
      <c r="R13" s="3847">
        <f t="shared" ref="R13" si="9">IF(Q13="NA","NA",Q13/O13*100)</f>
        <v>0.17185857688692163</v>
      </c>
      <c r="S13" s="3844">
        <f>IF(Q13="NA","NA",Q13/Table8s2!$G$35*100)</f>
        <v>2.6554809021113099E-4</v>
      </c>
      <c r="T13" s="3845">
        <f>IF(Q13="NA","NA",Q13/Table8s2!$G$34*100)</f>
        <v>2.339327643936841E-4</v>
      </c>
    </row>
    <row r="14" spans="2:20" ht="18" customHeight="1" x14ac:dyDescent="0.2">
      <c r="B14" s="1392" t="s">
        <v>1517</v>
      </c>
      <c r="C14" s="3847">
        <v>38705.23869570352</v>
      </c>
      <c r="D14" s="3839">
        <f>Summary2!C14</f>
        <v>38705.238695703512</v>
      </c>
      <c r="E14" s="3839">
        <f t="shared" si="4"/>
        <v>-7.2759576141834259E-12</v>
      </c>
      <c r="F14" s="3847">
        <f t="shared" si="5"/>
        <v>-1.8798379390930082E-14</v>
      </c>
      <c r="G14" s="3844">
        <f>IF(E14="NA","NA",E14/Table8s2!$G$35*100)</f>
        <v>-1.4178426898700583E-15</v>
      </c>
      <c r="H14" s="3845">
        <f>IF(E14="NA","NA",E14/Table8s2!$G$34*100)</f>
        <v>-1.2490387697873062E-15</v>
      </c>
      <c r="I14" s="3846">
        <v>58.341166935576794</v>
      </c>
      <c r="J14" s="3839">
        <f>Summary2!D14</f>
        <v>58.341166935576787</v>
      </c>
      <c r="K14" s="3839">
        <f t="shared" ref="K14:K20" si="10">IF(J14="NO",IF(I14="NO","NA",-I14),IF(I14="NO",J14,J14-I14))</f>
        <v>-7.1054273576010019E-15</v>
      </c>
      <c r="L14" s="3847">
        <f t="shared" ref="L14:L20" si="11">IF(K14="NA","NA",K14/I14*100)</f>
        <v>-1.2179097078135524E-14</v>
      </c>
      <c r="M14" s="3844">
        <f>IF(K14="NA","NA",K14/Table8s2!$G$35*100)</f>
        <v>-1.3846120018262288E-18</v>
      </c>
      <c r="N14" s="3845">
        <f>IF(K14="NA","NA",K14/Table8s2!$G$34*100)</f>
        <v>-1.2197644236204163E-18</v>
      </c>
      <c r="O14" s="3848">
        <v>330.52351530504905</v>
      </c>
      <c r="P14" s="3847">
        <f>Summary2!E14</f>
        <v>330.52351530504899</v>
      </c>
      <c r="Q14" s="3839">
        <f t="shared" ref="Q14:Q20" si="12">IF(P14="NO",IF(O14="NO","NA",-O14),IF(O14="NO",P14,P14-O14))</f>
        <v>-5.6843418860808015E-14</v>
      </c>
      <c r="R14" s="3847">
        <f t="shared" ref="R14:R20" si="13">IF(Q14="NA","NA",Q14/O14*100)</f>
        <v>-1.719799537057014E-14</v>
      </c>
      <c r="S14" s="3844">
        <f>IF(Q14="NA","NA",Q14/Table8s2!$G$35*100)</f>
        <v>-1.1076896014609831E-17</v>
      </c>
      <c r="T14" s="3845">
        <f>IF(Q14="NA","NA",Q14/Table8s2!$G$34*100)</f>
        <v>-9.75811538896333E-18</v>
      </c>
    </row>
    <row r="15" spans="2:20" ht="18" customHeight="1" x14ac:dyDescent="0.2">
      <c r="B15" s="1392" t="s">
        <v>1480</v>
      </c>
      <c r="C15" s="3847">
        <v>73057.248355184056</v>
      </c>
      <c r="D15" s="3839">
        <f>Summary2!C15</f>
        <v>73052.312407992649</v>
      </c>
      <c r="E15" s="3839">
        <f t="shared" si="4"/>
        <v>-4.9359471914067399</v>
      </c>
      <c r="F15" s="3847">
        <f t="shared" si="5"/>
        <v>-6.756273063296246E-3</v>
      </c>
      <c r="G15" s="3844">
        <f>IF(E15="NA","NA",E15/Table8s2!$G$35*100)</f>
        <v>-9.61852310584978E-4</v>
      </c>
      <c r="H15" s="3845">
        <f>IF(E15="NA","NA",E15/Table8s2!$G$34*100)</f>
        <v>-8.4733718014954348E-4</v>
      </c>
      <c r="I15" s="3846">
        <v>737.04706661577302</v>
      </c>
      <c r="J15" s="3839">
        <f>Summary2!D15</f>
        <v>737.01758150158275</v>
      </c>
      <c r="K15" s="3839">
        <f t="shared" si="10"/>
        <v>-2.9485114190265449E-2</v>
      </c>
      <c r="L15" s="3847">
        <f t="shared" si="11"/>
        <v>-4.0004384422353597E-3</v>
      </c>
      <c r="M15" s="3844">
        <f>IF(K15="NA","NA",K15/Table8s2!$G$35*100)</f>
        <v>-5.7456703064292868E-6</v>
      </c>
      <c r="N15" s="3845">
        <f>IF(K15="NA","NA",K15/Table8s2!$G$34*100)</f>
        <v>-5.0616087542149026E-6</v>
      </c>
      <c r="O15" s="3848">
        <v>1697.1774982620448</v>
      </c>
      <c r="P15" s="3847">
        <f>Summary2!E15</f>
        <v>1697.1050068275576</v>
      </c>
      <c r="Q15" s="3839">
        <f t="shared" si="12"/>
        <v>-7.2491434487119477E-2</v>
      </c>
      <c r="R15" s="3847">
        <f t="shared" si="13"/>
        <v>-4.2712936367205346E-3</v>
      </c>
      <c r="S15" s="3844">
        <f>IF(Q15="NA","NA",Q15/Table8s2!$G$35*100)</f>
        <v>-1.4126174988347792E-5</v>
      </c>
      <c r="T15" s="3845">
        <f>IF(Q15="NA","NA",Q15/Table8s2!$G$34*100)</f>
        <v>-1.2444356736686481E-5</v>
      </c>
    </row>
    <row r="16" spans="2:20" ht="18" customHeight="1" x14ac:dyDescent="0.2">
      <c r="B16" s="1392" t="s">
        <v>1481</v>
      </c>
      <c r="C16" s="3847">
        <v>17565.271756223257</v>
      </c>
      <c r="D16" s="3839">
        <f>Summary2!C16</f>
        <v>17571.427876691756</v>
      </c>
      <c r="E16" s="3839">
        <f t="shared" si="4"/>
        <v>6.1561204684985569</v>
      </c>
      <c r="F16" s="3847">
        <f t="shared" si="5"/>
        <v>3.5047112017025782E-2</v>
      </c>
      <c r="G16" s="3844">
        <f>IF(E16="NA","NA",E16/Table8s2!$G$35*100)</f>
        <v>1.1996235914301294E-3</v>
      </c>
      <c r="H16" s="3845">
        <f>IF(E16="NA","NA",E16/Table8s2!$G$34*100)</f>
        <v>1.0568001553014612E-3</v>
      </c>
      <c r="I16" s="3846">
        <v>1546.8979388859104</v>
      </c>
      <c r="J16" s="3839">
        <f>Summary2!D16</f>
        <v>1546.8951957335084</v>
      </c>
      <c r="K16" s="3839">
        <f t="shared" si="10"/>
        <v>-2.7431524019903009E-3</v>
      </c>
      <c r="L16" s="3847">
        <f t="shared" si="11"/>
        <v>-1.7733247508015581E-4</v>
      </c>
      <c r="M16" s="3844">
        <f>IF(K16="NA","NA",K16/Table8s2!$G$35*100)</f>
        <v>-5.3454937296221988E-7</v>
      </c>
      <c r="N16" s="3845">
        <f>IF(K16="NA","NA",K16/Table8s2!$G$34*100)</f>
        <v>-4.709075950142943E-7</v>
      </c>
      <c r="O16" s="3848">
        <v>164.56899448494596</v>
      </c>
      <c r="P16" s="3847">
        <f>Summary2!E16</f>
        <v>164.56893679166132</v>
      </c>
      <c r="Q16" s="3839">
        <f t="shared" si="12"/>
        <v>-5.7693284645665699E-5</v>
      </c>
      <c r="R16" s="3847">
        <f t="shared" si="13"/>
        <v>-3.5057201890446764E-5</v>
      </c>
      <c r="S16" s="3844">
        <f>IF(Q16="NA","NA",Q16/Table8s2!$G$35*100)</f>
        <v>-1.1242506653693572E-8</v>
      </c>
      <c r="T16" s="3845">
        <f>IF(Q16="NA","NA",Q16/Table8s2!$G$34*100)</f>
        <v>-9.9040089428693748E-9</v>
      </c>
    </row>
    <row r="17" spans="2:20" ht="18" customHeight="1" x14ac:dyDescent="0.2">
      <c r="B17" s="1392" t="s">
        <v>1482</v>
      </c>
      <c r="C17" s="3847">
        <v>585.43585853356683</v>
      </c>
      <c r="D17" s="3839">
        <f>Summary2!C17</f>
        <v>592.09543525646234</v>
      </c>
      <c r="E17" s="3839">
        <f t="shared" si="4"/>
        <v>6.6595767228955083</v>
      </c>
      <c r="F17" s="3847">
        <f t="shared" si="5"/>
        <v>1.1375416496653956</v>
      </c>
      <c r="G17" s="3844">
        <f>IF(E17="NA","NA",E17/Table8s2!$G$35*100)</f>
        <v>1.2977305084597979E-3</v>
      </c>
      <c r="H17" s="3845">
        <f>IF(E17="NA","NA",E17/Table8s2!$G$34*100)</f>
        <v>1.1432267693608762E-3</v>
      </c>
      <c r="I17" s="3846">
        <v>0.64148992487768863</v>
      </c>
      <c r="J17" s="3839">
        <f>Summary2!D17</f>
        <v>0.66720227856267988</v>
      </c>
      <c r="K17" s="3839">
        <f t="shared" si="10"/>
        <v>2.5712353684991252E-2</v>
      </c>
      <c r="L17" s="3847">
        <f t="shared" si="11"/>
        <v>4.0082240870569814</v>
      </c>
      <c r="M17" s="3844">
        <f>IF(K17="NA","NA",K17/Table8s2!$G$35*100)</f>
        <v>5.0104844811839566E-6</v>
      </c>
      <c r="N17" s="3845">
        <f>IF(K17="NA","NA",K17/Table8s2!$G$34*100)</f>
        <v>4.4139518559636228E-6</v>
      </c>
      <c r="O17" s="3848">
        <v>4.2489594872269034</v>
      </c>
      <c r="P17" s="3847">
        <f>Summary2!E17</f>
        <v>4.2862131302477326</v>
      </c>
      <c r="Q17" s="3839">
        <f t="shared" si="12"/>
        <v>3.725364302082923E-2</v>
      </c>
      <c r="R17" s="3847">
        <f t="shared" si="13"/>
        <v>0.87677096316921899</v>
      </c>
      <c r="S17" s="3844">
        <f>IF(Q17="NA","NA",Q17/Table8s2!$G$35*100)</f>
        <v>7.2594987806343006E-6</v>
      </c>
      <c r="T17" s="3845">
        <f>IF(Q17="NA","NA",Q17/Table8s2!$G$34*100)</f>
        <v>6.3952055407972812E-6</v>
      </c>
    </row>
    <row r="18" spans="2:20" ht="18" customHeight="1" x14ac:dyDescent="0.2">
      <c r="B18" s="620" t="s">
        <v>99</v>
      </c>
      <c r="C18" s="3847">
        <f>SUM(C19:C20)</f>
        <v>8007.495582103913</v>
      </c>
      <c r="D18" s="3839">
        <f>Summary2!C18</f>
        <v>8007.495582103913</v>
      </c>
      <c r="E18" s="3839">
        <f t="shared" si="4"/>
        <v>0</v>
      </c>
      <c r="F18" s="3847">
        <f t="shared" si="5"/>
        <v>0</v>
      </c>
      <c r="G18" s="3844">
        <f>IF(E18="NA","NA",E18/Table8s2!$G$35*100)</f>
        <v>0</v>
      </c>
      <c r="H18" s="3845">
        <f>IF(E18="NA","NA",E18/Table8s2!$G$34*100)</f>
        <v>0</v>
      </c>
      <c r="I18" s="3846">
        <f>SUM(I19:I20)</f>
        <v>34682.485581756649</v>
      </c>
      <c r="J18" s="3839">
        <f>Summary2!D18</f>
        <v>34682.788347919646</v>
      </c>
      <c r="K18" s="3839">
        <f t="shared" si="10"/>
        <v>0.30276616299670422</v>
      </c>
      <c r="L18" s="3847">
        <f t="shared" si="11"/>
        <v>8.7296558455418887E-4</v>
      </c>
      <c r="M18" s="3844">
        <f>IF(K18="NA","NA",K18/Table8s2!$G$35*100)</f>
        <v>5.8999078019376382E-5</v>
      </c>
      <c r="N18" s="3845">
        <f>IF(K18="NA","NA",K18/Table8s2!$G$34*100)</f>
        <v>5.1974832154800533E-5</v>
      </c>
      <c r="O18" s="3848">
        <f>SUM(O19:O20)</f>
        <v>26.220378186572173</v>
      </c>
      <c r="P18" s="3847">
        <f>Summary2!E18</f>
        <v>26.220378186572173</v>
      </c>
      <c r="Q18" s="3839">
        <f t="shared" si="12"/>
        <v>0</v>
      </c>
      <c r="R18" s="3847">
        <f t="shared" si="13"/>
        <v>0</v>
      </c>
      <c r="S18" s="3844">
        <f>IF(Q18="NA","NA",Q18/Table8s2!$G$35*100)</f>
        <v>0</v>
      </c>
      <c r="T18" s="3845">
        <f>IF(Q18="NA","NA",Q18/Table8s2!$G$34*100)</f>
        <v>0</v>
      </c>
    </row>
    <row r="19" spans="2:20" ht="18" customHeight="1" x14ac:dyDescent="0.2">
      <c r="B19" s="1392" t="s">
        <v>1483</v>
      </c>
      <c r="C19" s="3847">
        <v>1239.4846044535866</v>
      </c>
      <c r="D19" s="3839">
        <f>Summary2!C19</f>
        <v>1239.4846044535864</v>
      </c>
      <c r="E19" s="3839">
        <f t="shared" si="4"/>
        <v>-2.2737367544323206E-13</v>
      </c>
      <c r="F19" s="3847">
        <f t="shared" si="5"/>
        <v>-1.8344211346091489E-14</v>
      </c>
      <c r="G19" s="3844">
        <f>IF(E19="NA","NA",E19/Table8s2!$G$35*100)</f>
        <v>-4.4307584058439323E-17</v>
      </c>
      <c r="H19" s="3845">
        <f>IF(E19="NA","NA",E19/Table8s2!$G$34*100)</f>
        <v>-3.903246155585332E-17</v>
      </c>
      <c r="I19" s="3846">
        <v>27520.016906757814</v>
      </c>
      <c r="J19" s="3839">
        <f>Summary2!D19</f>
        <v>27520.01690675781</v>
      </c>
      <c r="K19" s="3839">
        <f t="shared" si="10"/>
        <v>-3.637978807091713E-12</v>
      </c>
      <c r="L19" s="3847">
        <f t="shared" si="11"/>
        <v>-1.3219391613812458E-14</v>
      </c>
      <c r="M19" s="3844">
        <f>IF(K19="NA","NA",K19/Table8s2!$G$35*100)</f>
        <v>-7.0892134493502916E-16</v>
      </c>
      <c r="N19" s="3845">
        <f>IF(K19="NA","NA",K19/Table8s2!$G$34*100)</f>
        <v>-6.2451938489365312E-16</v>
      </c>
      <c r="O19" s="3848">
        <v>3.8830649897370409E-3</v>
      </c>
      <c r="P19" s="3847">
        <f>Summary2!E19</f>
        <v>3.8830649897370409E-3</v>
      </c>
      <c r="Q19" s="3839">
        <f t="shared" si="12"/>
        <v>0</v>
      </c>
      <c r="R19" s="3847">
        <f t="shared" si="13"/>
        <v>0</v>
      </c>
      <c r="S19" s="3844">
        <f>IF(Q19="NA","NA",Q19/Table8s2!$G$35*100)</f>
        <v>0</v>
      </c>
      <c r="T19" s="3845">
        <f>IF(Q19="NA","NA",Q19/Table8s2!$G$34*100)</f>
        <v>0</v>
      </c>
    </row>
    <row r="20" spans="2:20" ht="18" customHeight="1" x14ac:dyDescent="0.2">
      <c r="B20" s="1393" t="s">
        <v>1484</v>
      </c>
      <c r="C20" s="3849">
        <v>6768.0109776503268</v>
      </c>
      <c r="D20" s="3850">
        <f>Summary2!C20</f>
        <v>6768.0109776503268</v>
      </c>
      <c r="E20" s="3850">
        <f t="shared" si="4"/>
        <v>0</v>
      </c>
      <c r="F20" s="3849">
        <f t="shared" si="5"/>
        <v>0</v>
      </c>
      <c r="G20" s="3851">
        <f>IF(E20="NA","NA",E20/Table8s2!$G$35*100)</f>
        <v>0</v>
      </c>
      <c r="H20" s="3852">
        <f>IF(E20="NA","NA",E20/Table8s2!$G$34*100)</f>
        <v>0</v>
      </c>
      <c r="I20" s="3853">
        <v>7162.468674998835</v>
      </c>
      <c r="J20" s="3850">
        <f>Summary2!D20</f>
        <v>7162.7714411618344</v>
      </c>
      <c r="K20" s="3839">
        <f t="shared" si="10"/>
        <v>0.30276616299943271</v>
      </c>
      <c r="L20" s="3847">
        <f t="shared" si="11"/>
        <v>4.2271202393702884E-3</v>
      </c>
      <c r="M20" s="3844">
        <f>IF(K20="NA","NA",K20/Table8s2!$G$35*100)</f>
        <v>5.8999078019908075E-5</v>
      </c>
      <c r="N20" s="3845">
        <f>IF(K20="NA","NA",K20/Table8s2!$G$34*100)</f>
        <v>5.1974832155268922E-5</v>
      </c>
      <c r="O20" s="3854">
        <v>26.216495121582437</v>
      </c>
      <c r="P20" s="3849">
        <f>Summary2!E20</f>
        <v>26.216495121582433</v>
      </c>
      <c r="Q20" s="3839">
        <f t="shared" si="12"/>
        <v>-3.5527136788005009E-15</v>
      </c>
      <c r="R20" s="3847">
        <f t="shared" si="13"/>
        <v>-1.3551444090158981E-14</v>
      </c>
      <c r="S20" s="3844">
        <f>IF(Q20="NA","NA",Q20/Table8s2!$G$35*100)</f>
        <v>-6.9230600091311442E-19</v>
      </c>
      <c r="T20" s="3845">
        <f>IF(Q20="NA","NA",Q20/Table8s2!$G$34*100)</f>
        <v>-6.0988221181020813E-19</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21210.196710041379</v>
      </c>
      <c r="D22" s="3839">
        <f>Summary2!C22</f>
        <v>21255.560630579854</v>
      </c>
      <c r="E22" s="3861">
        <f t="shared" si="4"/>
        <v>45.363920538475213</v>
      </c>
      <c r="F22" s="3861">
        <f t="shared" si="5"/>
        <v>0.2138778869363287</v>
      </c>
      <c r="G22" s="3862">
        <f>IF(E22="NA","NA",E22/Table8s2!$G$35*100)</f>
        <v>8.8399227331867475E-3</v>
      </c>
      <c r="H22" s="3863">
        <f>IF(E22="NA","NA",E22/Table8s2!$G$34*100)</f>
        <v>7.787469156177217E-3</v>
      </c>
      <c r="I22" s="3839">
        <f>SUM(I23:I29)</f>
        <v>89.988084271237696</v>
      </c>
      <c r="J22" s="3839">
        <f>Summary2!D22</f>
        <v>89.98808427123771</v>
      </c>
      <c r="K22" s="3861">
        <f t="shared" ref="K22" si="14">IF(J22="NO",IF(I22="NO","NA",-I22),IF(I22="NO",J22,J22-I22))</f>
        <v>1.4210854715202004E-14</v>
      </c>
      <c r="L22" s="3861">
        <f t="shared" ref="L22" si="15">IF(K22="NA","NA",K22/I22*100)</f>
        <v>1.5791929376303131E-14</v>
      </c>
      <c r="M22" s="3862">
        <f>IF(K22="NA","NA",K22/Table8s2!$G$35*100)</f>
        <v>2.7692240036524577E-18</v>
      </c>
      <c r="N22" s="3863">
        <f>IF(K22="NA","NA",K22/Table8s2!$G$34*100)</f>
        <v>2.4395288472408325E-18</v>
      </c>
      <c r="O22" s="3839">
        <f>SUM(O23:O29)</f>
        <v>1988.5904885268781</v>
      </c>
      <c r="P22" s="3839">
        <f>Summary2!E22</f>
        <v>1988.5904885268781</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6291.2170628710073</v>
      </c>
      <c r="D23" s="3839">
        <f>Summary2!C23</f>
        <v>6291.2170628710082</v>
      </c>
      <c r="E23" s="3839">
        <f t="shared" si="4"/>
        <v>9.0949470177292824E-13</v>
      </c>
      <c r="F23" s="3847">
        <f t="shared" si="5"/>
        <v>1.4456577998882124E-14</v>
      </c>
      <c r="G23" s="3844">
        <f>IF(E23="NA","NA",E23/Table8s2!$G$35*100)</f>
        <v>1.7723033623375729E-16</v>
      </c>
      <c r="H23" s="3845">
        <f>IF(E23="NA","NA",E23/Table8s2!$G$34*100)</f>
        <v>1.5612984622341328E-16</v>
      </c>
      <c r="I23" s="1925"/>
      <c r="J23" s="1925"/>
      <c r="K23" s="1925"/>
      <c r="L23" s="1925"/>
      <c r="M23" s="1925"/>
      <c r="N23" s="1925"/>
      <c r="O23" s="1925"/>
      <c r="P23" s="1925"/>
      <c r="Q23" s="1925"/>
      <c r="R23" s="1925"/>
      <c r="S23" s="1925"/>
      <c r="T23" s="1925"/>
    </row>
    <row r="24" spans="2:20" ht="18" customHeight="1" x14ac:dyDescent="0.2">
      <c r="B24" s="1394" t="s">
        <v>621</v>
      </c>
      <c r="C24" s="3839">
        <v>1989.848297586605</v>
      </c>
      <c r="D24" s="3839">
        <f>Summary2!C24</f>
        <v>2036.709370586605</v>
      </c>
      <c r="E24" s="3839">
        <f t="shared" si="4"/>
        <v>46.861073000000033</v>
      </c>
      <c r="F24" s="3847">
        <f t="shared" si="5"/>
        <v>2.3550073167304091</v>
      </c>
      <c r="G24" s="3844">
        <f>IF(E24="NA","NA",E24/Table8s2!$G$35*100)</f>
        <v>9.1316680656576225E-3</v>
      </c>
      <c r="H24" s="3845">
        <f>IF(E24="NA","NA",E24/Table8s2!$G$34*100)</f>
        <v>8.0444802010301592E-3</v>
      </c>
      <c r="I24" s="3846">
        <v>14.122746399999999</v>
      </c>
      <c r="J24" s="3839">
        <f>Summary2!D24</f>
        <v>14.122746399999999</v>
      </c>
      <c r="K24" s="3839">
        <f t="shared" ref="K24" si="18">IF(J24="NO",IF(I24="NO","NA",-I24),IF(I24="NO",J24,J24-I24))</f>
        <v>0</v>
      </c>
      <c r="L24" s="3847">
        <f t="shared" ref="L24" si="19">IF(K24="NA","NA",K24/I24*100)</f>
        <v>0</v>
      </c>
      <c r="M24" s="3844">
        <f>IF(K24="NA","NA",K24/Table8s2!$G$35*100)</f>
        <v>0</v>
      </c>
      <c r="N24" s="3845">
        <f>IF(K24="NA","NA",K24/Table8s2!$G$34*100)</f>
        <v>0</v>
      </c>
      <c r="O24" s="3848">
        <v>1968.2992916451615</v>
      </c>
      <c r="P24" s="3847">
        <f>Summary2!E24</f>
        <v>1968.2992916451615</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12479.913157591614</v>
      </c>
      <c r="D25" s="3839">
        <f>Summary2!C25</f>
        <v>12479.913157591614</v>
      </c>
      <c r="E25" s="3839">
        <f t="shared" si="4"/>
        <v>0</v>
      </c>
      <c r="F25" s="3847">
        <f t="shared" si="5"/>
        <v>0</v>
      </c>
      <c r="G25" s="3844">
        <f>IF(E25="NA","NA",E25/Table8s2!$G$35*100)</f>
        <v>0</v>
      </c>
      <c r="H25" s="3845">
        <f>IF(E25="NA","NA",E25/Table8s2!$G$34*100)</f>
        <v>0</v>
      </c>
      <c r="I25" s="3846">
        <v>75.865337871237699</v>
      </c>
      <c r="J25" s="3839">
        <f>Summary2!D25</f>
        <v>75.865337871237713</v>
      </c>
      <c r="K25" s="3839">
        <f t="shared" ref="K25:K26" si="22">IF(J25="NO",IF(I25="NO","NA",-I25),IF(I25="NO",J25,J25-I25))</f>
        <v>1.4210854715202004E-14</v>
      </c>
      <c r="L25" s="3847">
        <f t="shared" ref="L25:L26" si="23">IF(K25="NA","NA",K25/I25*100)</f>
        <v>1.8731683155911529E-14</v>
      </c>
      <c r="M25" s="3844">
        <f>IF(K25="NA","NA",K25/Table8s2!$G$35*100)</f>
        <v>2.7692240036524577E-18</v>
      </c>
      <c r="N25" s="3845">
        <f>IF(K25="NA","NA",K25/Table8s2!$G$34*100)</f>
        <v>2.4395288472408325E-18</v>
      </c>
      <c r="O25" s="3848">
        <v>20.291196881716655</v>
      </c>
      <c r="P25" s="3847">
        <f>Summary2!E25</f>
        <v>20.291196881716658</v>
      </c>
      <c r="Q25" s="3839">
        <f t="shared" ref="Q25:Q29" si="24">IF(P25="NO",IF(O25="NO","NA",-O25),IF(O25="NO",P25,P25-O25))</f>
        <v>3.5527136788005009E-15</v>
      </c>
      <c r="R25" s="3847">
        <f t="shared" ref="R25:R29" si="25">IF(Q25="NA","NA",Q25/O25*100)</f>
        <v>1.7508645249022578E-14</v>
      </c>
      <c r="S25" s="3844">
        <f>IF(Q25="NA","NA",Q25/Table8s2!$G$35*100)</f>
        <v>6.9230600091311442E-19</v>
      </c>
      <c r="T25" s="3845">
        <f>IF(Q25="NA","NA",Q25/Table8s2!$G$34*100)</f>
        <v>6.0988221181020813E-19</v>
      </c>
    </row>
    <row r="26" spans="2:20" ht="18" customHeight="1" x14ac:dyDescent="0.2">
      <c r="B26" s="1395" t="s">
        <v>1519</v>
      </c>
      <c r="C26" s="3839">
        <v>299.43049996152246</v>
      </c>
      <c r="D26" s="3839">
        <f>Summary2!C26</f>
        <v>297.93334749999997</v>
      </c>
      <c r="E26" s="3839">
        <f t="shared" si="4"/>
        <v>-1.4971524615224894</v>
      </c>
      <c r="F26" s="3847">
        <f t="shared" si="5"/>
        <v>-0.49999998721402028</v>
      </c>
      <c r="G26" s="3844">
        <f>IF(E26="NA","NA",E26/Table8s2!$G$35*100)</f>
        <v>-2.9174533247041973E-4</v>
      </c>
      <c r="H26" s="3845">
        <f>IF(E26="NA","NA",E26/Table8s2!$G$34*100)</f>
        <v>-2.5701104485254152E-4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149.78769203062836</v>
      </c>
      <c r="D29" s="3855">
        <f>Summary2!C30</f>
        <v>149.78769203062836</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1930.4128002981445</v>
      </c>
      <c r="D30" s="3875">
        <f>Summary2!C31</f>
        <v>1930.4128002981445</v>
      </c>
      <c r="E30" s="3861">
        <f t="shared" si="4"/>
        <v>0</v>
      </c>
      <c r="F30" s="3876">
        <f t="shared" si="5"/>
        <v>0</v>
      </c>
      <c r="G30" s="3877">
        <f>IF(E30="NA","NA",E30/Table8s2!$G$35*100)</f>
        <v>0</v>
      </c>
      <c r="H30" s="3878">
        <f>IF(E30="NA","NA",E30/Table8s2!$G$34*100)</f>
        <v>0</v>
      </c>
      <c r="I30" s="3874">
        <f>SUM(I31:I40)</f>
        <v>73169.142576963335</v>
      </c>
      <c r="J30" s="3875">
        <f>Summary2!D31</f>
        <v>73169.142576963335</v>
      </c>
      <c r="K30" s="3861">
        <f t="shared" ref="K30" si="28">IF(J30="NO",IF(I30="NO","NA",-I30),IF(I30="NO",J30,J30-I30))</f>
        <v>0</v>
      </c>
      <c r="L30" s="3876">
        <f t="shared" ref="L30" si="29">IF(K30="NA","NA",K30/I30*100)</f>
        <v>0</v>
      </c>
      <c r="M30" s="3877">
        <f>IF(K30="NA","NA",K30/Table8s2!$G$35*100)</f>
        <v>0</v>
      </c>
      <c r="N30" s="3878">
        <f>IF(K30="NA","NA",K30/Table8s2!$G$34*100)</f>
        <v>0</v>
      </c>
      <c r="O30" s="3874">
        <f>SUM(O31:O40)</f>
        <v>12336.650836396837</v>
      </c>
      <c r="P30" s="3875">
        <f>Summary2!E31</f>
        <v>12336.620456117864</v>
      </c>
      <c r="Q30" s="3861">
        <f t="shared" ref="Q30" si="30">IF(P30="NO",IF(O30="NO","NA",-O30),IF(O30="NO",P30,P30-O30))</f>
        <v>-3.0380278973098029E-2</v>
      </c>
      <c r="R30" s="3880">
        <f t="shared" ref="R30" si="31">IF(Q30="NA","NA",Q30/O30*100)</f>
        <v>-2.4626034550209573E-4</v>
      </c>
      <c r="S30" s="3881">
        <f>IF(Q30="NA","NA",Q30/Table8s2!$G$35*100)</f>
        <v>-5.920108216993E-6</v>
      </c>
      <c r="T30" s="3882">
        <f>IF(Q30="NA","NA",Q30/Table8s2!$G$34*100)</f>
        <v>-5.2152786322425812E-6</v>
      </c>
    </row>
    <row r="31" spans="2:20" ht="18" customHeight="1" x14ac:dyDescent="0.2">
      <c r="B31" s="620" t="s">
        <v>1492</v>
      </c>
      <c r="C31" s="3867"/>
      <c r="D31" s="3867"/>
      <c r="E31" s="3868"/>
      <c r="F31" s="3868"/>
      <c r="G31" s="3869"/>
      <c r="H31" s="3870"/>
      <c r="I31" s="3846">
        <v>65130.183496241159</v>
      </c>
      <c r="J31" s="3839">
        <f>Summary2!D32</f>
        <v>65130.183496241152</v>
      </c>
      <c r="K31" s="3883">
        <f t="shared" ref="K31:K33" si="32">IF(J31="NO",IF(I31="NO","NA",-I31),IF(I31="NO",J31,J31-I31))</f>
        <v>-7.2759576141834259E-12</v>
      </c>
      <c r="L31" s="3883">
        <f t="shared" ref="L31:L33" si="33">IF(K31="NA","NA",K31/I31*100)</f>
        <v>-1.1171406594614217E-14</v>
      </c>
      <c r="M31" s="3884">
        <f>IF(K31="NA","NA",K31/Table8s2!$G$35*100)</f>
        <v>-1.4178426898700583E-15</v>
      </c>
      <c r="N31" s="3885">
        <f>IF(K31="NA","NA",K31/Table8s2!$G$34*100)</f>
        <v>-1.2490387697873062E-15</v>
      </c>
      <c r="O31" s="3886"/>
      <c r="P31" s="3887"/>
      <c r="Q31" s="3868"/>
      <c r="R31" s="3888"/>
      <c r="S31" s="3889"/>
      <c r="T31" s="3890"/>
    </row>
    <row r="32" spans="2:20" ht="18" customHeight="1" x14ac:dyDescent="0.2">
      <c r="B32" s="620" t="s">
        <v>1493</v>
      </c>
      <c r="C32" s="3891"/>
      <c r="D32" s="3891"/>
      <c r="E32" s="3892"/>
      <c r="F32" s="3892"/>
      <c r="G32" s="3869"/>
      <c r="H32" s="3870"/>
      <c r="I32" s="3846">
        <v>6997.5876205927379</v>
      </c>
      <c r="J32" s="3847">
        <f>Summary2!D33</f>
        <v>6997.5876205927361</v>
      </c>
      <c r="K32" s="3893">
        <f t="shared" si="32"/>
        <v>-1.8189894035458565E-12</v>
      </c>
      <c r="L32" s="3893">
        <f t="shared" si="33"/>
        <v>-2.599452128606254E-14</v>
      </c>
      <c r="M32" s="3884">
        <f>IF(K32="NA","NA",K32/Table8s2!$G$35*100)</f>
        <v>-3.5446067246751458E-16</v>
      </c>
      <c r="N32" s="3885">
        <f>IF(K32="NA","NA",K32/Table8s2!$G$34*100)</f>
        <v>-3.1225969244682656E-16</v>
      </c>
      <c r="O32" s="3848">
        <v>404.74232350991986</v>
      </c>
      <c r="P32" s="3847">
        <f>Summary2!E33</f>
        <v>404.74232350992003</v>
      </c>
      <c r="Q32" s="3893">
        <f t="shared" ref="Q32" si="34">IF(P32="NO",IF(O32="NO","NA",-O32),IF(O32="NO",P32,P32-O32))</f>
        <v>1.7053025658242404E-13</v>
      </c>
      <c r="R32" s="3894">
        <f t="shared" ref="R32" si="35">IF(Q32="NA","NA",Q32/O32*100)</f>
        <v>4.213304284651726E-14</v>
      </c>
      <c r="S32" s="3895">
        <f>IF(Q32="NA","NA",Q32/Table8s2!$G$35*100)</f>
        <v>3.3230688043829491E-17</v>
      </c>
      <c r="T32" s="3896">
        <f>IF(Q32="NA","NA",Q32/Table8s2!$G$34*100)</f>
        <v>2.927434616688999E-17</v>
      </c>
    </row>
    <row r="33" spans="2:21" ht="18" customHeight="1" x14ac:dyDescent="0.2">
      <c r="B33" s="620" t="s">
        <v>1494</v>
      </c>
      <c r="C33" s="3891"/>
      <c r="D33" s="3891"/>
      <c r="E33" s="3892"/>
      <c r="F33" s="3892"/>
      <c r="G33" s="3897"/>
      <c r="H33" s="3898"/>
      <c r="I33" s="3848">
        <v>643.19414879999999</v>
      </c>
      <c r="J33" s="3847">
        <f>Summary2!D34</f>
        <v>643.19414879999999</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11775.286960502119</v>
      </c>
      <c r="P34" s="3847">
        <f>Summary2!E35</f>
        <v>11775.256580223146</v>
      </c>
      <c r="Q34" s="3893">
        <f t="shared" ref="Q34" si="36">IF(P34="NO",IF(O34="NO","NA",-O34),IF(O34="NO",P34,P34-O34))</f>
        <v>-3.0380278973098029E-2</v>
      </c>
      <c r="R34" s="3894">
        <f t="shared" ref="R34" si="37">IF(Q34="NA","NA",Q34/O34*100)</f>
        <v>-2.5800032793258195E-4</v>
      </c>
      <c r="S34" s="3895">
        <f>IF(Q34="NA","NA",Q34/Table8s2!$G$35*100)</f>
        <v>-5.920108216993E-6</v>
      </c>
      <c r="T34" s="3896">
        <f>IF(Q34="NA","NA",Q34/Table8s2!$G$34*100)</f>
        <v>-5.2152786322425812E-6</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398.17731132943499</v>
      </c>
      <c r="J36" s="3847">
        <f>Summary2!D37</f>
        <v>398.17731132943487</v>
      </c>
      <c r="K36" s="3893">
        <f t="shared" ref="K36" si="38">IF(J36="NO",IF(I36="NO","NA",-I36),IF(I36="NO",J36,J36-I36))</f>
        <v>-1.1368683772161603E-13</v>
      </c>
      <c r="L36" s="3893">
        <f t="shared" ref="L36" si="39">IF(K36="NA","NA",K36/I36*100)</f>
        <v>-2.8551812091462033E-14</v>
      </c>
      <c r="M36" s="3884">
        <f>IF(K36="NA","NA",K36/Table8s2!$G$35*100)</f>
        <v>-2.2153792029219661E-17</v>
      </c>
      <c r="N36" s="3885">
        <f>IF(K36="NA","NA",K36/Table8s2!$G$34*100)</f>
        <v>-1.951623077792666E-17</v>
      </c>
      <c r="O36" s="3848">
        <v>156.6215523847988</v>
      </c>
      <c r="P36" s="3847">
        <f>Summary2!E37</f>
        <v>156.62155238479883</v>
      </c>
      <c r="Q36" s="3893">
        <f t="shared" ref="Q36" si="40">IF(P36="NO",IF(O36="NO","NA",-O36),IF(O36="NO",P36,P36-O36))</f>
        <v>2.8421709430404007E-14</v>
      </c>
      <c r="R36" s="3894">
        <f t="shared" ref="R36" si="41">IF(Q36="NA","NA",Q36/O36*100)</f>
        <v>1.8146742257141954E-14</v>
      </c>
      <c r="S36" s="3895">
        <f>IF(Q36="NA","NA",Q36/Table8s2!$G$35*100)</f>
        <v>5.5384480073049153E-18</v>
      </c>
      <c r="T36" s="3896">
        <f>IF(Q36="NA","NA",Q36/Table8s2!$G$34*100)</f>
        <v>4.879057694481665E-18</v>
      </c>
    </row>
    <row r="37" spans="2:21" ht="18" customHeight="1" x14ac:dyDescent="0.2">
      <c r="B37" s="620" t="s">
        <v>721</v>
      </c>
      <c r="C37" s="3847">
        <v>1021.2878336833335</v>
      </c>
      <c r="D37" s="3847">
        <f>Summary2!C38</f>
        <v>1021.2878336833335</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909.124966614811</v>
      </c>
      <c r="D38" s="3847">
        <f>Summary2!C39</f>
        <v>909.124966614811</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45791.133183586651</v>
      </c>
      <c r="D41" s="3839">
        <f>Summary2!C42</f>
        <v>44897.60215589514</v>
      </c>
      <c r="E41" s="3929">
        <f t="shared" ref="E41" si="42">IF(D41="NO",IF(C41="NO","NA",-C41),IF(C41="NO",D41,D41-C41))</f>
        <v>-893.53102769151155</v>
      </c>
      <c r="F41" s="3929">
        <f t="shared" ref="F41" si="43">IF(E41="NA","NA",E41/C41*100)</f>
        <v>-1.9513188811230124</v>
      </c>
      <c r="G41" s="3869"/>
      <c r="H41" s="3929">
        <f>IF(E41="NA","NA",E41/Table8s2!$G$34*100)</f>
        <v>-0.15338941686782309</v>
      </c>
      <c r="I41" s="3846">
        <f>SUM(I42:I49)</f>
        <v>23842.943343102874</v>
      </c>
      <c r="J41" s="3839">
        <f>Summary2!D42</f>
        <v>20012.359442897166</v>
      </c>
      <c r="K41" s="3929">
        <f t="shared" ref="K41:K46" si="44">IF(J41="NO",IF(I41="NO","NA",-I41),IF(I41="NO",J41,J41-I41))</f>
        <v>-3830.5839002057073</v>
      </c>
      <c r="L41" s="3929">
        <f t="shared" ref="L41:L46" si="45">IF(K41="NA","NA",K41/I41*100)</f>
        <v>-16.065901952972567</v>
      </c>
      <c r="M41" s="3889"/>
      <c r="N41" s="3930">
        <f>IF(K41="NA","NA",K41/Table8s2!$G$34*100)</f>
        <v>-0.65758324278212055</v>
      </c>
      <c r="O41" s="3846">
        <f>SUM(O42:O49)</f>
        <v>4443.1676276777498</v>
      </c>
      <c r="P41" s="3839">
        <f>Summary2!E42</f>
        <v>4443.5923565572793</v>
      </c>
      <c r="Q41" s="3929">
        <f t="shared" ref="Q41" si="46">IF(P41="NO",IF(O41="NO","NA",-O41),IF(O41="NO",P41,P41-O41))</f>
        <v>0.42472887952953897</v>
      </c>
      <c r="R41" s="3929">
        <f t="shared" ref="R41" si="47">IF(Q41="NA","NA",Q41/O41*100)</f>
        <v>9.5591459769328192E-3</v>
      </c>
      <c r="S41" s="3889"/>
      <c r="T41" s="3930">
        <f>IF(Q41="NA","NA",Q41/Table8s2!$G$34*100)</f>
        <v>7.2911754756044468E-5</v>
      </c>
      <c r="U41" s="713"/>
    </row>
    <row r="42" spans="2:21" ht="18" customHeight="1" x14ac:dyDescent="0.2">
      <c r="B42" s="620" t="s">
        <v>981</v>
      </c>
      <c r="C42" s="3847">
        <v>-32321.546575968267</v>
      </c>
      <c r="D42" s="3847">
        <f>Summary2!C43</f>
        <v>-32448.668831322979</v>
      </c>
      <c r="E42" s="3931">
        <f t="shared" ref="E42:E50" si="48">IF(D42="NO",IF(C42="NO","NA",-C42),IF(C42="NO",D42,D42-C42))</f>
        <v>-127.12225535471225</v>
      </c>
      <c r="F42" s="3931">
        <f t="shared" ref="F42:F50" si="49">IF(E42="NA","NA",E42/C42*100)</f>
        <v>0.39330498946244813</v>
      </c>
      <c r="G42" s="3889"/>
      <c r="H42" s="3931">
        <f>IF(E42="NA","NA",E42/Table8s2!$G$34*100)</f>
        <v>-2.1822642992218338E-2</v>
      </c>
      <c r="I42" s="3848">
        <v>6786.2122973892265</v>
      </c>
      <c r="J42" s="3847">
        <f>Summary2!D43</f>
        <v>6665.5054934716554</v>
      </c>
      <c r="K42" s="3931">
        <f t="shared" si="44"/>
        <v>-120.70680391757105</v>
      </c>
      <c r="L42" s="3931">
        <f t="shared" si="45"/>
        <v>-1.7787065689649741</v>
      </c>
      <c r="M42" s="3889"/>
      <c r="N42" s="3932">
        <f>IF(K42="NA","NA",K42/Table8s2!$G$34*100)</f>
        <v>-2.0721324376087785E-2</v>
      </c>
      <c r="O42" s="3848">
        <v>1271.340251111679</v>
      </c>
      <c r="P42" s="3847">
        <f>Summary2!E43</f>
        <v>1262.7319606171882</v>
      </c>
      <c r="Q42" s="3931">
        <f t="shared" ref="Q42:Q46" si="50">IF(P42="NO",IF(O42="NO","NA",-O42),IF(O42="NO",P42,P42-O42))</f>
        <v>-8.6082904944908023</v>
      </c>
      <c r="R42" s="3931">
        <f t="shared" ref="R42:R46" si="51">IF(Q42="NA","NA",Q42/O42*100)</f>
        <v>-0.67710359103029927</v>
      </c>
      <c r="S42" s="3889"/>
      <c r="T42" s="3932">
        <f>IF(Q42="NA","NA",Q42/Table8s2!$G$34*100)</f>
        <v>-1.4777558005905525E-3</v>
      </c>
      <c r="U42" s="713"/>
    </row>
    <row r="43" spans="2:21" ht="18" customHeight="1" x14ac:dyDescent="0.2">
      <c r="B43" s="620" t="s">
        <v>984</v>
      </c>
      <c r="C43" s="3847">
        <v>6114.6695867640992</v>
      </c>
      <c r="D43" s="3847">
        <f>Summary2!C44</f>
        <v>6036.0685759903345</v>
      </c>
      <c r="E43" s="3931">
        <f t="shared" si="48"/>
        <v>-78.601010773764756</v>
      </c>
      <c r="F43" s="3931">
        <f t="shared" si="49"/>
        <v>-1.2854498457922505</v>
      </c>
      <c r="G43" s="3889"/>
      <c r="H43" s="3931">
        <f>IF(E43="NA","NA",E43/Table8s2!$G$34*100)</f>
        <v>-1.3493166811406734E-2</v>
      </c>
      <c r="I43" s="3848">
        <v>134.48666754241751</v>
      </c>
      <c r="J43" s="3847">
        <f>Summary2!D44</f>
        <v>135.12139200000001</v>
      </c>
      <c r="K43" s="3931">
        <f t="shared" si="44"/>
        <v>0.63472445758250728</v>
      </c>
      <c r="L43" s="3931">
        <f t="shared" si="45"/>
        <v>0.47196087848805773</v>
      </c>
      <c r="M43" s="3889"/>
      <c r="N43" s="3932">
        <f>IF(K43="NA","NA",K43/Table8s2!$G$34*100)</f>
        <v>1.0896097774227411E-4</v>
      </c>
      <c r="O43" s="3848">
        <v>51.044855610804305</v>
      </c>
      <c r="P43" s="3847">
        <f>Summary2!E44</f>
        <v>51.014718126320119</v>
      </c>
      <c r="Q43" s="3931">
        <f t="shared" si="50"/>
        <v>-3.0137484484185961E-2</v>
      </c>
      <c r="R43" s="3931">
        <f t="shared" si="51"/>
        <v>-5.9041178829012046E-2</v>
      </c>
      <c r="S43" s="3889"/>
      <c r="T43" s="3932">
        <f>IF(Q43="NA","NA",Q43/Table8s2!$G$34*100)</f>
        <v>-5.1735989323566575E-6</v>
      </c>
      <c r="U43" s="713"/>
    </row>
    <row r="44" spans="2:21" ht="18" customHeight="1" x14ac:dyDescent="0.2">
      <c r="B44" s="620" t="s">
        <v>987</v>
      </c>
      <c r="C44" s="3847">
        <v>73216.06554181737</v>
      </c>
      <c r="D44" s="3847">
        <f>Summary2!C45</f>
        <v>72736.645187142451</v>
      </c>
      <c r="E44" s="3931">
        <f t="shared" si="48"/>
        <v>-479.42035467491951</v>
      </c>
      <c r="F44" s="3931">
        <f t="shared" si="49"/>
        <v>-0.65480212727505616</v>
      </c>
      <c r="G44" s="3889"/>
      <c r="H44" s="3931">
        <f>IF(E44="NA","NA",E44/Table8s2!$G$34*100)</f>
        <v>-8.2300453324089334E-2</v>
      </c>
      <c r="I44" s="3848">
        <v>10510.784043791682</v>
      </c>
      <c r="J44" s="3847">
        <f>Summary2!D45</f>
        <v>10519.102618336432</v>
      </c>
      <c r="K44" s="3931">
        <f t="shared" si="44"/>
        <v>8.3185745447499357</v>
      </c>
      <c r="L44" s="3931">
        <f t="shared" si="45"/>
        <v>7.9143235272381041E-2</v>
      </c>
      <c r="M44" s="3889"/>
      <c r="N44" s="3932">
        <f>IF(K44="NA","NA",K44/Table8s2!$G$34*100)</f>
        <v>1.4280212539314727E-3</v>
      </c>
      <c r="O44" s="3848">
        <v>2983.5302783301922</v>
      </c>
      <c r="P44" s="3847">
        <f>Summary2!E45</f>
        <v>2992.9213513705536</v>
      </c>
      <c r="Q44" s="3931">
        <f t="shared" si="50"/>
        <v>9.3910730403613343</v>
      </c>
      <c r="R44" s="3931">
        <f t="shared" si="51"/>
        <v>0.31476379202751997</v>
      </c>
      <c r="S44" s="3889"/>
      <c r="T44" s="3932">
        <f>IF(Q44="NA","NA",Q44/Table8s2!$G$34*100)</f>
        <v>1.6121334041927465E-3</v>
      </c>
      <c r="U44" s="713"/>
    </row>
    <row r="45" spans="2:21" ht="18" customHeight="1" x14ac:dyDescent="0.2">
      <c r="B45" s="620" t="s">
        <v>1525</v>
      </c>
      <c r="C45" s="3847">
        <v>1028.4906538918003</v>
      </c>
      <c r="D45" s="3847">
        <f>Summary2!C46</f>
        <v>870.65990739696156</v>
      </c>
      <c r="E45" s="3931">
        <f t="shared" si="48"/>
        <v>-157.83074649483876</v>
      </c>
      <c r="F45" s="3931">
        <f t="shared" si="49"/>
        <v>-15.345861034089955</v>
      </c>
      <c r="G45" s="3889"/>
      <c r="H45" s="3931">
        <f>IF(E45="NA","NA",E45/Table8s2!$G$34*100)</f>
        <v>-2.709426468513727E-2</v>
      </c>
      <c r="I45" s="3848">
        <v>6324.2419111108693</v>
      </c>
      <c r="J45" s="3847">
        <f>Summary2!D46</f>
        <v>2604.7621758890805</v>
      </c>
      <c r="K45" s="3931">
        <f t="shared" si="44"/>
        <v>-3719.4797352217888</v>
      </c>
      <c r="L45" s="3931">
        <f t="shared" si="45"/>
        <v>-58.813052813288934</v>
      </c>
      <c r="M45" s="3889"/>
      <c r="N45" s="3932">
        <f>IF(K45="NA","NA",K45/Table8s2!$G$34*100)</f>
        <v>-0.63851037060386029</v>
      </c>
      <c r="O45" s="3848">
        <v>94.262847740135925</v>
      </c>
      <c r="P45" s="3847">
        <f>Summary2!E46</f>
        <v>93.806256760453977</v>
      </c>
      <c r="Q45" s="3931">
        <f t="shared" si="50"/>
        <v>-0.45659097968194828</v>
      </c>
      <c r="R45" s="3931">
        <f t="shared" si="51"/>
        <v>-0.48438063418228094</v>
      </c>
      <c r="S45" s="3889"/>
      <c r="T45" s="3932">
        <f>IF(Q45="NA","NA",Q45/Table8s2!$G$34*100)</f>
        <v>-7.8381412564334442E-5</v>
      </c>
      <c r="U45" s="713"/>
    </row>
    <row r="46" spans="2:21" ht="18" customHeight="1" x14ac:dyDescent="0.2">
      <c r="B46" s="620" t="s">
        <v>1526</v>
      </c>
      <c r="C46" s="3847">
        <v>4601.9524524799917</v>
      </c>
      <c r="D46" s="3847">
        <f>Summary2!C47</f>
        <v>4540.8835016655894</v>
      </c>
      <c r="E46" s="3931">
        <f t="shared" si="48"/>
        <v>-61.068950814402342</v>
      </c>
      <c r="F46" s="3931">
        <f t="shared" si="49"/>
        <v>-1.3270226375653293</v>
      </c>
      <c r="G46" s="3889"/>
      <c r="H46" s="3931">
        <f>IF(E46="NA","NA",E46/Table8s2!$G$34*100)</f>
        <v>-1.0483498013887642E-2</v>
      </c>
      <c r="I46" s="3848">
        <v>87.218423268678507</v>
      </c>
      <c r="J46" s="3847">
        <f>Summary2!D47</f>
        <v>87.867763200000013</v>
      </c>
      <c r="K46" s="3931">
        <f t="shared" si="44"/>
        <v>0.64933993132150647</v>
      </c>
      <c r="L46" s="3931">
        <f t="shared" si="45"/>
        <v>0.74449858984632045</v>
      </c>
      <c r="M46" s="3889"/>
      <c r="N46" s="3932">
        <f>IF(K46="NA","NA",K46/Table8s2!$G$34*100)</f>
        <v>1.1146996615408566E-4</v>
      </c>
      <c r="O46" s="3848">
        <v>21.614859534402736</v>
      </c>
      <c r="P46" s="3847">
        <f>Summary2!E47</f>
        <v>21.743534332227789</v>
      </c>
      <c r="Q46" s="3931">
        <f t="shared" si="50"/>
        <v>0.12867479782505242</v>
      </c>
      <c r="R46" s="3931">
        <f t="shared" si="51"/>
        <v>0.59530712017929377</v>
      </c>
      <c r="S46" s="3889"/>
      <c r="T46" s="3932">
        <f>IF(Q46="NA","NA",Q46/Table8s2!$G$34*100)</f>
        <v>2.2089162650526417E-5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-6853.099140125365</v>
      </c>
      <c r="D48" s="3847">
        <f>Summary2!C49</f>
        <v>-6842.5868497042429</v>
      </c>
      <c r="E48" s="3931">
        <f t="shared" si="48"/>
        <v>10.512290421122088</v>
      </c>
      <c r="F48" s="3931">
        <f t="shared" si="49"/>
        <v>-0.15339469349818546</v>
      </c>
      <c r="G48" s="3889"/>
      <c r="H48" s="3931">
        <f>IF(E48="NA","NA",E48/Table8s2!$G$34*100)</f>
        <v>1.8046089589155495E-3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v>4.6006647270185557</v>
      </c>
      <c r="D49" s="3855">
        <f>Summary2!C50</f>
        <v>4.6006647270185557</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21.374535350535716</v>
      </c>
      <c r="P49" s="3855">
        <f>Summary2!E50</f>
        <v>21.374535350535716</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28.521775413558473</v>
      </c>
      <c r="D50" s="3839">
        <f>Summary2!C51</f>
        <v>28.521775413558473</v>
      </c>
      <c r="E50" s="3839">
        <f t="shared" si="48"/>
        <v>0</v>
      </c>
      <c r="F50" s="3839">
        <f t="shared" si="49"/>
        <v>0</v>
      </c>
      <c r="G50" s="3844">
        <f>IF(E50="NA","NA",E50/Table8s2!$G$35*100)</f>
        <v>0</v>
      </c>
      <c r="H50" s="3845">
        <f>IF(E50="NA","NA",E50/Table8s2!$G$34*100)</f>
        <v>0</v>
      </c>
      <c r="I50" s="3839">
        <f>SUM(I51:I55)</f>
        <v>18698.095738764816</v>
      </c>
      <c r="J50" s="3839">
        <f>Summary2!D51</f>
        <v>18695.424030441834</v>
      </c>
      <c r="K50" s="3839">
        <f t="shared" ref="K50" si="54">IF(J50="NO",IF(I50="NO","NA",-I50),IF(I50="NO",J50,J50-I50))</f>
        <v>-2.6717083229814307</v>
      </c>
      <c r="L50" s="3839">
        <f t="shared" ref="L50" si="55">IF(K50="NA","NA",K50/I50*100)</f>
        <v>-1.4288665328857289E-2</v>
      </c>
      <c r="M50" s="3844">
        <f>IF(K50="NA","NA",K50/Table8s2!$G$35*100)</f>
        <v>-5.2062729280059786E-4</v>
      </c>
      <c r="N50" s="3845">
        <f>IF(K50="NA","NA",K50/Table8s2!$G$34*100)</f>
        <v>-4.5864303421203328E-4</v>
      </c>
      <c r="O50" s="3839">
        <f>SUM(O51:O55)</f>
        <v>363.57974007502253</v>
      </c>
      <c r="P50" s="3839">
        <f>Summary2!E51</f>
        <v>223.20983018622974</v>
      </c>
      <c r="Q50" s="3839">
        <f t="shared" si="52"/>
        <v>-140.36990988879279</v>
      </c>
      <c r="R50" s="3839">
        <f t="shared" si="53"/>
        <v>-38.607737015222106</v>
      </c>
      <c r="S50" s="3844">
        <f>IF(Q50="NA","NA",Q50/Table8s2!$G$35*100)</f>
        <v>-2.7353437329758243E-2</v>
      </c>
      <c r="T50" s="3845">
        <f>IF(Q50="NA","NA",Q50/Table8s2!$G$34*100)</f>
        <v>-2.4096822557195398E-2</v>
      </c>
    </row>
    <row r="51" spans="2:21" ht="18" customHeight="1" x14ac:dyDescent="0.2">
      <c r="B51" s="620" t="s">
        <v>1530</v>
      </c>
      <c r="C51" s="3918"/>
      <c r="D51" s="3918"/>
      <c r="E51" s="3888"/>
      <c r="F51" s="3903"/>
      <c r="G51" s="3904"/>
      <c r="H51" s="3905"/>
      <c r="I51" s="3839">
        <v>13998.839188162976</v>
      </c>
      <c r="J51" s="3839">
        <f>Summary2!D52</f>
        <v>13996.167479839998</v>
      </c>
      <c r="K51" s="3839">
        <f t="shared" ref="K51:K52" si="56">IF(J51="NO",IF(I51="NO","NA",-I51),IF(I51="NO",J51,J51-I51))</f>
        <v>-2.6717083229777927</v>
      </c>
      <c r="L51" s="3839">
        <f t="shared" ref="L51:L52" si="57">IF(K51="NA","NA",K51/I51*100)</f>
        <v>-1.9085213331380461E-2</v>
      </c>
      <c r="M51" s="3844">
        <f>IF(K51="NA","NA",K51/Table8s2!$G$35*100)</f>
        <v>-5.20627292799889E-4</v>
      </c>
      <c r="N51" s="3845">
        <f>IF(K51="NA","NA",K51/Table8s2!$G$34*100)</f>
        <v>-4.5864303421140878E-4</v>
      </c>
      <c r="O51" s="3886"/>
      <c r="P51" s="3887"/>
      <c r="Q51" s="3940"/>
      <c r="R51" s="3941"/>
      <c r="S51" s="3942"/>
      <c r="T51" s="3943"/>
    </row>
    <row r="52" spans="2:21" ht="18" customHeight="1" x14ac:dyDescent="0.2">
      <c r="B52" s="1396" t="s">
        <v>1531</v>
      </c>
      <c r="C52" s="3918"/>
      <c r="D52" s="3918"/>
      <c r="E52" s="3888"/>
      <c r="F52" s="3903"/>
      <c r="G52" s="3904"/>
      <c r="H52" s="3905"/>
      <c r="I52" s="3849">
        <v>54.439841472744007</v>
      </c>
      <c r="J52" s="3847">
        <f>Summary2!D53</f>
        <v>54.439841472744007</v>
      </c>
      <c r="K52" s="3839">
        <f t="shared" si="56"/>
        <v>0</v>
      </c>
      <c r="L52" s="3839">
        <f t="shared" si="57"/>
        <v>0</v>
      </c>
      <c r="M52" s="3844">
        <f>IF(K52="NA","NA",K52/Table8s2!$G$35*100)</f>
        <v>0</v>
      </c>
      <c r="N52" s="3845">
        <f>IF(K52="NA","NA",K52/Table8s2!$G$34*100)</f>
        <v>0</v>
      </c>
      <c r="O52" s="3839">
        <v>65.949979384124177</v>
      </c>
      <c r="P52" s="3839">
        <f>Summary2!E53</f>
        <v>65.949979384124177</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28.521775413558473</v>
      </c>
      <c r="D53" s="3839">
        <f>Summary2!C54</f>
        <v>28.521775413558473</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4644.8167091290943</v>
      </c>
      <c r="J54" s="3847">
        <f>Summary2!D55</f>
        <v>4644.8167091290934</v>
      </c>
      <c r="K54" s="3839">
        <f t="shared" ref="K54" si="62">IF(J54="NO",IF(I54="NO","NA",-I54),IF(I54="NO",J54,J54-I54))</f>
        <v>-9.0949470177292824E-13</v>
      </c>
      <c r="L54" s="3839">
        <f t="shared" ref="L54" si="63">IF(K54="NA","NA",K54/I54*100)</f>
        <v>-1.9580852350650861E-14</v>
      </c>
      <c r="M54" s="3844">
        <f>IF(K54="NA","NA",K54/Table8s2!$G$35*100)</f>
        <v>-1.7723033623375729E-16</v>
      </c>
      <c r="N54" s="3845">
        <f>IF(K54="NA","NA",K54/Table8s2!$G$34*100)</f>
        <v>-1.5612984622341328E-16</v>
      </c>
      <c r="O54" s="3839">
        <v>297.62976069089837</v>
      </c>
      <c r="P54" s="3839">
        <f>Summary2!E55</f>
        <v>157.25985080210555</v>
      </c>
      <c r="Q54" s="3839">
        <f t="shared" ref="Q54" si="64">IF(P54="NO",IF(O54="NO","NA",-O54),IF(O54="NO",P54,P54-O54))</f>
        <v>-140.36990988879282</v>
      </c>
      <c r="R54" s="3839">
        <f t="shared" ref="R54" si="65">IF(Q54="NA","NA",Q54/O54*100)</f>
        <v>-47.162592061676641</v>
      </c>
      <c r="S54" s="3844">
        <f>IF(Q54="NA","NA",Q54/Table8s2!$G$35*100)</f>
        <v>-2.735343732975825E-2</v>
      </c>
      <c r="T54" s="3845">
        <f>IF(Q54="NA","NA",Q54/Table8s2!$G$34*100)</f>
        <v>-2.4096822557195405E-2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9620.1779999999999</v>
      </c>
      <c r="D59" s="3847">
        <f>Summary2!C60</f>
        <v>9620.1779999999962</v>
      </c>
      <c r="E59" s="3861">
        <f t="shared" ref="E59" si="66">IF(D59="NO",IF(C59="NO","NA",-C59),IF(C59="NO",D59,D59-C59))</f>
        <v>-3.637978807091713E-12</v>
      </c>
      <c r="F59" s="3861">
        <f t="shared" ref="F59" si="67">IF(E59="NA","NA",E59/C59*100)</f>
        <v>-3.7816127800251861E-14</v>
      </c>
      <c r="G59" s="3862">
        <f>IF(E59="NA","NA",E59/Table8s2!$G$35*100)</f>
        <v>-7.0892134493502916E-16</v>
      </c>
      <c r="H59" s="3863">
        <f>IF(E59="NA","NA",E59/Table8s2!$G$34*100)</f>
        <v>-6.2451938489365312E-16</v>
      </c>
      <c r="I59" s="3847">
        <v>8.0375996866667609</v>
      </c>
      <c r="J59" s="3847">
        <f>Summary2!D60</f>
        <v>8.0375996866666668</v>
      </c>
      <c r="K59" s="3861">
        <f t="shared" ref="K59:K61" si="68">IF(J59="NO",IF(I59="NO","NA",-I59),IF(I59="NO",J59,J59-I59))</f>
        <v>-9.4146912488213275E-14</v>
      </c>
      <c r="L59" s="3861">
        <f t="shared" ref="L59:L61" si="69">IF(K59="NA","NA",K59/I59*100)</f>
        <v>-1.1713311953615911E-12</v>
      </c>
      <c r="M59" s="3862">
        <f>IF(K59="NA","NA",K59/Table8s2!$G$35*100)</f>
        <v>-1.8346109024197533E-17</v>
      </c>
      <c r="N59" s="3863">
        <f>IF(K59="NA","NA",K59/Table8s2!$G$34*100)</f>
        <v>-1.6161878612970517E-17</v>
      </c>
      <c r="O59" s="3848">
        <v>30.179733098688551</v>
      </c>
      <c r="P59" s="3847">
        <f>Summary2!E60</f>
        <v>30.179733098688594</v>
      </c>
      <c r="Q59" s="3861">
        <f t="shared" ref="Q59" si="70">IF(P59="NO",IF(O59="NO","NA",-O59),IF(O59="NO",P59,P59-O59))</f>
        <v>4.2632564145606011E-14</v>
      </c>
      <c r="R59" s="3966">
        <f t="shared" ref="R59" si="71">IF(Q59="NA","NA",Q59/O59*100)</f>
        <v>1.4126223053794532E-13</v>
      </c>
      <c r="S59" s="3967">
        <f>IF(Q59="NA","NA",Q59/Table8s2!$G$35*100)</f>
        <v>8.3076720109573726E-18</v>
      </c>
      <c r="T59" s="3968">
        <f>IF(Q59="NA","NA",Q59/Table8s2!$G$34*100)</f>
        <v>7.3185865417224975E-18</v>
      </c>
    </row>
    <row r="60" spans="2:21" ht="18" customHeight="1" x14ac:dyDescent="0.2">
      <c r="B60" s="1410" t="s">
        <v>111</v>
      </c>
      <c r="C60" s="3847">
        <v>6751.8959999999997</v>
      </c>
      <c r="D60" s="3847">
        <f>Summary2!C61</f>
        <v>6751.895999999997</v>
      </c>
      <c r="E60" s="3861">
        <f t="shared" ref="E60:E61" si="72">IF(D60="NO",IF(C60="NO","NA",-C60),IF(C60="NO",D60,D60-C60))</f>
        <v>-2.7284841053187847E-12</v>
      </c>
      <c r="F60" s="3861">
        <f t="shared" ref="F60:F61" si="73">IF(E60="NA","NA",E60/C60*100)</f>
        <v>-4.0410635846861166E-14</v>
      </c>
      <c r="G60" s="3862">
        <f>IF(E60="NA","NA",E60/Table8s2!$G$35*100)</f>
        <v>-5.3169100870127185E-16</v>
      </c>
      <c r="H60" s="3863">
        <f>IF(E60="NA","NA",E60/Table8s2!$G$34*100)</f>
        <v>-4.6838953867023984E-16</v>
      </c>
      <c r="I60" s="3847">
        <v>0.33479968666675997</v>
      </c>
      <c r="J60" s="3847">
        <f>Summary2!D61</f>
        <v>0.33479968666666665</v>
      </c>
      <c r="K60" s="3861">
        <f t="shared" si="68"/>
        <v>-9.3314245219744407E-14</v>
      </c>
      <c r="L60" s="3861">
        <f t="shared" si="69"/>
        <v>-2.7871664441736455E-11</v>
      </c>
      <c r="M60" s="3862">
        <f>IF(K60="NA","NA",K60/Table8s2!$G$35*100)</f>
        <v>-1.8183849805233522E-17</v>
      </c>
      <c r="N60" s="3863">
        <f>IF(K60="NA","NA",K60/Table8s2!$G$34*100)</f>
        <v>-1.6018937469577499E-17</v>
      </c>
      <c r="O60" s="3848">
        <v>9.3507330986885488</v>
      </c>
      <c r="P60" s="3847">
        <f>Summary2!E61</f>
        <v>9.350733098688595</v>
      </c>
      <c r="Q60" s="3861">
        <f t="shared" ref="Q60:Q61" si="74">IF(P60="NO",IF(O60="NO","NA",-O60),IF(O60="NO",P60,P60-O60))</f>
        <v>4.6185277824406512E-14</v>
      </c>
      <c r="R60" s="3966">
        <f t="shared" ref="R60:R61" si="75">IF(Q60="NA","NA",Q60/O60*100)</f>
        <v>4.9392146409230795E-13</v>
      </c>
      <c r="S60" s="3967">
        <f>IF(Q60="NA","NA",Q60/Table8s2!$G$35*100)</f>
        <v>8.9999780118704875E-18</v>
      </c>
      <c r="T60" s="3968">
        <f>IF(Q60="NA","NA",Q60/Table8s2!$G$34*100)</f>
        <v>7.9284687535327056E-18</v>
      </c>
    </row>
    <row r="61" spans="2:21" ht="18" customHeight="1" x14ac:dyDescent="0.2">
      <c r="B61" s="1411" t="s">
        <v>1503</v>
      </c>
      <c r="C61" s="3847">
        <v>2868.2820000000002</v>
      </c>
      <c r="D61" s="3847">
        <f>Summary2!C62</f>
        <v>2868.2820000000002</v>
      </c>
      <c r="E61" s="3861">
        <f t="shared" si="72"/>
        <v>0</v>
      </c>
      <c r="F61" s="3861">
        <f t="shared" si="73"/>
        <v>0</v>
      </c>
      <c r="G61" s="3862">
        <f>IF(E61="NA","NA",E61/Table8s2!$G$35*100)</f>
        <v>0</v>
      </c>
      <c r="H61" s="3863">
        <f>IF(E61="NA","NA",E61/Table8s2!$G$34*100)</f>
        <v>0</v>
      </c>
      <c r="I61" s="3847">
        <v>7.7027999999999999</v>
      </c>
      <c r="J61" s="3847">
        <f>Summary2!D62</f>
        <v>7.7027999999999999</v>
      </c>
      <c r="K61" s="3861">
        <f t="shared" si="68"/>
        <v>0</v>
      </c>
      <c r="L61" s="3861">
        <f t="shared" si="69"/>
        <v>0</v>
      </c>
      <c r="M61" s="3862">
        <f>IF(K61="NA","NA",K61/Table8s2!$G$35*100)</f>
        <v>0</v>
      </c>
      <c r="N61" s="3863">
        <f>IF(K61="NA","NA",K61/Table8s2!$G$34*100)</f>
        <v>0</v>
      </c>
      <c r="O61" s="3848">
        <v>20.829000000000001</v>
      </c>
      <c r="P61" s="3847">
        <f>Summary2!E62</f>
        <v>20.829000000000001</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16548.89351400001</v>
      </c>
      <c r="D63" s="3847">
        <f>Summary2!C64</f>
        <v>16548.893514000003</v>
      </c>
      <c r="E63" s="3861">
        <f t="shared" ref="E63:E65" si="76">IF(D63="NO",IF(C63="NO","NA",-C63),IF(C63="NO",D63,D63-C63))</f>
        <v>-7.2759576141834259E-12</v>
      </c>
      <c r="F63" s="3861">
        <f t="shared" ref="F63:F65" si="77">IF(E63="NA","NA",E63/C63*100)</f>
        <v>-4.3966429586534725E-14</v>
      </c>
      <c r="G63" s="3862">
        <f>IF(E63="NA","NA",E63/Table8s2!$G$35*100)</f>
        <v>-1.4178426898700583E-15</v>
      </c>
      <c r="H63" s="3863">
        <f>IF(E63="NA","NA",E63/Table8s2!$G$34*100)</f>
        <v>-1.2490387697873062E-15</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-239627.88505999526</v>
      </c>
      <c r="D65" s="3849">
        <f>Summary2!C66</f>
        <v>-239603.90497733816</v>
      </c>
      <c r="E65" s="3977">
        <f t="shared" si="76"/>
        <v>23.980082657100866</v>
      </c>
      <c r="F65" s="3984">
        <f t="shared" si="77"/>
        <v>-1.0007217086232268E-2</v>
      </c>
      <c r="G65" s="3985">
        <f>IF(E65="NA","NA",E65/Table8s2!$G$35*100)</f>
        <v>4.6729223424243401E-3</v>
      </c>
      <c r="H65" s="3986">
        <f>IF(E65="NA","NA",E65/Table8s2!$G$34*100)</f>
        <v>4.1165788106071414E-3</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1939.8840539305436</v>
      </c>
      <c r="D10" s="4019">
        <f>IF(SUM(D11:D30)=0,"NO",SUM(D11:D30))</f>
        <v>1939.884053930544</v>
      </c>
      <c r="E10" s="4019">
        <f>IF(D10="NO",IF(C10="NO","NA",-C10),IF(C10="NO",D10,D10-C10))</f>
        <v>4.5474735088646412E-13</v>
      </c>
      <c r="F10" s="4019">
        <f>IF(E10="NA","NA",E10/C10*100)</f>
        <v>2.3441986131339482E-14</v>
      </c>
      <c r="G10" s="4020">
        <f>IF(E10="NA","NA",E10/$G$35*100)</f>
        <v>8.8615168116878645E-17</v>
      </c>
      <c r="H10" s="4021">
        <f>IF(E10="NA","NA",E10/$G$34*100)</f>
        <v>7.806492311170664E-17</v>
      </c>
      <c r="I10" s="4022">
        <f>IF(SUM(I11:I30)=0,"NO",SUM(I11:I30))</f>
        <v>1553.8183084811451</v>
      </c>
      <c r="J10" s="4022">
        <f>IF(SUM(J11:J30)=0,"NO",SUM(J11:J30))</f>
        <v>1553.8183084811451</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232.00612349094484</v>
      </c>
      <c r="V10" s="4019">
        <f>IF(SUM(V11:V30)=0,"NO",SUM(V11:V30))</f>
        <v>232.00612349094484</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1553.8183084811451</v>
      </c>
      <c r="J13" s="3839">
        <f>'Table2(II)'!AH41</f>
        <v>1553.8183084811451</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1797.1933755008872</v>
      </c>
      <c r="D21" s="3847">
        <f>'Table2(I)'!F46</f>
        <v>1797.1933755008877</v>
      </c>
      <c r="E21" s="3847">
        <f>IF(D21="NO",IF(C21="NO","NA",-C21),IF(C21="NO",D21,D21-C21))</f>
        <v>4.5474735088646412E-13</v>
      </c>
      <c r="F21" s="4016">
        <f>IF(E21="NA","NA",E21/C21*100)</f>
        <v>2.5303195364812852E-14</v>
      </c>
      <c r="G21" s="3871">
        <f>IF(E21="NA","NA",E21/$G$35*100)</f>
        <v>8.8615168116878645E-17</v>
      </c>
      <c r="H21" s="3872">
        <f>IF(E21="NA","NA",E21/$G$34*100)</f>
        <v>7.806492311170664E-17</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31.231198825904553</v>
      </c>
      <c r="D22" s="3847">
        <f>'Table2(I)'!F47</f>
        <v>31.231198825904553</v>
      </c>
      <c r="E22" s="3847">
        <f t="shared" ref="E22:E25" si="0">IF(D22="NO",IF(C22="NO","NA",-C22),IF(C22="NO",D22,D22-C22))</f>
        <v>0</v>
      </c>
      <c r="F22" s="4016">
        <f t="shared" ref="F22:F25" si="1">IF(E22="NA","NA",E22/C22*100)</f>
        <v>0</v>
      </c>
      <c r="G22" s="3871">
        <f t="shared" ref="G22:G25" si="2">IF(E22="NA","NA",E22/$G$35*100)</f>
        <v>0</v>
      </c>
      <c r="H22" s="3872">
        <f t="shared" ref="H22:H25" si="3">IF(E22="NA","NA",E22/$G$34*100)</f>
        <v>0</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9.6261151631570598</v>
      </c>
      <c r="D23" s="3847">
        <f>'Table2(I)'!F48</f>
        <v>9.6261151631570545</v>
      </c>
      <c r="E23" s="3847">
        <f t="shared" si="0"/>
        <v>-5.3290705182007514E-15</v>
      </c>
      <c r="F23" s="4016">
        <f t="shared" si="1"/>
        <v>-5.5360552287980166E-14</v>
      </c>
      <c r="G23" s="3871">
        <f t="shared" si="2"/>
        <v>-1.0384590013696716E-18</v>
      </c>
      <c r="H23" s="3872">
        <f t="shared" si="3"/>
        <v>-9.1482331771531219E-19</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53.822741590391885</v>
      </c>
      <c r="D24" s="3847">
        <f>'Table2(I)'!F49</f>
        <v>53.822741590391864</v>
      </c>
      <c r="E24" s="3847">
        <f t="shared" si="0"/>
        <v>-2.1316282072803006E-14</v>
      </c>
      <c r="F24" s="4016">
        <f t="shared" si="1"/>
        <v>-3.960460103468282E-14</v>
      </c>
      <c r="G24" s="3871">
        <f t="shared" si="2"/>
        <v>-4.1538360054786863E-18</v>
      </c>
      <c r="H24" s="3872">
        <f t="shared" si="3"/>
        <v>-3.6592932708612488E-18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48.01062285020285</v>
      </c>
      <c r="D25" s="3847">
        <f>'Table2(I)'!F50</f>
        <v>48.010622850202836</v>
      </c>
      <c r="E25" s="3847">
        <f t="shared" si="0"/>
        <v>-1.4210854715202004E-14</v>
      </c>
      <c r="F25" s="4016">
        <f t="shared" si="1"/>
        <v>-2.9599396699228538E-14</v>
      </c>
      <c r="G25" s="3871">
        <f t="shared" si="2"/>
        <v>-2.7692240036524577E-18</v>
      </c>
      <c r="H25" s="3872">
        <f t="shared" si="3"/>
        <v>-2.4395288472408325E-18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216.25213324054363</v>
      </c>
      <c r="V27" s="3847">
        <f>IFERROR('Table2(I)'!I53*23500,'Table2(I)'!I53)</f>
        <v>216.25213324054374</v>
      </c>
      <c r="W27" s="3847">
        <f>IF(V27="NO",IF(U27="NO","NA",-U27),IF(U27="NO",V27,V27-U27))</f>
        <v>1.1368683772161603E-13</v>
      </c>
      <c r="X27" s="4016">
        <f>IF(W27="NA","NA",W27/U27*100)</f>
        <v>5.257142947818175E-14</v>
      </c>
      <c r="Y27" s="3871">
        <f>IF(W27="NA","NA",W27/$G$35*100)</f>
        <v>2.2153792029219661E-17</v>
      </c>
      <c r="Z27" s="3872">
        <f>IF(W27="NA","NA",W27/$G$34*100)</f>
        <v>1.951623077792666E-17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15.753990250401211</v>
      </c>
      <c r="V28" s="3847">
        <f>IFERROR('Table2(I)'!I54*23500,'Table2(I)'!I54)</f>
        <v>15.753990250401102</v>
      </c>
      <c r="W28" s="3847">
        <f>IF(V28="NO",IF(U28="NO","NA",-U28),IF(U28="NO",V28,V28-U28))</f>
        <v>-1.0835776720341528E-13</v>
      </c>
      <c r="X28" s="4016">
        <f>IF(W28="NA","NA",W28/U28*100)</f>
        <v>-6.8781156698161404E-13</v>
      </c>
      <c r="Y28" s="3871">
        <f>IF(W28="NA","NA",W28/$G$35*100)</f>
        <v>-2.111533302784999E-17</v>
      </c>
      <c r="Z28" s="3872">
        <f>IF(W28="NA","NA",W28/$G$34*100)</f>
        <v>-1.8601407460211346E-17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586392.53662498295</v>
      </c>
      <c r="F34" s="4523"/>
      <c r="G34" s="4522">
        <f>SUM(Table8s1!D10,Table8s1!J10,Table8s1!P10,D10,J10,P10,V10,AB10)</f>
        <v>582524.56130104105</v>
      </c>
      <c r="H34" s="4523"/>
      <c r="I34" s="3839">
        <f>G34-E34</f>
        <v>-3867.9753239419078</v>
      </c>
      <c r="J34" s="4045">
        <f>IF(I34="NA","NA",I34/E34*100)</f>
        <v>-0.6596221954331597</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512315.29247061571</v>
      </c>
      <c r="F35" s="4525"/>
      <c r="G35" s="4526">
        <f>G34-SUM(Table8s1!D41,Table8s1!J41,Table8s1!P41)</f>
        <v>513171.00734569144</v>
      </c>
      <c r="H35" s="4527"/>
      <c r="I35" s="3855">
        <f>G35-E35</f>
        <v>855.71487507573329</v>
      </c>
      <c r="J35" s="4046">
        <f>IF(I35="NA","NA",I35/E35*100)</f>
        <v>0.16702895417177374</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1077117.4345343215</v>
      </c>
      <c r="D10" s="1913" t="s">
        <v>1814</v>
      </c>
      <c r="E10" s="628"/>
      <c r="F10" s="628"/>
      <c r="G10" s="628"/>
      <c r="H10" s="1847">
        <f>IF(SUM(H11:H14)=0,"NO",SUM(H11:H14))</f>
        <v>73052.312407992635</v>
      </c>
      <c r="I10" s="1847">
        <f>IF(SUM(I11:I15)=0,"NO",SUM(I11:I15))</f>
        <v>26.322056482199386</v>
      </c>
      <c r="J10" s="2192">
        <f>IF(SUM(J11:J15)=0,"NO",SUM(J11:J15))</f>
        <v>6.4041698370851226</v>
      </c>
    </row>
    <row r="11" spans="2:11" ht="18" customHeight="1" x14ac:dyDescent="0.2">
      <c r="B11" s="282" t="s">
        <v>132</v>
      </c>
      <c r="C11" s="1913">
        <f>IF(SUM(C17:C18,C21:C24,C82,C89:C92,C100)=0,"NO",SUM(C17:C18,C21:C24,C82,C89:C92,C100))</f>
        <v>1056641.4202736001</v>
      </c>
      <c r="D11" s="1909" t="s">
        <v>1814</v>
      </c>
      <c r="E11" s="1913">
        <f>IFERROR(H11*1000/$C11,"NA")</f>
        <v>67.956977372694752</v>
      </c>
      <c r="F11" s="1913">
        <f t="shared" ref="F11:G15" si="0">IFERROR(I11*1000000/$C11,"NA")</f>
        <v>24.51761208201512</v>
      </c>
      <c r="G11" s="1913">
        <f t="shared" si="0"/>
        <v>6.0536306019773942</v>
      </c>
      <c r="H11" s="1913">
        <f>IF(SUM(H17:H18,H21:H24,H82,H89:H92,H100)=0,"NO",SUM(H17:H18,H21:H24,H82,H89:H92,H100))</f>
        <v>71806.157088585096</v>
      </c>
      <c r="I11" s="1913">
        <f>IF(SUM(I17:I18,I21:I24,I82,I89:I92,I100)=0,"NO",SUM(I17:I18,I21:I24,I82,I89:I92,I100))</f>
        <v>25.906324452057632</v>
      </c>
      <c r="J11" s="3085">
        <f>IF(SUM(J17:J18,J21:J24,J82,J89:J92,J100)=0,"NO",SUM(J17:J18,J21:J24,J82,J89:J92,J100))</f>
        <v>6.3965168370851231</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15452.999999999998</v>
      </c>
      <c r="D13" s="1909" t="s">
        <v>1814</v>
      </c>
      <c r="E13" s="1913">
        <f t="shared" si="1"/>
        <v>51.411918339265</v>
      </c>
      <c r="F13" s="1913">
        <f t="shared" si="0"/>
        <v>16.549021558386986</v>
      </c>
      <c r="G13" s="1913">
        <f t="shared" si="0"/>
        <v>0.17168187406975993</v>
      </c>
      <c r="H13" s="1913">
        <f>IF(SUM(H26,H84,H94,H102)=0,"NO",SUM(H26,H84,H94,H102))</f>
        <v>794.46837409666193</v>
      </c>
      <c r="I13" s="1913">
        <f>IF(SUM(I26,I84,I94,I102)=0,"NO",SUM(I26,I84,I94,I102))</f>
        <v>0.25573203014175405</v>
      </c>
      <c r="J13" s="3085">
        <f>IF(SUM(J26,J84,J94,J102)=0,"NO",SUM(J26,J84,J94,J102))</f>
        <v>2.653E-3</v>
      </c>
    </row>
    <row r="14" spans="2:11" ht="18" customHeight="1" x14ac:dyDescent="0.2">
      <c r="B14" s="282" t="s">
        <v>175</v>
      </c>
      <c r="C14" s="1913">
        <f>IF(SUM(C28,C86,C96,C103)=0,"NO",SUM(C28,C86,C96,C103))</f>
        <v>5023.014260721493</v>
      </c>
      <c r="D14" s="1909" t="s">
        <v>1814</v>
      </c>
      <c r="E14" s="1913">
        <f t="shared" si="1"/>
        <v>89.923484558454419</v>
      </c>
      <c r="F14" s="1913">
        <f t="shared" si="0"/>
        <v>31.853383585062332</v>
      </c>
      <c r="G14" s="1913">
        <f t="shared" si="0"/>
        <v>0.99541823703319787</v>
      </c>
      <c r="H14" s="1913">
        <f>IF(SUM(H28,H86,H96,H103)=0,"NO",SUM(H28,H86,H96,H103))</f>
        <v>451.68694531088551</v>
      </c>
      <c r="I14" s="1913">
        <f>IF(SUM(I28,I86,I96,I103)=0,"NO",SUM(I28,I86,I96,I103))</f>
        <v>0.16</v>
      </c>
      <c r="J14" s="3085">
        <f>IF(SUM(J28,J86,J96,J103)=0,"NO",SUM(J28,J86,J96,J103))</f>
        <v>5.0000000000000001E-3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70944.877906049805</v>
      </c>
      <c r="D16" s="1909" t="s">
        <v>1814</v>
      </c>
      <c r="E16" s="628"/>
      <c r="F16" s="628"/>
      <c r="G16" s="628"/>
      <c r="H16" s="1913">
        <f>IF(SUM(H17:H18)=0,"NO",SUM(H17:H18))</f>
        <v>4929.6235640423147</v>
      </c>
      <c r="I16" s="1913">
        <f>IF(SUM(I17:I19)=0,"NO",SUM(I17:I19))</f>
        <v>2.9697673519499122E-2</v>
      </c>
      <c r="J16" s="3085">
        <f>IF(SUM(J17:J19)=0,"NO",SUM(J17:J19))</f>
        <v>4.2947028804596304E-2</v>
      </c>
    </row>
    <row r="17" spans="2:10" ht="18" customHeight="1" x14ac:dyDescent="0.2">
      <c r="B17" s="282" t="s">
        <v>177</v>
      </c>
      <c r="C17" s="691">
        <v>3130.74546875031</v>
      </c>
      <c r="D17" s="1909" t="s">
        <v>1814</v>
      </c>
      <c r="E17" s="1913">
        <f t="shared" ref="E17:E19" si="2">IFERROR(H17*1000/$C17,"NA")</f>
        <v>67.000000000000085</v>
      </c>
      <c r="F17" s="1913">
        <f t="shared" ref="F17:G19" si="3">IFERROR(I17*1000000/$C17,"NA")</f>
        <v>0.50000000000000056</v>
      </c>
      <c r="G17" s="1913">
        <f t="shared" si="3"/>
        <v>2.0000000000000022</v>
      </c>
      <c r="H17" s="691">
        <v>209.75994640627101</v>
      </c>
      <c r="I17" s="691">
        <v>1.5653727343751566E-3</v>
      </c>
      <c r="J17" s="2911">
        <v>6.2614909375006272E-3</v>
      </c>
    </row>
    <row r="18" spans="2:10" ht="18" customHeight="1" x14ac:dyDescent="0.2">
      <c r="B18" s="282" t="s">
        <v>178</v>
      </c>
      <c r="C18" s="691">
        <v>67814.1324372995</v>
      </c>
      <c r="D18" s="1909" t="s">
        <v>1814</v>
      </c>
      <c r="E18" s="1913">
        <f t="shared" si="2"/>
        <v>69.59999999999998</v>
      </c>
      <c r="F18" s="1913">
        <f t="shared" si="3"/>
        <v>0.41484421866098342</v>
      </c>
      <c r="G18" s="1913">
        <f t="shared" si="3"/>
        <v>0.54097186749406379</v>
      </c>
      <c r="H18" s="691">
        <v>4719.8636176360433</v>
      </c>
      <c r="I18" s="691">
        <v>2.8132300785123965E-2</v>
      </c>
      <c r="J18" s="2911">
        <v>3.6685537867095677E-2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943856.74569764012</v>
      </c>
      <c r="D20" s="1909" t="s">
        <v>1814</v>
      </c>
      <c r="E20" s="628"/>
      <c r="F20" s="628"/>
      <c r="G20" s="628"/>
      <c r="H20" s="1913">
        <f>IF(SUM(H21:H24,H26,H28)=0,"NO",SUM(H21:H24,H26,H28))</f>
        <v>63932.213247558786</v>
      </c>
      <c r="I20" s="1913">
        <f>IF(SUM(I21:I24,I26:I28)=0,"NO",SUM(I21:I24,I26:I28))</f>
        <v>22.024783459133182</v>
      </c>
      <c r="J20" s="3085">
        <f>IF(SUM(J21:J24,J26:J28)=0,"NO",SUM(J21:J24,J26:J28))</f>
        <v>5.6540293516436293</v>
      </c>
    </row>
    <row r="21" spans="2:10" ht="18" customHeight="1" x14ac:dyDescent="0.2">
      <c r="B21" s="282" t="s">
        <v>167</v>
      </c>
      <c r="C21" s="1913">
        <f>IF(SUM(C31,C41,C51,C61,C72)=0,"NO",SUM(C31,C41,C51,C61,C72))</f>
        <v>594139.01592196082</v>
      </c>
      <c r="D21" s="1909" t="s">
        <v>1814</v>
      </c>
      <c r="E21" s="1913">
        <f t="shared" ref="E21:E23" si="4">IFERROR(H21*1000/$C21,"NA")</f>
        <v>67.40000000000002</v>
      </c>
      <c r="F21" s="1913">
        <f t="shared" ref="F21:G23" si="5">IFERROR(I21*1000000/$C21,"NA")</f>
        <v>27.464372870503624</v>
      </c>
      <c r="G21" s="1913">
        <f t="shared" si="5"/>
        <v>8.6433556891307095</v>
      </c>
      <c r="H21" s="1913">
        <f>IF(SUM(H31,H41,H51,H61,H72)=0,"NO",SUM(H31,H41,H51,H61,H72))</f>
        <v>40044.969673140171</v>
      </c>
      <c r="I21" s="1913">
        <f>IF(SUM(I31,I41,I51,I61,I72)=0,"NO",SUM(I31,I41,I51,I61,I72))</f>
        <v>16.317655470194822</v>
      </c>
      <c r="J21" s="3085">
        <f>IF(SUM(J31,J41,J51,J61,J72)=0,"NO",SUM(J31,J41,J51,J61,J72))</f>
        <v>5.1353548434036007</v>
      </c>
    </row>
    <row r="22" spans="2:10" ht="18" customHeight="1" x14ac:dyDescent="0.2">
      <c r="B22" s="282" t="s">
        <v>168</v>
      </c>
      <c r="C22" s="1913">
        <f t="shared" ref="C22:C29" si="6">IF(SUM(C32,C42,C52,C62,C73)=0,"NO",SUM(C32,C42,C52,C62,C73))</f>
        <v>293248.5197256016</v>
      </c>
      <c r="D22" s="1909" t="s">
        <v>1814</v>
      </c>
      <c r="E22" s="1913">
        <f t="shared" si="4"/>
        <v>69.900000000000119</v>
      </c>
      <c r="F22" s="1913">
        <f t="shared" si="5"/>
        <v>11.940426878318755</v>
      </c>
      <c r="G22" s="1913">
        <f t="shared" si="5"/>
        <v>1.534388143473699</v>
      </c>
      <c r="H22" s="1913">
        <f t="shared" ref="H22:J29" si="7">IF(SUM(H32,H42,H52,H62,H73)=0,"NO",SUM(H32,H42,H52,H62,H73))</f>
        <v>20498.071528819586</v>
      </c>
      <c r="I22" s="1913">
        <f t="shared" si="7"/>
        <v>3.5015125069587607</v>
      </c>
      <c r="J22" s="3085">
        <f t="shared" si="7"/>
        <v>0.44995705175817624</v>
      </c>
    </row>
    <row r="23" spans="2:10" ht="18" customHeight="1" x14ac:dyDescent="0.2">
      <c r="B23" s="282" t="s">
        <v>169</v>
      </c>
      <c r="C23" s="1913">
        <f t="shared" si="6"/>
        <v>55286.929691372774</v>
      </c>
      <c r="D23" s="1909" t="s">
        <v>1814</v>
      </c>
      <c r="E23" s="1913">
        <f t="shared" si="4"/>
        <v>60.200000000000053</v>
      </c>
      <c r="F23" s="1913">
        <f t="shared" si="5"/>
        <v>37.529428695179867</v>
      </c>
      <c r="G23" s="1913">
        <f t="shared" si="5"/>
        <v>1.2216351470208593</v>
      </c>
      <c r="H23" s="1913">
        <f t="shared" si="7"/>
        <v>3328.2731674206439</v>
      </c>
      <c r="I23" s="1913">
        <f t="shared" si="7"/>
        <v>2.0748868856277971</v>
      </c>
      <c r="J23" s="3085">
        <f t="shared" si="7"/>
        <v>6.7540456481852085E-2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1176.9999999999982</v>
      </c>
      <c r="D26" s="1909" t="s">
        <v>1814</v>
      </c>
      <c r="E26" s="1913">
        <f t="shared" si="8"/>
        <v>51.411918339265092</v>
      </c>
      <c r="F26" s="1913">
        <f t="shared" si="9"/>
        <v>111.06932570246379</v>
      </c>
      <c r="G26" s="1913">
        <f t="shared" si="9"/>
        <v>1.0000000000000016</v>
      </c>
      <c r="H26" s="1913">
        <f t="shared" si="7"/>
        <v>60.511827885314915</v>
      </c>
      <c r="I26" s="1913">
        <f t="shared" si="7"/>
        <v>0.13072859635179968</v>
      </c>
      <c r="J26" s="3085">
        <f t="shared" si="7"/>
        <v>1.1770000000000001E-3</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5.2803587049066705</v>
      </c>
      <c r="D28" s="1909" t="s">
        <v>1814</v>
      </c>
      <c r="E28" s="628"/>
      <c r="F28" s="628"/>
      <c r="G28" s="628"/>
      <c r="H28" s="1913">
        <f>H29</f>
        <v>0.38705029306965871</v>
      </c>
      <c r="I28" s="1913" t="str">
        <f>I29</f>
        <v>NE</v>
      </c>
      <c r="J28" s="3085" t="str">
        <f>J29</f>
        <v>NE</v>
      </c>
    </row>
    <row r="29" spans="2:10" ht="18" customHeight="1" x14ac:dyDescent="0.2">
      <c r="B29" s="3105" t="s">
        <v>252</v>
      </c>
      <c r="C29" s="1913">
        <f t="shared" si="6"/>
        <v>5.2803587049066705</v>
      </c>
      <c r="D29" s="1909" t="s">
        <v>1814</v>
      </c>
      <c r="E29" s="3103">
        <f t="shared" ref="E29" si="10">IFERROR(H29*1000/$C29,"NA")</f>
        <v>73.299999999999955</v>
      </c>
      <c r="F29" s="3103" t="str">
        <f>IFERROR(I29*1000000/$C29,"NA")</f>
        <v>NA</v>
      </c>
      <c r="G29" s="3103" t="str">
        <f>IFERROR(J29*1000000/$C29,"NA")</f>
        <v>NA</v>
      </c>
      <c r="H29" s="1913">
        <f t="shared" si="7"/>
        <v>0.38705029306965871</v>
      </c>
      <c r="I29" s="1913" t="str">
        <f>IF(SUM(I39,I49,I59,I69,I80)=0,"NE",SUM(I39,I49,I59,I69,I80))</f>
        <v>NE</v>
      </c>
      <c r="J29" s="3085" t="str">
        <f>IF(SUM(J39,J49,J59,J69,J80)=0,"NE",SUM(J39,J49,J59,J69,J80))</f>
        <v>NE</v>
      </c>
    </row>
    <row r="30" spans="2:10" ht="18" customHeight="1" x14ac:dyDescent="0.2">
      <c r="B30" s="1242" t="s">
        <v>182</v>
      </c>
      <c r="C30" s="1913">
        <f>IF(SUM(C31:C34,C36:C38)=0,"NO",SUM(C31:C34,C36:C38))</f>
        <v>570001.22936371923</v>
      </c>
      <c r="D30" s="1909" t="s">
        <v>1814</v>
      </c>
      <c r="E30" s="628"/>
      <c r="F30" s="628"/>
      <c r="G30" s="628"/>
      <c r="H30" s="1913">
        <f>IF(SUM(H31:H34,H36,H38)=0,"NO",SUM(H31:H34,H36,H38))</f>
        <v>38175.695329621667</v>
      </c>
      <c r="I30" s="1913">
        <f>IF(SUM(I31:I34,I36:I38)=0,"NO",SUM(I31:I34,I36:I38))</f>
        <v>16.200646630493686</v>
      </c>
      <c r="J30" s="3085">
        <f>IF(SUM(J31:J34,J36:J38)=0,"NO",SUM(J31:J34,J36:J38))</f>
        <v>4.888273183898229</v>
      </c>
    </row>
    <row r="31" spans="2:10" ht="18" customHeight="1" x14ac:dyDescent="0.2">
      <c r="B31" s="282" t="s">
        <v>167</v>
      </c>
      <c r="C31" s="691">
        <v>502095.90272137098</v>
      </c>
      <c r="D31" s="1909" t="s">
        <v>1814</v>
      </c>
      <c r="E31" s="1913">
        <f t="shared" ref="E31:E33" si="11">IFERROR(H31*1000/$C31,"NA")</f>
        <v>67.400000000000034</v>
      </c>
      <c r="F31" s="1913">
        <f t="shared" ref="F31:G33" si="12">IFERROR(I31*1000000/$C31,"NA")</f>
        <v>28.407553768293347</v>
      </c>
      <c r="G31" s="1913">
        <f t="shared" si="12"/>
        <v>9.6149521003425757</v>
      </c>
      <c r="H31" s="691">
        <v>33841.26384342042</v>
      </c>
      <c r="I31" s="691">
        <v>14.263316353397133</v>
      </c>
      <c r="J31" s="2911">
        <v>4.827628054444248</v>
      </c>
    </row>
    <row r="32" spans="2:10" ht="18" customHeight="1" x14ac:dyDescent="0.2">
      <c r="B32" s="282" t="s">
        <v>168</v>
      </c>
      <c r="C32" s="691">
        <v>25473.375154884001</v>
      </c>
      <c r="D32" s="1909" t="s">
        <v>1814</v>
      </c>
      <c r="E32" s="1913">
        <f t="shared" si="11"/>
        <v>69.899999999999935</v>
      </c>
      <c r="F32" s="1913">
        <f t="shared" si="12"/>
        <v>12.317427692842204</v>
      </c>
      <c r="G32" s="1913">
        <f t="shared" si="12"/>
        <v>0.32862985466082023</v>
      </c>
      <c r="H32" s="691">
        <v>1780.5889233263899</v>
      </c>
      <c r="I32" s="691">
        <v>0.31376645656292673</v>
      </c>
      <c r="J32" s="2911">
        <v>8.371311574870078E-3</v>
      </c>
    </row>
    <row r="33" spans="2:10" ht="18" customHeight="1" x14ac:dyDescent="0.2">
      <c r="B33" s="282" t="s">
        <v>169</v>
      </c>
      <c r="C33" s="691">
        <v>42368.124512232906</v>
      </c>
      <c r="D33" s="1909" t="s">
        <v>1814</v>
      </c>
      <c r="E33" s="1913">
        <f t="shared" si="11"/>
        <v>60.200000000000053</v>
      </c>
      <c r="F33" s="1913">
        <f t="shared" si="12"/>
        <v>37.92721529446704</v>
      </c>
      <c r="G33" s="1913">
        <f t="shared" si="12"/>
        <v>1.2322941245323367</v>
      </c>
      <c r="H33" s="691">
        <v>2550.561095636423</v>
      </c>
      <c r="I33" s="691">
        <v>1.6069049799982438</v>
      </c>
      <c r="J33" s="2911">
        <v>5.220999090387908E-2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63.826975231346296</v>
      </c>
      <c r="D36" s="1909" t="s">
        <v>1814</v>
      </c>
      <c r="E36" s="1913">
        <f t="shared" si="13"/>
        <v>51.411918339265021</v>
      </c>
      <c r="F36" s="1913">
        <f t="shared" si="14"/>
        <v>261.00000000000017</v>
      </c>
      <c r="G36" s="1913">
        <f t="shared" si="14"/>
        <v>1.0000000000000004</v>
      </c>
      <c r="H36" s="691">
        <v>3.2814672384362669</v>
      </c>
      <c r="I36" s="691">
        <v>1.6658840535381393E-2</v>
      </c>
      <c r="J36" s="2911">
        <v>6.3826975231346316E-5</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148804.48638583202</v>
      </c>
      <c r="D40" s="1909" t="s">
        <v>1814</v>
      </c>
      <c r="E40" s="628"/>
      <c r="F40" s="628"/>
      <c r="G40" s="628"/>
      <c r="H40" s="1913">
        <f>IF(SUM(H41:H44,H46,H48)=0,"NO",SUM(H41:H44,H46,H48))</f>
        <v>10075.859381006461</v>
      </c>
      <c r="I40" s="1913">
        <f>IF(SUM(I41:I44,I46:I48)=0,"NO",SUM(I41:I44,I46:I48))</f>
        <v>3.9696691219488591</v>
      </c>
      <c r="J40" s="3085">
        <f>IF(SUM(J41:J44,J46:J48)=0,"NO",SUM(J41:J44,J46:J48))</f>
        <v>0.33121342598267089</v>
      </c>
    </row>
    <row r="41" spans="2:10" ht="18" customHeight="1" x14ac:dyDescent="0.2">
      <c r="B41" s="282" t="s">
        <v>167</v>
      </c>
      <c r="C41" s="691">
        <v>86137.373542961999</v>
      </c>
      <c r="D41" s="1909" t="s">
        <v>1814</v>
      </c>
      <c r="E41" s="1913">
        <f t="shared" ref="E41:E43" si="16">IFERROR(H41*1000/$C41,"NA")</f>
        <v>67.400000000000006</v>
      </c>
      <c r="F41" s="1913">
        <f t="shared" ref="F41:G43" si="17">IFERROR(I41*1000000/$C41,"NA")</f>
        <v>20.251231776835301</v>
      </c>
      <c r="G41" s="1913">
        <f t="shared" si="17"/>
        <v>3.5067580051981286</v>
      </c>
      <c r="H41" s="691">
        <v>5805.6589767956402</v>
      </c>
      <c r="I41" s="691">
        <v>1.7443879162663642</v>
      </c>
      <c r="J41" s="2911">
        <v>0.30206292421852349</v>
      </c>
    </row>
    <row r="42" spans="2:10" ht="18" customHeight="1" x14ac:dyDescent="0.2">
      <c r="B42" s="282" t="s">
        <v>168</v>
      </c>
      <c r="C42" s="691">
        <v>51312.396843091599</v>
      </c>
      <c r="D42" s="1909" t="s">
        <v>1814</v>
      </c>
      <c r="E42" s="1913">
        <f t="shared" si="16"/>
        <v>69.900000000000063</v>
      </c>
      <c r="F42" s="1913">
        <f t="shared" si="17"/>
        <v>34.568699059115119</v>
      </c>
      <c r="G42" s="1913">
        <f t="shared" si="17"/>
        <v>0.31302686557424841</v>
      </c>
      <c r="H42" s="691">
        <v>3586.7365393321061</v>
      </c>
      <c r="I42" s="691">
        <v>1.7738028044707221</v>
      </c>
      <c r="J42" s="2911">
        <v>1.6062158748894922E-2</v>
      </c>
    </row>
    <row r="43" spans="2:10" ht="18" customHeight="1" x14ac:dyDescent="0.2">
      <c r="B43" s="282" t="s">
        <v>169</v>
      </c>
      <c r="C43" s="691">
        <v>11344.470497811</v>
      </c>
      <c r="D43" s="1909" t="s">
        <v>1814</v>
      </c>
      <c r="E43" s="1913">
        <f t="shared" si="16"/>
        <v>60.200000000000024</v>
      </c>
      <c r="F43" s="1913">
        <f t="shared" si="17"/>
        <v>39.561504900989483</v>
      </c>
      <c r="G43" s="1913">
        <f t="shared" si="17"/>
        <v>1.1528169177934426</v>
      </c>
      <c r="H43" s="691">
        <v>682.93712396822252</v>
      </c>
      <c r="I43" s="691">
        <v>0.44880432519828051</v>
      </c>
      <c r="J43" s="2911">
        <v>1.307809751328512E-2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10.2455019674018</v>
      </c>
      <c r="D46" s="1909" t="s">
        <v>1814</v>
      </c>
      <c r="E46" s="1913">
        <f t="shared" si="18"/>
        <v>51.411918339264936</v>
      </c>
      <c r="F46" s="1913">
        <f t="shared" si="19"/>
        <v>260.9999999999996</v>
      </c>
      <c r="G46" s="1913">
        <f t="shared" si="19"/>
        <v>0.99999999999999867</v>
      </c>
      <c r="H46" s="691">
        <v>0.52674091049283955</v>
      </c>
      <c r="I46" s="691">
        <v>2.6740760134918661E-3</v>
      </c>
      <c r="J46" s="2911">
        <v>1.0245501967401785E-5</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221444.68882253772</v>
      </c>
      <c r="D50" s="1909" t="s">
        <v>1814</v>
      </c>
      <c r="E50" s="628"/>
      <c r="F50" s="628"/>
      <c r="G50" s="628"/>
      <c r="H50" s="1913">
        <f>IF(SUM(H51:H54,H56,H58)=0,"NO",SUM(H51:H54,H56,H58))</f>
        <v>15437.559990952152</v>
      </c>
      <c r="I50" s="1913">
        <f>IF(SUM(I51:I54,I56:I58)=0,"NO",SUM(I51:I54,I56:I58))</f>
        <v>1.591232270517666</v>
      </c>
      <c r="J50" s="3085">
        <f>IF(SUM(J51:J54,J56:J58)=0,"NO",SUM(J51:J54,J56:J58))</f>
        <v>0.43103293594709041</v>
      </c>
    </row>
    <row r="51" spans="2:10" ht="18" customHeight="1" x14ac:dyDescent="0.2">
      <c r="B51" s="282" t="s">
        <v>167</v>
      </c>
      <c r="C51" s="691">
        <v>2304.6788907815899</v>
      </c>
      <c r="D51" s="1909" t="s">
        <v>1814</v>
      </c>
      <c r="E51" s="1913">
        <f t="shared" ref="E51:E53" si="21">IFERROR(H51*1000/$C51,"NA")</f>
        <v>67.400000000000063</v>
      </c>
      <c r="F51" s="1913">
        <f t="shared" ref="F51:G53" si="22">IFERROR(I51*1000000/$C51,"NA")</f>
        <v>20.269966694801365</v>
      </c>
      <c r="G51" s="1913">
        <f t="shared" si="22"/>
        <v>0.9346460080863922</v>
      </c>
      <c r="H51" s="691">
        <v>155.33535723867931</v>
      </c>
      <c r="I51" s="691">
        <v>4.6715764358354582E-2</v>
      </c>
      <c r="J51" s="2911">
        <v>2.1540589251899875E-3</v>
      </c>
    </row>
    <row r="52" spans="2:10" ht="18" customHeight="1" x14ac:dyDescent="0.2">
      <c r="B52" s="282" t="s">
        <v>168</v>
      </c>
      <c r="C52" s="691">
        <v>216462.747727626</v>
      </c>
      <c r="D52" s="1909" t="s">
        <v>1814</v>
      </c>
      <c r="E52" s="1913">
        <f t="shared" si="21"/>
        <v>69.900000000000148</v>
      </c>
      <c r="F52" s="1913">
        <f t="shared" si="22"/>
        <v>6.5320396269951706</v>
      </c>
      <c r="G52" s="1913">
        <f t="shared" si="22"/>
        <v>1.9658051369182723</v>
      </c>
      <c r="H52" s="691">
        <v>15130.746066161089</v>
      </c>
      <c r="I52" s="691">
        <v>1.413943245925112</v>
      </c>
      <c r="J52" s="2911">
        <v>0.42552358143441127</v>
      </c>
    </row>
    <row r="53" spans="2:10" ht="18" customHeight="1" x14ac:dyDescent="0.2">
      <c r="B53" s="282" t="s">
        <v>169</v>
      </c>
      <c r="C53" s="691">
        <v>1574.3346813288699</v>
      </c>
      <c r="D53" s="1909" t="s">
        <v>1814</v>
      </c>
      <c r="E53" s="1913">
        <f t="shared" si="21"/>
        <v>60.200000000000159</v>
      </c>
      <c r="F53" s="1913">
        <f t="shared" si="22"/>
        <v>12.18138726073502</v>
      </c>
      <c r="G53" s="1913">
        <f t="shared" si="22"/>
        <v>1.4306793157771891</v>
      </c>
      <c r="H53" s="691">
        <v>94.774947815998232</v>
      </c>
      <c r="I53" s="691">
        <v>1.9177580431272826E-2</v>
      </c>
      <c r="J53" s="2911">
        <v>2.2523680646878864E-3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1102.92752280125</v>
      </c>
      <c r="D56" s="1909" t="s">
        <v>1814</v>
      </c>
      <c r="E56" s="1913">
        <f t="shared" si="23"/>
        <v>51.4119183392651</v>
      </c>
      <c r="F56" s="1913">
        <f t="shared" si="24"/>
        <v>101.00000000000017</v>
      </c>
      <c r="G56" s="1913">
        <f t="shared" si="24"/>
        <v>1.0000000000000018</v>
      </c>
      <c r="H56" s="691">
        <v>56.703619736385811</v>
      </c>
      <c r="I56" s="691">
        <v>0.11139567980292643</v>
      </c>
      <c r="J56" s="2911">
        <v>1.102927522801252E-3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3606.3411255511469</v>
      </c>
      <c r="D60" s="1909" t="s">
        <v>1814</v>
      </c>
      <c r="E60" s="628"/>
      <c r="F60" s="628"/>
      <c r="G60" s="628"/>
      <c r="H60" s="1913">
        <f>IF(SUM(H61:H64,H66,H68)=0,"NO",SUM(H61:H64,H66,H68))</f>
        <v>243.09854597850614</v>
      </c>
      <c r="I60" s="1913">
        <f>IF(SUM(I61:I64,I66:I68)=0,"NO",SUM(I61:I64,I66:I68))</f>
        <v>0.26323543617297057</v>
      </c>
      <c r="J60" s="3085">
        <f>IF(SUM(J61:J64,J66:J68)=0,"NO",SUM(J61:J64,J66:J68))</f>
        <v>3.5098058156396083E-3</v>
      </c>
    </row>
    <row r="61" spans="2:10" ht="18" customHeight="1" x14ac:dyDescent="0.2">
      <c r="B61" s="282" t="s">
        <v>167</v>
      </c>
      <c r="C61" s="691">
        <v>3601.0607668462403</v>
      </c>
      <c r="D61" s="1909" t="s">
        <v>1814</v>
      </c>
      <c r="E61" s="1913">
        <f t="shared" ref="E61:E63" si="26">IFERROR(H61*1000/$C61,"NA")</f>
        <v>67.399999999999977</v>
      </c>
      <c r="F61" s="1913">
        <f t="shared" ref="F61:G63" si="27">IFERROR(I61*1000000/$C61,"NA")</f>
        <v>73.099415204678309</v>
      </c>
      <c r="G61" s="1913">
        <f t="shared" si="27"/>
        <v>0.97465886939571089</v>
      </c>
      <c r="H61" s="691">
        <v>242.71149568543649</v>
      </c>
      <c r="I61" s="691">
        <v>0.26323543617297057</v>
      </c>
      <c r="J61" s="2911">
        <v>3.5098058156396083E-3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5.2803587049066705</v>
      </c>
      <c r="D68" s="1909" t="s">
        <v>1814</v>
      </c>
      <c r="E68" s="628"/>
      <c r="F68" s="628"/>
      <c r="G68" s="628"/>
      <c r="H68" s="1913">
        <f>H69</f>
        <v>0.38705029306965871</v>
      </c>
      <c r="I68" s="1913" t="str">
        <f>I69</f>
        <v>NE</v>
      </c>
      <c r="J68" s="3085" t="str">
        <f>J69</f>
        <v>NE</v>
      </c>
    </row>
    <row r="69" spans="2:10" ht="18" customHeight="1" x14ac:dyDescent="0.2">
      <c r="B69" s="3105" t="s">
        <v>252</v>
      </c>
      <c r="C69" s="691">
        <v>5.2803587049066705</v>
      </c>
      <c r="D69" s="1909" t="s">
        <v>1814</v>
      </c>
      <c r="E69" s="3103">
        <f t="shared" ref="E69" si="30">IFERROR(H69*1000/$C69,"NA")</f>
        <v>73.299999999999955</v>
      </c>
      <c r="F69" s="3103" t="str">
        <f>IFERROR(I69*1000000/$C69,"NA")</f>
        <v>NA</v>
      </c>
      <c r="G69" s="3103" t="str">
        <f>IFERROR(J69*1000000/$C69,"NA")</f>
        <v>NA</v>
      </c>
      <c r="H69" s="691">
        <v>0.38705029306965871</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22427.699999999997</v>
      </c>
      <c r="D81" s="1909" t="s">
        <v>1814</v>
      </c>
      <c r="E81" s="628"/>
      <c r="F81" s="628"/>
      <c r="G81" s="628"/>
      <c r="H81" s="1913">
        <f>IF(SUM(H82:H84,H86)=0,"NO",SUM(H82:H84,H86))</f>
        <v>1567.3264683667851</v>
      </c>
      <c r="I81" s="1913">
        <f>IF(SUM(I82:I86)=0,"NO",SUM(I82:I86))</f>
        <v>8.963080000000001E-2</v>
      </c>
      <c r="J81" s="3085">
        <f>IF(SUM(J82:J86)=0,"NO",SUM(J82:J86))</f>
        <v>0.67223099999999991</v>
      </c>
    </row>
    <row r="82" spans="2:10" ht="18" customHeight="1" x14ac:dyDescent="0.2">
      <c r="B82" s="282" t="s">
        <v>132</v>
      </c>
      <c r="C82" s="691">
        <v>22407.699999999997</v>
      </c>
      <c r="D82" s="1909" t="s">
        <v>1814</v>
      </c>
      <c r="E82" s="1913">
        <f t="shared" ref="E82:E85" si="36">IFERROR(H82*1000/$C82,"NA")</f>
        <v>69.900000000000006</v>
      </c>
      <c r="F82" s="1913">
        <f t="shared" ref="F82:G85" si="37">IFERROR(I82*1000000/$C82,"NA")</f>
        <v>4.0000000000000009</v>
      </c>
      <c r="G82" s="1913">
        <f t="shared" si="37"/>
        <v>30</v>
      </c>
      <c r="H82" s="691">
        <v>1566.2982299999999</v>
      </c>
      <c r="I82" s="691">
        <v>8.963080000000001E-2</v>
      </c>
      <c r="J82" s="2911">
        <v>0.67223099999999991</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v>20</v>
      </c>
      <c r="D84" s="1909" t="s">
        <v>1814</v>
      </c>
      <c r="E84" s="1913">
        <f t="shared" si="36"/>
        <v>51.411918339265</v>
      </c>
      <c r="F84" s="1913" t="str">
        <f t="shared" si="37"/>
        <v>NA</v>
      </c>
      <c r="G84" s="1913" t="str">
        <f t="shared" si="37"/>
        <v>NA</v>
      </c>
      <c r="H84" s="691">
        <v>1.0282383667853001</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25038.81155489949</v>
      </c>
      <c r="D88" s="1909" t="s">
        <v>1814</v>
      </c>
      <c r="E88" s="628"/>
      <c r="F88" s="628"/>
      <c r="G88" s="628"/>
      <c r="H88" s="1913">
        <f>IF(SUM(H89:H92,H94,H96)=0,"NO",SUM(H89:H92,H94,H96))</f>
        <v>1850.3113358639084</v>
      </c>
      <c r="I88" s="3334">
        <f>IF(SUM(I89:I92,I94:I96)=0,"NE",SUM(I89:I92,I94:I96))</f>
        <v>4.0356682545816085</v>
      </c>
      <c r="J88" s="3335">
        <f>IF(SUM(J89:J92,J94:J96)=0,"NE",SUM(J89:J92,J94:J96))</f>
        <v>3.3418933192197811E-2</v>
      </c>
    </row>
    <row r="89" spans="2:10" ht="18" customHeight="1" x14ac:dyDescent="0.2">
      <c r="B89" s="282" t="s">
        <v>190</v>
      </c>
      <c r="C89" s="691">
        <v>7294.1760000000004</v>
      </c>
      <c r="D89" s="1909" t="s">
        <v>1814</v>
      </c>
      <c r="E89" s="1913">
        <f t="shared" ref="E89:E91" si="39">IFERROR(H89*1000/$C89,"NA")</f>
        <v>73.599999999999994</v>
      </c>
      <c r="F89" s="1913">
        <f t="shared" ref="F89:G91" si="40">IFERROR(I89*1000000/$C89,"NA")</f>
        <v>7.0000000000000009</v>
      </c>
      <c r="G89" s="1913">
        <f t="shared" si="40"/>
        <v>2.0000000000000004</v>
      </c>
      <c r="H89" s="691">
        <v>536.85135360000004</v>
      </c>
      <c r="I89" s="3336">
        <v>5.105923200000001E-2</v>
      </c>
      <c r="J89" s="3337">
        <v>1.4588352000000004E-2</v>
      </c>
    </row>
    <row r="90" spans="2:10" ht="18" customHeight="1" x14ac:dyDescent="0.2">
      <c r="B90" s="282" t="s">
        <v>191</v>
      </c>
      <c r="C90" s="691">
        <v>2142.28430554542</v>
      </c>
      <c r="D90" s="1909" t="s">
        <v>1814</v>
      </c>
      <c r="E90" s="1913">
        <f t="shared" si="39"/>
        <v>69.899999999999835</v>
      </c>
      <c r="F90" s="1913">
        <f t="shared" si="40"/>
        <v>6.9999999999999849</v>
      </c>
      <c r="G90" s="1913">
        <f t="shared" si="40"/>
        <v>1.9999999999999962</v>
      </c>
      <c r="H90" s="691">
        <v>149.74567295762452</v>
      </c>
      <c r="I90" s="3336">
        <v>1.4995990138817908E-2</v>
      </c>
      <c r="J90" s="3337">
        <v>4.2845686110908315E-3</v>
      </c>
    </row>
    <row r="91" spans="2:10" ht="18" customHeight="1" x14ac:dyDescent="0.2">
      <c r="B91" s="282" t="s">
        <v>167</v>
      </c>
      <c r="C91" s="691">
        <v>10544.458423452201</v>
      </c>
      <c r="D91" s="1909" t="s">
        <v>1814</v>
      </c>
      <c r="E91" s="1913">
        <f t="shared" si="39"/>
        <v>67.399999999999991</v>
      </c>
      <c r="F91" s="1913">
        <f t="shared" si="40"/>
        <v>359.99999999999989</v>
      </c>
      <c r="G91" s="1913">
        <f t="shared" si="40"/>
        <v>0.89999999999999969</v>
      </c>
      <c r="H91" s="691">
        <v>710.6964977406783</v>
      </c>
      <c r="I91" s="3336">
        <v>3.7960050324427907</v>
      </c>
      <c r="J91" s="3337">
        <v>9.4900125811069776E-3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56</v>
      </c>
      <c r="D94" s="1909" t="s">
        <v>1814</v>
      </c>
      <c r="E94" s="1913">
        <f t="shared" ref="E94:E95" si="43">IFERROR(H94*1000/$C94,"NA")</f>
        <v>51.411918339265007</v>
      </c>
      <c r="F94" s="1913">
        <f t="shared" si="42"/>
        <v>243.00000000000003</v>
      </c>
      <c r="G94" s="1913">
        <f t="shared" si="42"/>
        <v>1.0000000000000002</v>
      </c>
      <c r="H94" s="691">
        <v>2.8790674269988403</v>
      </c>
      <c r="I94" s="3336">
        <v>1.3608000000000002E-2</v>
      </c>
      <c r="J94" s="3337">
        <v>5.6000000000000006E-5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5001.8928259018667</v>
      </c>
      <c r="D96" s="1909" t="s">
        <v>1814</v>
      </c>
      <c r="E96" s="628"/>
      <c r="F96" s="628"/>
      <c r="G96" s="628"/>
      <c r="H96" s="1913">
        <f>IF(SUM(H97:H98)=0,"NO",SUM(H97:H98))</f>
        <v>450.13874413860685</v>
      </c>
      <c r="I96" s="3334">
        <f>IF(SUM(I97:I98)=0,"NE",SUM(I97:I98))</f>
        <v>0.16</v>
      </c>
      <c r="J96" s="3335">
        <f>IF(SUM(J97:J98)=0,"NE",SUM(J97:J98))</f>
        <v>5.0000000000000001E-3</v>
      </c>
    </row>
    <row r="97" spans="2:10" ht="18" customHeight="1" x14ac:dyDescent="0.2">
      <c r="B97" s="2572" t="s">
        <v>2260</v>
      </c>
      <c r="C97" s="691">
        <v>5000</v>
      </c>
      <c r="D97" s="1909" t="s">
        <v>1814</v>
      </c>
      <c r="E97" s="3103">
        <f t="shared" ref="E97" si="44">IFERROR(H97*1000/$C97,"NA")</f>
        <v>90</v>
      </c>
      <c r="F97" s="3103">
        <f>IFERROR(I97*1000000/$C97,"NA")</f>
        <v>32</v>
      </c>
      <c r="G97" s="3103">
        <f>IFERROR(J97*1000000/$C97,"NA")</f>
        <v>1</v>
      </c>
      <c r="H97" s="691">
        <v>450</v>
      </c>
      <c r="I97" s="3336">
        <v>0.16</v>
      </c>
      <c r="J97" s="3337">
        <v>5.0000000000000001E-3</v>
      </c>
    </row>
    <row r="98" spans="2:10" ht="18" customHeight="1" x14ac:dyDescent="0.2">
      <c r="B98" s="2572" t="s">
        <v>252</v>
      </c>
      <c r="C98" s="691">
        <v>1.89282590186667</v>
      </c>
      <c r="D98" s="1909" t="s">
        <v>1814</v>
      </c>
      <c r="E98" s="3103">
        <f t="shared" ref="E98" si="45">IFERROR(H98*1000/$C98,"NA")</f>
        <v>73.299999999999926</v>
      </c>
      <c r="F98" s="3103" t="str">
        <f>IFERROR(I98*1000000/$C98,"NA")</f>
        <v>NA</v>
      </c>
      <c r="G98" s="3103" t="str">
        <f>IFERROR(J98*1000000/$C98,"NA")</f>
        <v>NA</v>
      </c>
      <c r="H98" s="691">
        <v>0.13874413860682677</v>
      </c>
      <c r="I98" s="3336" t="s">
        <v>2154</v>
      </c>
      <c r="J98" s="3337" t="s">
        <v>2154</v>
      </c>
    </row>
    <row r="99" spans="2:10" ht="18" customHeight="1" x14ac:dyDescent="0.2">
      <c r="B99" s="1241" t="s">
        <v>193</v>
      </c>
      <c r="C99" s="1913">
        <f>IF(SUM(C100:C104)=0,"NO",SUM(C100:C104))</f>
        <v>14849.299375732269</v>
      </c>
      <c r="D99" s="1909" t="s">
        <v>1814</v>
      </c>
      <c r="E99" s="628"/>
      <c r="F99" s="628"/>
      <c r="G99" s="628"/>
      <c r="H99" s="1913">
        <f>IF(SUM(H100:H103)=0,"NO",SUM(H100:H103))</f>
        <v>772.83779216086236</v>
      </c>
      <c r="I99" s="1913">
        <f>IF(SUM(I100:I104)=0,"NO",SUM(I100:I104))</f>
        <v>0.14227629496509572</v>
      </c>
      <c r="J99" s="3085">
        <f>IF(SUM(J100:J104)=0,"NO",SUM(J100:J104))</f>
        <v>1.5435234447005654E-3</v>
      </c>
    </row>
    <row r="100" spans="2:10" ht="18" customHeight="1" x14ac:dyDescent="0.2">
      <c r="B100" s="282" t="s">
        <v>132</v>
      </c>
      <c r="C100" s="1913">
        <f>IF(SUM(C106,C113:C116)=0,"NO",SUM(C106,C113:C116))</f>
        <v>633.45829961754794</v>
      </c>
      <c r="D100" s="1909" t="s">
        <v>1814</v>
      </c>
      <c r="E100" s="3103">
        <f t="shared" ref="E100:E104" si="46">IFERROR(H100*1000/$C100,"NA")</f>
        <v>65.714508578107228</v>
      </c>
      <c r="F100" s="3103">
        <f t="shared" ref="F100:G104" si="47">IFERROR(I100*1000000/$C100,"NA")</f>
        <v>48.749635443699731</v>
      </c>
      <c r="G100" s="3103">
        <f t="shared" si="47"/>
        <v>0.19499854177479894</v>
      </c>
      <c r="H100" s="1913">
        <f>IF(SUM(H106,H113:H116)=0,"NO",SUM(H106,H113:H116))</f>
        <v>41.627400864090575</v>
      </c>
      <c r="I100" s="1913">
        <f>IF(SUM(I106,I113:I116)=0,"NO",SUM(I106,I113:I116))</f>
        <v>3.0880861175141376E-2</v>
      </c>
      <c r="J100" s="3085">
        <f>IF(SUM(J106,J113:J116)=0,"NO",SUM(J106,J113:J116))</f>
        <v>1.2352344470056552E-4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14200</v>
      </c>
      <c r="D102" s="1909" t="s">
        <v>1814</v>
      </c>
      <c r="E102" s="3103">
        <f t="shared" si="46"/>
        <v>51.411918339264986</v>
      </c>
      <c r="F102" s="3103">
        <f t="shared" si="47"/>
        <v>7.84474885844749</v>
      </c>
      <c r="G102" s="3103">
        <f t="shared" si="47"/>
        <v>9.9999999999999978E-2</v>
      </c>
      <c r="H102" s="1913">
        <f t="shared" si="48"/>
        <v>730.04924041756283</v>
      </c>
      <c r="I102" s="1913">
        <f t="shared" si="48"/>
        <v>0.11139543378995435</v>
      </c>
      <c r="J102" s="3085">
        <f t="shared" si="48"/>
        <v>1.4199999999999998E-3</v>
      </c>
    </row>
    <row r="103" spans="2:10" ht="18" customHeight="1" x14ac:dyDescent="0.2">
      <c r="B103" s="282" t="s">
        <v>175</v>
      </c>
      <c r="C103" s="1913">
        <f>IF(SUM(C109,C120)=0,"NO",SUM(C109,C120))</f>
        <v>15.84107611472</v>
      </c>
      <c r="D103" s="1909" t="s">
        <v>1814</v>
      </c>
      <c r="E103" s="3103">
        <f t="shared" si="46"/>
        <v>73.3</v>
      </c>
      <c r="F103" s="3103" t="str">
        <f t="shared" si="47"/>
        <v>NA</v>
      </c>
      <c r="G103" s="3103" t="str">
        <f t="shared" si="47"/>
        <v>NA</v>
      </c>
      <c r="H103" s="1913">
        <f t="shared" si="48"/>
        <v>1.161150879208976</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14200</v>
      </c>
      <c r="D105" s="1909" t="s">
        <v>1814</v>
      </c>
      <c r="E105" s="628"/>
      <c r="F105" s="628"/>
      <c r="G105" s="628"/>
      <c r="H105" s="1913">
        <f>IF(SUM(H106:H109)=0,"NO",SUM(H106:H109))</f>
        <v>730.04924041756283</v>
      </c>
      <c r="I105" s="1913">
        <f>IF(SUM(I106:I110)=0,"NO",SUM(I106:I110))</f>
        <v>0.11139543378995435</v>
      </c>
      <c r="J105" s="3085">
        <f>IF(SUM(J106:J110)=0,"NO",SUM(J106:J110))</f>
        <v>1.4199999999999998E-3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14200</v>
      </c>
      <c r="D108" s="1909" t="s">
        <v>1814</v>
      </c>
      <c r="E108" s="3103">
        <f t="shared" si="49"/>
        <v>51.411918339264986</v>
      </c>
      <c r="F108" s="3103">
        <f t="shared" si="50"/>
        <v>7.84474885844749</v>
      </c>
      <c r="G108" s="3103">
        <f t="shared" si="50"/>
        <v>9.9999999999999978E-2</v>
      </c>
      <c r="H108" s="691">
        <v>730.04924041756283</v>
      </c>
      <c r="I108" s="691">
        <v>0.11139543378995435</v>
      </c>
      <c r="J108" s="2911">
        <v>1.4199999999999998E-3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649.29937573226789</v>
      </c>
      <c r="D111" s="1909" t="s">
        <v>1814</v>
      </c>
      <c r="E111" s="628"/>
      <c r="F111" s="628"/>
      <c r="G111" s="628"/>
      <c r="H111" s="1913">
        <f>H112</f>
        <v>42.78855174329955</v>
      </c>
      <c r="I111" s="1913">
        <f>I112</f>
        <v>3.0880861175141376E-2</v>
      </c>
      <c r="J111" s="3085">
        <f>J112</f>
        <v>1.2352344470056552E-4</v>
      </c>
    </row>
    <row r="112" spans="2:10" ht="18" customHeight="1" x14ac:dyDescent="0.2">
      <c r="B112" s="3089" t="s">
        <v>2148</v>
      </c>
      <c r="C112" s="3099">
        <f>IF(SUM(C113:C116,C118:C121)=0,"NO",SUM(C113:C116,C118:C121))</f>
        <v>649.29937573226789</v>
      </c>
      <c r="D112" s="3099" t="s">
        <v>1814</v>
      </c>
      <c r="E112" s="628"/>
      <c r="F112" s="628"/>
      <c r="G112" s="628"/>
      <c r="H112" s="3099">
        <f>IF(SUM(H113:H116,H118:H120)=0,"NO",SUM(H113:H116,H118:H120))</f>
        <v>42.78855174329955</v>
      </c>
      <c r="I112" s="3099">
        <f>IF(SUM(I113:I116,I118:I121)=0,"NO",SUM(I113:I116,I118:I121))</f>
        <v>3.0880861175141376E-2</v>
      </c>
      <c r="J112" s="3100">
        <f>IF(SUM(J113:J116,J118:J121)=0,"NO",SUM(J113:J116,J118:J121))</f>
        <v>1.2352344470056552E-4</v>
      </c>
    </row>
    <row r="113" spans="2:10" ht="18" customHeight="1" x14ac:dyDescent="0.2">
      <c r="B113" s="282" t="s">
        <v>167</v>
      </c>
      <c r="C113" s="691">
        <v>633.45829961754794</v>
      </c>
      <c r="D113" s="1913" t="s">
        <v>1814</v>
      </c>
      <c r="E113" s="1913">
        <f t="shared" ref="E113:E115" si="51">IFERROR(H113*1000/$C113,"NA")</f>
        <v>65.714508578107228</v>
      </c>
      <c r="F113" s="1913">
        <f t="shared" ref="F113:G115" si="52">IFERROR(I113*1000000/$C113,"NA")</f>
        <v>48.749635443699731</v>
      </c>
      <c r="G113" s="1913">
        <f t="shared" si="52"/>
        <v>0.19499854177479894</v>
      </c>
      <c r="H113" s="691">
        <v>41.627400864090575</v>
      </c>
      <c r="I113" s="691">
        <v>3.0880861175141376E-2</v>
      </c>
      <c r="J113" s="2911">
        <v>1.2352344470056552E-4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15.84107611472</v>
      </c>
      <c r="D120" s="1909" t="s">
        <v>1814</v>
      </c>
      <c r="E120" s="3103">
        <f t="shared" si="53"/>
        <v>73.3</v>
      </c>
      <c r="F120" s="3103" t="str">
        <f t="shared" si="54"/>
        <v>NA</v>
      </c>
      <c r="G120" s="3103" t="str">
        <f t="shared" si="54"/>
        <v>NA</v>
      </c>
      <c r="H120" s="691">
        <v>1.161150879208976</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362761.71791518765</v>
      </c>
      <c r="D10" s="3109" t="s">
        <v>1814</v>
      </c>
      <c r="E10" s="2135"/>
      <c r="F10" s="2135"/>
      <c r="G10" s="2135"/>
      <c r="H10" s="3109">
        <f>IF(SUM(H11:H15)=0,"NO",SUM(H11:H15))</f>
        <v>17571.427876691756</v>
      </c>
      <c r="I10" s="3109">
        <f>IF(SUM(I11:I16)=0,"NO",SUM(I11:I16))</f>
        <v>55.246256990482443</v>
      </c>
      <c r="J10" s="3109">
        <f>IF(SUM(J11:J16)=0,"NO",SUM(J11:J16))</f>
        <v>0.62101485581758975</v>
      </c>
      <c r="K10" s="420" t="str">
        <f>IF(SUM(K11:K16)=0,"NO",SUM(K11:K16))</f>
        <v>NO</v>
      </c>
    </row>
    <row r="11" spans="2:12" ht="18" customHeight="1" x14ac:dyDescent="0.2">
      <c r="B11" s="282" t="s">
        <v>132</v>
      </c>
      <c r="C11" s="1913">
        <f>IF(SUM(C18,C39,C60)=0,"NO",SUM(C18,C39,C60))</f>
        <v>123364.56791518768</v>
      </c>
      <c r="D11" s="3109" t="s">
        <v>1814</v>
      </c>
      <c r="E11" s="1913">
        <f t="shared" ref="E11:E16" si="0">IFERROR(H11*1000/$C11,"NA")</f>
        <v>68.481858380908889</v>
      </c>
      <c r="F11" s="1913">
        <f t="shared" ref="F11:G16" si="1">IFERROR(I11*1000000/$C11,"NA")</f>
        <v>9.9924578438128364</v>
      </c>
      <c r="G11" s="1913">
        <f t="shared" si="1"/>
        <v>2.6992133110128327</v>
      </c>
      <c r="H11" s="1913">
        <f>IF(SUM(H18,H39,H60)=0,"NO",SUM(H18,H39,H60))</f>
        <v>8448.2348691898987</v>
      </c>
      <c r="I11" s="1913">
        <f>IF(SUM(I18,I39,I60)=0,"NO",SUM(I18,I39,I60))</f>
        <v>1.2327152443126985</v>
      </c>
      <c r="J11" s="1913">
        <f>IF(SUM(J18,J39,J60)=0,"NO",SUM(J18,J39,J60))</f>
        <v>0.33298728382402121</v>
      </c>
      <c r="K11" s="3085" t="str">
        <f>IF(SUM(K18,K39,K60)=0,"NO",SUM(K18,K39,K60))</f>
        <v>NO</v>
      </c>
    </row>
    <row r="12" spans="2:12" ht="18" customHeight="1" x14ac:dyDescent="0.2">
      <c r="B12" s="282" t="s">
        <v>133</v>
      </c>
      <c r="C12" s="1913">
        <f t="shared" ref="C12:C16" si="2">IF(SUM(C19,C40,C61)=0,"NO",SUM(C19,C40,C61))</f>
        <v>4000</v>
      </c>
      <c r="D12" s="3109" t="s">
        <v>1814</v>
      </c>
      <c r="E12" s="1913">
        <f t="shared" si="0"/>
        <v>93.375</v>
      </c>
      <c r="F12" s="1913">
        <f t="shared" si="1"/>
        <v>0.95238095238095255</v>
      </c>
      <c r="G12" s="1913">
        <f t="shared" si="1"/>
        <v>0.66666666666666663</v>
      </c>
      <c r="H12" s="1913">
        <f t="shared" ref="H12:K16" si="3">IF(SUM(H19,H40,H61)=0,"NO",SUM(H19,H40,H61))</f>
        <v>373.5</v>
      </c>
      <c r="I12" s="1913">
        <f t="shared" si="3"/>
        <v>3.80952380952381E-3</v>
      </c>
      <c r="J12" s="1913">
        <f t="shared" si="3"/>
        <v>2.6666666666666666E-3</v>
      </c>
      <c r="K12" s="3085" t="str">
        <f t="shared" si="3"/>
        <v>NO</v>
      </c>
    </row>
    <row r="13" spans="2:12" ht="18" customHeight="1" x14ac:dyDescent="0.2">
      <c r="B13" s="282" t="s">
        <v>134</v>
      </c>
      <c r="C13" s="1913">
        <f t="shared" si="2"/>
        <v>170000</v>
      </c>
      <c r="D13" s="3109" t="s">
        <v>1814</v>
      </c>
      <c r="E13" s="1913">
        <f t="shared" si="0"/>
        <v>51.468782397069759</v>
      </c>
      <c r="F13" s="1913">
        <f t="shared" si="1"/>
        <v>0.90909090909090895</v>
      </c>
      <c r="G13" s="1913">
        <f t="shared" si="1"/>
        <v>0.90909090909090895</v>
      </c>
      <c r="H13" s="1913">
        <f t="shared" si="3"/>
        <v>8749.693007501859</v>
      </c>
      <c r="I13" s="1913">
        <f t="shared" si="3"/>
        <v>0.15454545454545454</v>
      </c>
      <c r="J13" s="1913">
        <f t="shared" si="3"/>
        <v>0.15454545454545454</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65397.149999999987</v>
      </c>
      <c r="D16" s="3109" t="s">
        <v>1814</v>
      </c>
      <c r="E16" s="1913">
        <f t="shared" si="0"/>
        <v>76.928619978087752</v>
      </c>
      <c r="F16" s="1913">
        <f t="shared" si="1"/>
        <v>823.50969067940684</v>
      </c>
      <c r="G16" s="1913">
        <f t="shared" si="1"/>
        <v>2.0003234205381637</v>
      </c>
      <c r="H16" s="1913">
        <f t="shared" si="3"/>
        <v>5030.9125000000004</v>
      </c>
      <c r="I16" s="1913">
        <f t="shared" si="3"/>
        <v>53.855186767814764</v>
      </c>
      <c r="J16" s="1913">
        <f t="shared" si="3"/>
        <v>0.13081545078144735</v>
      </c>
      <c r="K16" s="3085" t="str">
        <f t="shared" si="3"/>
        <v>NO</v>
      </c>
    </row>
    <row r="17" spans="2:11" ht="18" customHeight="1" x14ac:dyDescent="0.2">
      <c r="B17" s="1241" t="s">
        <v>1942</v>
      </c>
      <c r="C17" s="3109">
        <f>IF(SUM(C18:C23)=0,"NO",SUM(C18:C23))</f>
        <v>73619.803351206414</v>
      </c>
      <c r="D17" s="3109" t="s">
        <v>1814</v>
      </c>
      <c r="E17" s="628"/>
      <c r="F17" s="628"/>
      <c r="G17" s="628"/>
      <c r="H17" s="3078">
        <f>IF(SUM(H18:H22)=0,"NO",SUM(H18:H22))</f>
        <v>4374.7328609918577</v>
      </c>
      <c r="I17" s="3078">
        <f>IF(SUM(I18:I23)=0,"NO",SUM(I18:I23))</f>
        <v>7.9769712280503252E-2</v>
      </c>
      <c r="J17" s="3110">
        <f>IF(SUM(J18:J23)=0,"NO",SUM(J18:J23))</f>
        <v>8.1326071287269472E-2</v>
      </c>
      <c r="K17" s="3085" t="str">
        <f>IF(SUM(K18:K23)=0,"NO",SUM(K18:K23))</f>
        <v>NO</v>
      </c>
    </row>
    <row r="18" spans="2:11" ht="18" customHeight="1" x14ac:dyDescent="0.2">
      <c r="B18" s="282" t="s">
        <v>132</v>
      </c>
      <c r="C18" s="3109">
        <f>IF(SUM(C26,C33)=0,"NO",SUM(C26,C33))</f>
        <v>25422.653351206434</v>
      </c>
      <c r="D18" s="3109" t="s">
        <v>1814</v>
      </c>
      <c r="E18" s="1913">
        <f t="shared" ref="E18" si="4">IFERROR(H18*1000/$C18,"NA")</f>
        <v>68.627362447017319</v>
      </c>
      <c r="F18" s="1913">
        <f t="shared" ref="F18:G23" si="5">IFERROR(I18*1000000/$C18,"NA")</f>
        <v>1.3437479430007238</v>
      </c>
      <c r="G18" s="1913">
        <f t="shared" si="5"/>
        <v>1.4735235377653284</v>
      </c>
      <c r="H18" s="3109">
        <f>IF(SUM(H26,H33)=0,"NO",SUM(H26,H33))</f>
        <v>1744.6896458981234</v>
      </c>
      <c r="I18" s="3109">
        <f>IF(SUM(I26,I33)=0,"NO",SUM(I26,I33))</f>
        <v>3.4161638146304102E-2</v>
      </c>
      <c r="J18" s="3109">
        <f>IF(SUM(J26,J33)=0,"NO",SUM(J26,J33))</f>
        <v>3.746087810545129E-2</v>
      </c>
      <c r="K18" s="3085" t="str">
        <f>IF(SUM(K26,K33)=0,"NO",SUM(K26,K33))</f>
        <v>NO</v>
      </c>
    </row>
    <row r="19" spans="2:11" ht="18" customHeight="1" x14ac:dyDescent="0.2">
      <c r="B19" s="282" t="s">
        <v>133</v>
      </c>
      <c r="C19" s="3109">
        <f t="shared" ref="C19:C21" si="6">IF(SUM(C27,C34)=0,"NO",SUM(C27,C34))</f>
        <v>3800</v>
      </c>
      <c r="D19" s="3109" t="s">
        <v>1814</v>
      </c>
      <c r="E19" s="1913">
        <f t="shared" ref="E19:E23" si="7">IFERROR(H19*1000/$C19,"NA")</f>
        <v>93.421052631578945</v>
      </c>
      <c r="F19" s="1913">
        <f t="shared" si="5"/>
        <v>0.95238095238095244</v>
      </c>
      <c r="G19" s="1913">
        <f t="shared" si="5"/>
        <v>0.66666666666666663</v>
      </c>
      <c r="H19" s="3109">
        <f t="shared" ref="H19:K21" si="8">IF(SUM(H27,H34)=0,"NO",SUM(H27,H34))</f>
        <v>355</v>
      </c>
      <c r="I19" s="3109">
        <f t="shared" si="8"/>
        <v>3.6190476190476194E-3</v>
      </c>
      <c r="J19" s="3109">
        <f t="shared" si="8"/>
        <v>2.5333333333333332E-3</v>
      </c>
      <c r="K19" s="3085" t="str">
        <f t="shared" si="8"/>
        <v>NO</v>
      </c>
    </row>
    <row r="20" spans="2:11" ht="18" customHeight="1" x14ac:dyDescent="0.2">
      <c r="B20" s="282" t="s">
        <v>134</v>
      </c>
      <c r="C20" s="3109">
        <f t="shared" si="6"/>
        <v>44199.999999999993</v>
      </c>
      <c r="D20" s="3109" t="s">
        <v>1814</v>
      </c>
      <c r="E20" s="1913">
        <f t="shared" si="7"/>
        <v>51.471565952346936</v>
      </c>
      <c r="F20" s="1913">
        <f t="shared" si="5"/>
        <v>0.90909090909090928</v>
      </c>
      <c r="G20" s="1913">
        <f t="shared" si="5"/>
        <v>0.90909090909090928</v>
      </c>
      <c r="H20" s="3109">
        <f t="shared" si="8"/>
        <v>2275.043215093734</v>
      </c>
      <c r="I20" s="3109">
        <f t="shared" si="8"/>
        <v>4.0181818181818187E-2</v>
      </c>
      <c r="J20" s="3109">
        <f t="shared" si="8"/>
        <v>4.0181818181818187E-2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197.15000000000003</v>
      </c>
      <c r="D23" s="3109" t="s">
        <v>1814</v>
      </c>
      <c r="E23" s="1913">
        <f t="shared" si="7"/>
        <v>94</v>
      </c>
      <c r="F23" s="1913">
        <f t="shared" si="5"/>
        <v>9.1666666666666679</v>
      </c>
      <c r="G23" s="1913">
        <f t="shared" si="5"/>
        <v>5.8333333333333339</v>
      </c>
      <c r="H23" s="3109">
        <f>IF(SUM(H31,H37)=0,"NO",SUM(H31,H37))</f>
        <v>18.532100000000003</v>
      </c>
      <c r="I23" s="3109">
        <f>IF(SUM(I31,I37)=0,"NO",SUM(I31,I37))</f>
        <v>1.8072083333333338E-3</v>
      </c>
      <c r="J23" s="3109">
        <f>IF(SUM(J31,J37)=0,"NO",SUM(J31,J37))</f>
        <v>1.1500416666666671E-3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73619.803351206414</v>
      </c>
      <c r="D25" s="3078" t="s">
        <v>1814</v>
      </c>
      <c r="E25" s="628"/>
      <c r="F25" s="628"/>
      <c r="G25" s="628"/>
      <c r="H25" s="3078">
        <f>IF(SUM(H26:H30)=0,"NO",SUM(H26:H30))</f>
        <v>4374.7328609918577</v>
      </c>
      <c r="I25" s="3078">
        <f>IF(SUM(I26:I31)=0,"NO",SUM(I26:I31))</f>
        <v>7.9769712280503252E-2</v>
      </c>
      <c r="J25" s="3110">
        <f>IF(SUM(J26:J31)=0,"NO",SUM(J26:J31))</f>
        <v>8.1326071287269472E-2</v>
      </c>
      <c r="K25" s="3085" t="str">
        <f>IF(SUM(K26:K31)=0,"NO",SUM(K26:K31))</f>
        <v>NO</v>
      </c>
    </row>
    <row r="26" spans="2:11" ht="18" customHeight="1" x14ac:dyDescent="0.2">
      <c r="B26" s="282" t="s">
        <v>132</v>
      </c>
      <c r="C26" s="691">
        <v>25422.653351206434</v>
      </c>
      <c r="D26" s="3078" t="s">
        <v>1814</v>
      </c>
      <c r="E26" s="1913">
        <f t="shared" ref="E26:E31" si="9">IFERROR(H26*1000/$C26,"NA")</f>
        <v>68.627362447017319</v>
      </c>
      <c r="F26" s="1913">
        <f t="shared" ref="F26:G31" si="10">IFERROR(I26*1000000/$C26,"NA")</f>
        <v>1.3437479430007238</v>
      </c>
      <c r="G26" s="1913">
        <f t="shared" si="10"/>
        <v>1.4735235377653284</v>
      </c>
      <c r="H26" s="691">
        <v>1744.6896458981234</v>
      </c>
      <c r="I26" s="691">
        <v>3.4161638146304102E-2</v>
      </c>
      <c r="J26" s="691">
        <v>3.746087810545129E-2</v>
      </c>
      <c r="K26" s="2911" t="s">
        <v>2146</v>
      </c>
    </row>
    <row r="27" spans="2:11" ht="18" customHeight="1" x14ac:dyDescent="0.2">
      <c r="B27" s="282" t="s">
        <v>133</v>
      </c>
      <c r="C27" s="691">
        <v>3800</v>
      </c>
      <c r="D27" s="3078" t="s">
        <v>1814</v>
      </c>
      <c r="E27" s="1913">
        <f t="shared" si="9"/>
        <v>93.421052631578945</v>
      </c>
      <c r="F27" s="1913">
        <f t="shared" si="10"/>
        <v>0.95238095238095244</v>
      </c>
      <c r="G27" s="1913">
        <f t="shared" si="10"/>
        <v>0.66666666666666663</v>
      </c>
      <c r="H27" s="691">
        <v>355</v>
      </c>
      <c r="I27" s="691">
        <v>3.6190476190476194E-3</v>
      </c>
      <c r="J27" s="691">
        <v>2.5333333333333332E-3</v>
      </c>
      <c r="K27" s="2911" t="s">
        <v>2146</v>
      </c>
    </row>
    <row r="28" spans="2:11" ht="18" customHeight="1" x14ac:dyDescent="0.2">
      <c r="B28" s="282" t="s">
        <v>134</v>
      </c>
      <c r="C28" s="691">
        <v>44199.999999999993</v>
      </c>
      <c r="D28" s="3078" t="s">
        <v>1814</v>
      </c>
      <c r="E28" s="1913">
        <f t="shared" si="9"/>
        <v>51.471565952346936</v>
      </c>
      <c r="F28" s="1913">
        <f t="shared" si="10"/>
        <v>0.90909090909090928</v>
      </c>
      <c r="G28" s="1913">
        <f t="shared" si="10"/>
        <v>0.90909090909090928</v>
      </c>
      <c r="H28" s="691">
        <v>2275.043215093734</v>
      </c>
      <c r="I28" s="691">
        <v>4.0181818181818187E-2</v>
      </c>
      <c r="J28" s="691">
        <v>4.0181818181818187E-2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197.15000000000003</v>
      </c>
      <c r="D31" s="3078" t="s">
        <v>1814</v>
      </c>
      <c r="E31" s="1913">
        <f t="shared" si="9"/>
        <v>94</v>
      </c>
      <c r="F31" s="1913">
        <f t="shared" si="10"/>
        <v>9.1666666666666679</v>
      </c>
      <c r="G31" s="1913">
        <f t="shared" si="10"/>
        <v>5.8333333333333339</v>
      </c>
      <c r="H31" s="691">
        <v>18.532100000000003</v>
      </c>
      <c r="I31" s="691">
        <v>1.8072083333333338E-3</v>
      </c>
      <c r="J31" s="691">
        <v>1.1500416666666671E-3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210241.91456398123</v>
      </c>
      <c r="D38" s="3078" t="s">
        <v>1814</v>
      </c>
      <c r="E38" s="628"/>
      <c r="F38" s="628"/>
      <c r="G38" s="628"/>
      <c r="H38" s="1913">
        <f>IF(SUM(H39:H43)=0,"NO",SUM(H39:H43))</f>
        <v>7707.2938238659717</v>
      </c>
      <c r="I38" s="1913">
        <f>IF(SUM(I39:I44)=0,"NO",SUM(I39:I44))</f>
        <v>54.679853511968176</v>
      </c>
      <c r="J38" s="1913">
        <f>IF(SUM(J39:J44)=0,"NO",SUM(J39:J44))</f>
        <v>0.25493120877274461</v>
      </c>
      <c r="K38" s="3085" t="str">
        <f>IF(SUM(K39:K44)=0,"NO",SUM(K39:K44))</f>
        <v>NO</v>
      </c>
    </row>
    <row r="39" spans="2:11" ht="18" customHeight="1" x14ac:dyDescent="0.2">
      <c r="B39" s="282" t="s">
        <v>132</v>
      </c>
      <c r="C39" s="3109">
        <f>IF(SUM(C47,C54)=0,"NO",SUM(C47,C54))</f>
        <v>19141.914563981241</v>
      </c>
      <c r="D39" s="3078" t="s">
        <v>1814</v>
      </c>
      <c r="E39" s="1913">
        <f t="shared" ref="E39:E44" si="13">IFERROR(H39*1000/$C39,"NA")</f>
        <v>63.6971405977365</v>
      </c>
      <c r="F39" s="1913">
        <f t="shared" ref="F39:G44" si="14">IFERROR(I39*1000000/$C39,"NA")</f>
        <v>37.196422888821481</v>
      </c>
      <c r="G39" s="1913">
        <f t="shared" si="14"/>
        <v>0.56732773597985575</v>
      </c>
      <c r="H39" s="1913">
        <f>IF(SUM(H47,H54)=0,"NO",SUM(H47,H54))</f>
        <v>1219.285223291773</v>
      </c>
      <c r="I39" s="1913">
        <f>IF(SUM(I47,I54)=0,"NO",SUM(I47,I54))</f>
        <v>0.71201074902353712</v>
      </c>
      <c r="J39" s="1913">
        <f>IF(SUM(J47,J54)=0,"NO",SUM(J47,J54))</f>
        <v>1.0859739051903305E-2</v>
      </c>
      <c r="K39" s="3085" t="str">
        <f>IF(SUM(K47,K54)=0,"NO",SUM(K47,K54))</f>
        <v>NO</v>
      </c>
    </row>
    <row r="40" spans="2:11" ht="18" customHeight="1" x14ac:dyDescent="0.2">
      <c r="B40" s="282" t="s">
        <v>133</v>
      </c>
      <c r="C40" s="3109">
        <f t="shared" ref="C40:C42" si="15">IF(SUM(C48,C55)=0,"NO",SUM(C48,C55))</f>
        <v>200</v>
      </c>
      <c r="D40" s="3078" t="s">
        <v>1814</v>
      </c>
      <c r="E40" s="1913">
        <f t="shared" si="13"/>
        <v>92.5</v>
      </c>
      <c r="F40" s="1913">
        <f t="shared" si="14"/>
        <v>0.95238095238095244</v>
      </c>
      <c r="G40" s="1913">
        <f t="shared" si="14"/>
        <v>0.66666666666666652</v>
      </c>
      <c r="H40" s="1913">
        <f t="shared" ref="H40:K42" si="16">IF(SUM(H48,H55)=0,"NO",SUM(H48,H55))</f>
        <v>18.5</v>
      </c>
      <c r="I40" s="1913">
        <f t="shared" si="16"/>
        <v>1.9047619047619048E-4</v>
      </c>
      <c r="J40" s="1913">
        <f t="shared" si="16"/>
        <v>1.3333333333333331E-4</v>
      </c>
      <c r="K40" s="3085" t="str">
        <f t="shared" si="16"/>
        <v>NO</v>
      </c>
    </row>
    <row r="41" spans="2:11" ht="18" customHeight="1" x14ac:dyDescent="0.2">
      <c r="B41" s="282" t="s">
        <v>134</v>
      </c>
      <c r="C41" s="3109">
        <f t="shared" si="15"/>
        <v>125700</v>
      </c>
      <c r="D41" s="3078" t="s">
        <v>1814</v>
      </c>
      <c r="E41" s="1913">
        <f t="shared" si="13"/>
        <v>51.467848851027838</v>
      </c>
      <c r="F41" s="1913">
        <f t="shared" si="14"/>
        <v>0.90909090909090906</v>
      </c>
      <c r="G41" s="1913">
        <f t="shared" si="14"/>
        <v>0.90909090909090917</v>
      </c>
      <c r="H41" s="1913">
        <f t="shared" si="16"/>
        <v>6469.5086005741987</v>
      </c>
      <c r="I41" s="1913">
        <f t="shared" si="16"/>
        <v>0.11427272727272726</v>
      </c>
      <c r="J41" s="1913">
        <f t="shared" si="16"/>
        <v>0.11427272727272728</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65199.999999999985</v>
      </c>
      <c r="D44" s="3078" t="s">
        <v>1814</v>
      </c>
      <c r="E44" s="1913">
        <f t="shared" si="13"/>
        <v>76.877000000000024</v>
      </c>
      <c r="F44" s="1913">
        <f t="shared" si="14"/>
        <v>825.97207913315106</v>
      </c>
      <c r="G44" s="1913">
        <f t="shared" si="14"/>
        <v>1.9887332686316062</v>
      </c>
      <c r="H44" s="1913">
        <f>IF(SUM(H52,H58)=0,"NO",SUM(H52,H58))</f>
        <v>5012.3804</v>
      </c>
      <c r="I44" s="1913">
        <f>IF(SUM(I52,I58)=0,"NO",SUM(I52,I58))</f>
        <v>53.853379559481432</v>
      </c>
      <c r="J44" s="1913">
        <f>IF(SUM(J52,J58)=0,"NO",SUM(J52,J58))</f>
        <v>0.12966540911478069</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206314.47721179621</v>
      </c>
      <c r="D46" s="3078" t="s">
        <v>1814</v>
      </c>
      <c r="E46" s="628"/>
      <c r="F46" s="628"/>
      <c r="G46" s="628"/>
      <c r="H46" s="1913">
        <f>IF(SUM(H47:H51)=0,"NO",SUM(H47:H51))</f>
        <v>7442.0860804669601</v>
      </c>
      <c r="I46" s="1913">
        <f>IF(SUM(I47:I52)=0,"NO",SUM(I47:I52))</f>
        <v>53.988122221645007</v>
      </c>
      <c r="J46" s="1913">
        <f>IF(SUM(J47:J52)=0,"NO",SUM(J47:J52))</f>
        <v>0.25339402812758205</v>
      </c>
      <c r="K46" s="3085" t="str">
        <f>IF(SUM(K47:K52)=0,"NO",SUM(K47:K52))</f>
        <v>NO</v>
      </c>
    </row>
    <row r="47" spans="2:11" ht="18" customHeight="1" x14ac:dyDescent="0.2">
      <c r="B47" s="282" t="s">
        <v>132</v>
      </c>
      <c r="C47" s="691">
        <v>15214.477211796251</v>
      </c>
      <c r="D47" s="3078" t="s">
        <v>1814</v>
      </c>
      <c r="E47" s="1913">
        <f t="shared" ref="E47:E52" si="17">IFERROR(H47*1000/$C47,"NA")</f>
        <v>62.70852863436123</v>
      </c>
      <c r="F47" s="1913">
        <f t="shared" ref="F47:G52" si="18">IFERROR(I47*1000000/$C47,"NA")</f>
        <v>1.332905391231382</v>
      </c>
      <c r="G47" s="1913">
        <f t="shared" si="18"/>
        <v>0.61274260541220882</v>
      </c>
      <c r="H47" s="691">
        <v>954.07747989276152</v>
      </c>
      <c r="I47" s="691">
        <v>2.0279458700370231E-2</v>
      </c>
      <c r="J47" s="691">
        <v>9.3225584067407122E-3</v>
      </c>
      <c r="K47" s="2911" t="s">
        <v>2146</v>
      </c>
    </row>
    <row r="48" spans="2:11" ht="18" customHeight="1" x14ac:dyDescent="0.2">
      <c r="B48" s="282" t="s">
        <v>133</v>
      </c>
      <c r="C48" s="691">
        <v>200</v>
      </c>
      <c r="D48" s="3078" t="s">
        <v>1814</v>
      </c>
      <c r="E48" s="1913">
        <f t="shared" si="17"/>
        <v>92.5</v>
      </c>
      <c r="F48" s="1913">
        <f t="shared" si="18"/>
        <v>0.95238095238095244</v>
      </c>
      <c r="G48" s="1913">
        <f t="shared" si="18"/>
        <v>0.66666666666666652</v>
      </c>
      <c r="H48" s="691">
        <v>18.5</v>
      </c>
      <c r="I48" s="691">
        <v>1.9047619047619048E-4</v>
      </c>
      <c r="J48" s="691">
        <v>1.3333333333333331E-4</v>
      </c>
      <c r="K48" s="2911" t="s">
        <v>2146</v>
      </c>
    </row>
    <row r="49" spans="2:11" ht="18" customHeight="1" x14ac:dyDescent="0.2">
      <c r="B49" s="282" t="s">
        <v>134</v>
      </c>
      <c r="C49" s="691">
        <v>125700</v>
      </c>
      <c r="D49" s="3078" t="s">
        <v>1814</v>
      </c>
      <c r="E49" s="1913">
        <f t="shared" si="17"/>
        <v>51.467848851027838</v>
      </c>
      <c r="F49" s="1913">
        <f t="shared" si="18"/>
        <v>0.90909090909090906</v>
      </c>
      <c r="G49" s="1913">
        <f t="shared" si="18"/>
        <v>0.90909090909090917</v>
      </c>
      <c r="H49" s="691">
        <v>6469.5086005741987</v>
      </c>
      <c r="I49" s="691">
        <v>0.11427272727272726</v>
      </c>
      <c r="J49" s="691">
        <v>0.11427272727272728</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65199.999999999985</v>
      </c>
      <c r="D52" s="3078" t="s">
        <v>1814</v>
      </c>
      <c r="E52" s="1913">
        <f t="shared" si="17"/>
        <v>76.877000000000024</v>
      </c>
      <c r="F52" s="1913">
        <f t="shared" si="18"/>
        <v>825.97207913315106</v>
      </c>
      <c r="G52" s="1913">
        <f t="shared" si="18"/>
        <v>1.9887332686316062</v>
      </c>
      <c r="H52" s="691">
        <v>5012.3804</v>
      </c>
      <c r="I52" s="691">
        <v>53.853379559481432</v>
      </c>
      <c r="J52" s="691">
        <v>0.12966540911478069</v>
      </c>
      <c r="K52" s="2911" t="s">
        <v>2146</v>
      </c>
    </row>
    <row r="53" spans="2:11" ht="18" customHeight="1" x14ac:dyDescent="0.2">
      <c r="B53" s="1242" t="s">
        <v>205</v>
      </c>
      <c r="C53" s="3078">
        <f>IF(SUM(C54:C58)=0,"NO",SUM(C54:C58))</f>
        <v>3927.4373521849898</v>
      </c>
      <c r="D53" s="3078" t="s">
        <v>1814</v>
      </c>
      <c r="E53" s="628"/>
      <c r="F53" s="628"/>
      <c r="G53" s="628"/>
      <c r="H53" s="3078">
        <f>IF(SUM(H54:H57)=0,"NO",SUM(H54:H57))</f>
        <v>265.20774339901152</v>
      </c>
      <c r="I53" s="3078">
        <f>IF(SUM(I54:I58)=0,"NO",SUM(I54:I58))</f>
        <v>0.69173129032316694</v>
      </c>
      <c r="J53" s="3078">
        <f>IF(SUM(J54:J58)=0,"NO",SUM(J54:J58))</f>
        <v>1.5371806451625932E-3</v>
      </c>
      <c r="K53" s="2921"/>
    </row>
    <row r="54" spans="2:11" ht="18" customHeight="1" x14ac:dyDescent="0.2">
      <c r="B54" s="282" t="s">
        <v>132</v>
      </c>
      <c r="C54" s="691">
        <v>3927.4373521849898</v>
      </c>
      <c r="D54" s="3078" t="s">
        <v>1814</v>
      </c>
      <c r="E54" s="1913">
        <f t="shared" ref="E54:E58" si="19">IFERROR(H54*1000/$C54,"NA")</f>
        <v>67.526918857525729</v>
      </c>
      <c r="F54" s="1913">
        <f t="shared" ref="F54:G58" si="20">IFERROR(I54*1000000/$C54,"NA")</f>
        <v>176.12789926192696</v>
      </c>
      <c r="G54" s="1913">
        <f t="shared" si="20"/>
        <v>0.39139533169317098</v>
      </c>
      <c r="H54" s="691">
        <v>265.20774339901152</v>
      </c>
      <c r="I54" s="691">
        <v>0.69173129032316694</v>
      </c>
      <c r="J54" s="691">
        <v>1.5371806451625932E-3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78900.000000000015</v>
      </c>
      <c r="D59" s="3078" t="s">
        <v>1814</v>
      </c>
      <c r="E59" s="628"/>
      <c r="F59" s="628"/>
      <c r="G59" s="628"/>
      <c r="H59" s="1913">
        <f>IF(SUM(H60:H64)=0,"NO",SUM(H60:H64))</f>
        <v>5489.4011918339274</v>
      </c>
      <c r="I59" s="1913">
        <f>IF(SUM(I60:I65)=0,"NO",SUM(I60:I65))</f>
        <v>0.48663376623376631</v>
      </c>
      <c r="J59" s="1913">
        <f>IF(SUM(J60:J65)=0,"NO",SUM(J60:J65))</f>
        <v>0.28475757575757571</v>
      </c>
      <c r="K59" s="3085" t="str">
        <f>IF(SUM(K60:K65)=0,"NO",SUM(K60:K65))</f>
        <v>NO</v>
      </c>
    </row>
    <row r="60" spans="2:11" ht="18" customHeight="1" x14ac:dyDescent="0.2">
      <c r="B60" s="282" t="s">
        <v>132</v>
      </c>
      <c r="C60" s="1913">
        <f>IF(SUM(C67,C74:C77,C84:C87)=0,"NO",SUM(C67,C74:C77,C84:C87))</f>
        <v>78800.000000000015</v>
      </c>
      <c r="D60" s="3078" t="s">
        <v>1814</v>
      </c>
      <c r="E60" s="1913">
        <f t="shared" ref="E60:E65" si="21">IFERROR(H60*1000/$C60,"NA")</f>
        <v>69.597208121827407</v>
      </c>
      <c r="F60" s="1913">
        <f t="shared" ref="F60:G65" si="22">IFERROR(I60*1000000/$C60,"NA")</f>
        <v>6.1744017403915876</v>
      </c>
      <c r="G60" s="1913">
        <f t="shared" si="22"/>
        <v>3.6125211505922152</v>
      </c>
      <c r="H60" s="1913">
        <f>IF(SUM(H67,H74:H77,H84:H87)=0,"NO",SUM(H67,H74:H77,H84:H87))</f>
        <v>5484.2600000000011</v>
      </c>
      <c r="I60" s="1913">
        <f>IF(SUM(I67,I74:I77,I84:I87)=0,"NO",SUM(I67,I74:I77,I84:I87))</f>
        <v>0.48654285714285722</v>
      </c>
      <c r="J60" s="1913">
        <f>IF(SUM(J67,J74:J77,J84:J87)=0,"NO",SUM(J67,J74:J77,J84:J87))</f>
        <v>0.28466666666666662</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100</v>
      </c>
      <c r="D62" s="3078" t="s">
        <v>1814</v>
      </c>
      <c r="E62" s="1913">
        <f t="shared" si="21"/>
        <v>51.411918339265</v>
      </c>
      <c r="F62" s="1913">
        <f t="shared" si="22"/>
        <v>0.90909090909090917</v>
      </c>
      <c r="G62" s="1913">
        <f t="shared" si="22"/>
        <v>0.90909090909090917</v>
      </c>
      <c r="H62" s="1913">
        <f>IF(SUM(H69,H79,H89)=0,"NO",SUM(H69,H79,H89))</f>
        <v>5.1411918339265004</v>
      </c>
      <c r="I62" s="1913">
        <f>IF(SUM(I69,I79,I89)=0,"NO",SUM(I69,I79,I89))</f>
        <v>9.0909090909090917E-5</v>
      </c>
      <c r="J62" s="1913">
        <f>IF(SUM(J69,J79,J89)=0,"NO",SUM(J69,J79,J89))</f>
        <v>9.0909090909090917E-5</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78900.000000000015</v>
      </c>
      <c r="D66" s="3078" t="s">
        <v>1814</v>
      </c>
      <c r="E66" s="2108"/>
      <c r="F66" s="2108"/>
      <c r="G66" s="2108"/>
      <c r="H66" s="1913">
        <f>IF(SUM(H67:H71)=0,"NO",SUM(H67:H71))</f>
        <v>5489.4011918339274</v>
      </c>
      <c r="I66" s="1913">
        <f>IF(SUM(I67:I72)=0,"NO",SUM(I67:I72))</f>
        <v>0.48663376623376631</v>
      </c>
      <c r="J66" s="1913">
        <f>IF(SUM(J67:J72)=0,"NO",SUM(J67:J72))</f>
        <v>0.28475757575757571</v>
      </c>
      <c r="K66" s="3085" t="str">
        <f>IF(SUM(K67:K72)=0,"NO",SUM(K67:K72))</f>
        <v>NO</v>
      </c>
    </row>
    <row r="67" spans="2:11" ht="18" customHeight="1" x14ac:dyDescent="0.2">
      <c r="B67" s="282" t="s">
        <v>132</v>
      </c>
      <c r="C67" s="691">
        <v>78800.000000000015</v>
      </c>
      <c r="D67" s="3078" t="s">
        <v>1814</v>
      </c>
      <c r="E67" s="1913">
        <f t="shared" ref="E67:E72" si="23">IFERROR(H67*1000/$C67,"NA")</f>
        <v>69.597208121827407</v>
      </c>
      <c r="F67" s="1913">
        <f t="shared" ref="F67:G72" si="24">IFERROR(I67*1000000/$C67,"NA")</f>
        <v>6.1744017403915876</v>
      </c>
      <c r="G67" s="1913">
        <f t="shared" si="24"/>
        <v>3.6125211505922152</v>
      </c>
      <c r="H67" s="691">
        <v>5484.2600000000011</v>
      </c>
      <c r="I67" s="691">
        <v>0.48654285714285722</v>
      </c>
      <c r="J67" s="691">
        <v>0.28466666666666662</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100</v>
      </c>
      <c r="D69" s="3078" t="s">
        <v>1814</v>
      </c>
      <c r="E69" s="1913">
        <f t="shared" si="23"/>
        <v>51.411918339265</v>
      </c>
      <c r="F69" s="1913">
        <f t="shared" si="24"/>
        <v>0.90909090909090917</v>
      </c>
      <c r="G69" s="1913">
        <f t="shared" si="24"/>
        <v>0.90909090909090917</v>
      </c>
      <c r="H69" s="691">
        <v>5.1411918339265004</v>
      </c>
      <c r="I69" s="691">
        <v>9.0909090909090917E-5</v>
      </c>
      <c r="J69" s="691">
        <v>9.0909090909090917E-5</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8509.1121484622981</v>
      </c>
      <c r="D93" s="3078" t="s">
        <v>1814</v>
      </c>
      <c r="E93" s="2134"/>
      <c r="F93" s="2134"/>
      <c r="G93" s="2134"/>
      <c r="H93" s="3109">
        <f>IF(SUM(H94:H98)=0,"NO",SUM(H94:H98))</f>
        <v>592.09543525646234</v>
      </c>
      <c r="I93" s="3109">
        <f>IF(SUM(I94:I99)=0,"NO",SUM(I94:I99))</f>
        <v>2.3828652805809997E-2</v>
      </c>
      <c r="J93" s="3113">
        <f>IF(SUM(J94:J99)=0,"NO",SUM(J94:J99))</f>
        <v>1.6174389170746161E-2</v>
      </c>
      <c r="K93" s="449" t="str">
        <f>IF(SUM(K94:K99)=0,"NO",SUM(K94:K99))</f>
        <v>NO</v>
      </c>
    </row>
    <row r="94" spans="2:11" ht="18" customHeight="1" x14ac:dyDescent="0.2">
      <c r="B94" s="282" t="s">
        <v>132</v>
      </c>
      <c r="C94" s="691">
        <f>IF(SUM(C102,C110)=0,"NO",SUM(C102,C110))</f>
        <v>8509.1121484622981</v>
      </c>
      <c r="D94" s="1913" t="s">
        <v>1814</v>
      </c>
      <c r="E94" s="1913">
        <f t="shared" ref="E94:E99" si="32">IFERROR(H94*1000/$C94,"NA")</f>
        <v>69.583691568039953</v>
      </c>
      <c r="F94" s="1913">
        <f t="shared" ref="F94:G99" si="33">IFERROR(I94*1000000/$C94,"NA")</f>
        <v>2.8003688739860046</v>
      </c>
      <c r="G94" s="1913">
        <f t="shared" si="33"/>
        <v>1.9008315895412276</v>
      </c>
      <c r="H94" s="691">
        <f t="shared" ref="H94:K97" si="34">IF(SUM(H102,H110)=0,"NO",SUM(H102,H110))</f>
        <v>592.09543525646234</v>
      </c>
      <c r="I94" s="691">
        <f t="shared" si="34"/>
        <v>2.3828652805809997E-2</v>
      </c>
      <c r="J94" s="691">
        <f t="shared" si="34"/>
        <v>1.6174389170746161E-2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8509.1121484622981</v>
      </c>
      <c r="D108" s="1913" t="s">
        <v>1814</v>
      </c>
      <c r="E108" s="1931"/>
      <c r="F108" s="1931"/>
      <c r="G108" s="1931"/>
      <c r="H108" s="3078">
        <f>H109</f>
        <v>592.09543525646234</v>
      </c>
      <c r="I108" s="3078">
        <f>I109</f>
        <v>2.3828652805809997E-2</v>
      </c>
      <c r="J108" s="3110">
        <f>J109</f>
        <v>1.6174389170746161E-2</v>
      </c>
      <c r="K108" s="2921"/>
    </row>
    <row r="109" spans="2:11" ht="18" customHeight="1" x14ac:dyDescent="0.2">
      <c r="B109" s="3125" t="s">
        <v>2149</v>
      </c>
      <c r="C109" s="3099">
        <f>IF(SUM(C110:C114)=0,"NO",SUM(C110:C114))</f>
        <v>8509.1121484622981</v>
      </c>
      <c r="D109" s="1913" t="s">
        <v>1814</v>
      </c>
      <c r="E109" s="628"/>
      <c r="F109" s="628"/>
      <c r="G109" s="628"/>
      <c r="H109" s="3099">
        <f>IF(SUM(H110:H113)=0,"NO",SUM(H110:H113))</f>
        <v>592.09543525646234</v>
      </c>
      <c r="I109" s="3099">
        <f>IF(SUM(I110:I114)=0,"NO",SUM(I110:I114))</f>
        <v>2.3828652805809997E-2</v>
      </c>
      <c r="J109" s="3099">
        <f>IF(SUM(J110:J114)=0,"NO",SUM(J110:J114))</f>
        <v>1.6174389170746161E-2</v>
      </c>
      <c r="K109" s="2921"/>
    </row>
    <row r="110" spans="2:11" ht="18" customHeight="1" x14ac:dyDescent="0.2">
      <c r="B110" s="282" t="s">
        <v>132</v>
      </c>
      <c r="C110" s="691">
        <v>8509.1121484622981</v>
      </c>
      <c r="D110" s="1913" t="s">
        <v>1814</v>
      </c>
      <c r="E110" s="1913">
        <f t="shared" ref="E110:E114" si="37">IFERROR(H110*1000/$C110,"NA")</f>
        <v>69.583691568039953</v>
      </c>
      <c r="F110" s="1913">
        <f t="shared" ref="F110:G114" si="38">IFERROR(I110*1000000/$C110,"NA")</f>
        <v>2.8003688739860046</v>
      </c>
      <c r="G110" s="1913">
        <f t="shared" si="38"/>
        <v>1.9008315895412276</v>
      </c>
      <c r="H110" s="691">
        <v>592.09543525646234</v>
      </c>
      <c r="I110" s="691">
        <v>2.3828652805809997E-2</v>
      </c>
      <c r="J110" s="691">
        <v>1.6174389170746161E-2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1335700</v>
      </c>
      <c r="G11" s="3361">
        <v>1056331.9800000002</v>
      </c>
      <c r="H11" s="3361">
        <v>885957.6</v>
      </c>
      <c r="I11" s="3381"/>
      <c r="J11" s="3361">
        <v>-121400</v>
      </c>
      <c r="K11" s="3369">
        <f t="shared" ref="K11:K28" si="0">IF((SUM(F11:G11)-SUM(H11:J11))=0,"NO",(SUM(F11:G11)-SUM(H11:J11)))</f>
        <v>1627474.3800000004</v>
      </c>
      <c r="L11" s="2577">
        <f>IF(K11="NO","NA",1)</f>
        <v>1</v>
      </c>
      <c r="M11" s="5" t="s">
        <v>1814</v>
      </c>
      <c r="N11" s="3369">
        <f>K11</f>
        <v>1627474.3800000004</v>
      </c>
      <c r="O11" s="3342">
        <v>18.980716253443529</v>
      </c>
      <c r="P11" s="3369">
        <f>IFERROR(N11*O11/1000,"NA")</f>
        <v>30890.629416528936</v>
      </c>
      <c r="Q11" s="3369" t="str">
        <f>'Table1.A(d)'!G11</f>
        <v>NA</v>
      </c>
      <c r="R11" s="3369">
        <f>IF(SUM(P11,-SUM(Q11))=0,"NO",SUM(P11,-SUM(Q11)))</f>
        <v>30890.629416528936</v>
      </c>
      <c r="S11" s="2577">
        <f>IF(R11="NO","NA",1)</f>
        <v>1</v>
      </c>
      <c r="T11" s="3375">
        <f>IF(R11="NO","NO",R11*S11*44/12)</f>
        <v>113265.64119393943</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145561.1</v>
      </c>
      <c r="G13" s="3361" t="s">
        <v>2146</v>
      </c>
      <c r="H13" s="3361" t="s">
        <v>2146</v>
      </c>
      <c r="I13" s="3381"/>
      <c r="J13" s="3361" t="s">
        <v>2146</v>
      </c>
      <c r="K13" s="3369">
        <f t="shared" si="0"/>
        <v>145561.1</v>
      </c>
      <c r="L13" s="2577">
        <f t="shared" si="1"/>
        <v>1</v>
      </c>
      <c r="M13" s="5" t="s">
        <v>1814</v>
      </c>
      <c r="N13" s="3369">
        <f t="shared" si="2"/>
        <v>145561.1</v>
      </c>
      <c r="O13" s="3342">
        <v>16.25634443667861</v>
      </c>
      <c r="P13" s="3369">
        <f t="shared" si="3"/>
        <v>2366.2913781818188</v>
      </c>
      <c r="Q13" s="3369" t="str">
        <f>'Table1.A(d)'!G13</f>
        <v>NA</v>
      </c>
      <c r="R13" s="3369">
        <f>IF(SUM(P13,-SUM(Q13))=0,"NO",SUM(P13,-SUM(Q13)))</f>
        <v>2366.2913781818188</v>
      </c>
      <c r="S13" s="2577">
        <f t="shared" si="4"/>
        <v>1</v>
      </c>
      <c r="T13" s="3375">
        <f t="shared" si="5"/>
        <v>8676.4017200000017</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49118.04</v>
      </c>
      <c r="H15" s="3361">
        <v>42962.939999999995</v>
      </c>
      <c r="I15" s="3361" t="s">
        <v>2146</v>
      </c>
      <c r="J15" s="3361">
        <v>-783.91999999999985</v>
      </c>
      <c r="K15" s="3369">
        <f t="shared" si="0"/>
        <v>6939.0200000000041</v>
      </c>
      <c r="L15" s="2577">
        <f>IF(K15="NO","NA",1)</f>
        <v>1</v>
      </c>
      <c r="M15" s="5" t="s">
        <v>1814</v>
      </c>
      <c r="N15" s="3369">
        <f t="shared" si="2"/>
        <v>6939.0200000000041</v>
      </c>
      <c r="O15" s="3342">
        <v>18.42066348902819</v>
      </c>
      <c r="P15" s="3369">
        <f t="shared" si="3"/>
        <v>127.82135236363646</v>
      </c>
      <c r="Q15" s="3369" t="str">
        <f>'Table1.A(d)'!G15</f>
        <v>NA</v>
      </c>
      <c r="R15" s="3369">
        <f>IF(SUM(P15,-SUM(Q15))=0,"NO",SUM(P15,-SUM(Q15)))</f>
        <v>127.82135236363646</v>
      </c>
      <c r="S15" s="2577">
        <f>IF(R15="NO","NA",1)</f>
        <v>1</v>
      </c>
      <c r="T15" s="3375">
        <f>IF(R15="NO","NO",R15*S15*44/12)</f>
        <v>468.67829200000034</v>
      </c>
    </row>
    <row r="16" spans="2:20" ht="18" customHeight="1" x14ac:dyDescent="0.2">
      <c r="B16" s="1727"/>
      <c r="C16" s="1567"/>
      <c r="D16" s="36" t="s">
        <v>178</v>
      </c>
      <c r="E16" s="2575" t="s">
        <v>2150</v>
      </c>
      <c r="F16" s="3382"/>
      <c r="G16" s="3361">
        <v>8268.9599999999991</v>
      </c>
      <c r="H16" s="3361">
        <v>20203.2</v>
      </c>
      <c r="I16" s="3361">
        <v>97010</v>
      </c>
      <c r="J16" s="3361">
        <v>1206.3999999999999</v>
      </c>
      <c r="K16" s="3369">
        <f t="shared" si="0"/>
        <v>-110150.63999999998</v>
      </c>
      <c r="L16" s="2577">
        <f t="shared" ref="L16:L28" si="6">IF(K16="NO","NA",1)</f>
        <v>1</v>
      </c>
      <c r="M16" s="5" t="s">
        <v>1814</v>
      </c>
      <c r="N16" s="3369">
        <f t="shared" si="2"/>
        <v>-110150.63999999998</v>
      </c>
      <c r="O16" s="3342">
        <v>18.981818181818181</v>
      </c>
      <c r="P16" s="3369">
        <f t="shared" si="3"/>
        <v>-2090.8594210909087</v>
      </c>
      <c r="Q16" s="3369" t="str">
        <f>'Table1.A(d)'!G16</f>
        <v>NA</v>
      </c>
      <c r="R16" s="3369">
        <f t="shared" ref="R16:R44" si="7">IF(SUM(P16,-SUM(Q16))=0,"NO",SUM(P16,-SUM(Q16)))</f>
        <v>-2090.8594210909087</v>
      </c>
      <c r="S16" s="2577">
        <f t="shared" ref="S16:S28" si="8">IF(R16="NO","NA",1)</f>
        <v>1</v>
      </c>
      <c r="T16" s="3375">
        <f t="shared" ref="T16:T28" si="9">IF(R16="NO","NO",R16*S16*44/12)</f>
        <v>-7666.484543999999</v>
      </c>
    </row>
    <row r="17" spans="2:20" ht="18" customHeight="1" x14ac:dyDescent="0.2">
      <c r="B17" s="1727"/>
      <c r="C17" s="1567"/>
      <c r="D17" s="36" t="s">
        <v>247</v>
      </c>
      <c r="E17" s="2575" t="s">
        <v>2150</v>
      </c>
      <c r="F17" s="3381"/>
      <c r="G17" s="3361" t="s">
        <v>2146</v>
      </c>
      <c r="H17" s="3361">
        <v>69.540000000000006</v>
      </c>
      <c r="I17" s="3361" t="s">
        <v>2146</v>
      </c>
      <c r="J17" s="3361">
        <v>-46.500000000000043</v>
      </c>
      <c r="K17" s="3369">
        <f t="shared" si="0"/>
        <v>-23.039999999999964</v>
      </c>
      <c r="L17" s="2577">
        <f t="shared" si="6"/>
        <v>1</v>
      </c>
      <c r="M17" s="5" t="s">
        <v>1814</v>
      </c>
      <c r="N17" s="3369">
        <f t="shared" si="2"/>
        <v>-23.039999999999964</v>
      </c>
      <c r="O17" s="3342">
        <v>18.790909090909089</v>
      </c>
      <c r="P17" s="3369">
        <f t="shared" si="3"/>
        <v>-0.43294254545454475</v>
      </c>
      <c r="Q17" s="3369" t="str">
        <f>'Table1.A(d)'!G17</f>
        <v>NA</v>
      </c>
      <c r="R17" s="3369">
        <f t="shared" si="7"/>
        <v>-0.43294254545454475</v>
      </c>
      <c r="S17" s="2577">
        <f t="shared" si="8"/>
        <v>1</v>
      </c>
      <c r="T17" s="3375">
        <f t="shared" si="9"/>
        <v>-1.5874559999999975</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49419.58</v>
      </c>
      <c r="H19" s="3361">
        <v>36523.320000000007</v>
      </c>
      <c r="I19" s="3361">
        <v>6540</v>
      </c>
      <c r="J19" s="3361">
        <v>-446.88000000000523</v>
      </c>
      <c r="K19" s="3369">
        <f t="shared" si="0"/>
        <v>6803.1399999999994</v>
      </c>
      <c r="L19" s="2577">
        <f t="shared" si="6"/>
        <v>1</v>
      </c>
      <c r="M19" s="5" t="s">
        <v>1814</v>
      </c>
      <c r="N19" s="3369">
        <f t="shared" si="2"/>
        <v>6803.1399999999994</v>
      </c>
      <c r="O19" s="3342">
        <v>19.06363636363637</v>
      </c>
      <c r="P19" s="3369">
        <f t="shared" si="3"/>
        <v>129.69258709090911</v>
      </c>
      <c r="Q19" s="3369" t="str">
        <f>'Table1.A(d)'!G19</f>
        <v>NA</v>
      </c>
      <c r="R19" s="3369">
        <f t="shared" si="7"/>
        <v>129.69258709090911</v>
      </c>
      <c r="S19" s="2577">
        <f t="shared" si="8"/>
        <v>1</v>
      </c>
      <c r="T19" s="3375">
        <f t="shared" si="9"/>
        <v>475.53948600000012</v>
      </c>
    </row>
    <row r="20" spans="2:20" ht="18" customHeight="1" x14ac:dyDescent="0.2">
      <c r="B20" s="1727"/>
      <c r="C20" s="1567"/>
      <c r="D20" s="36" t="s">
        <v>190</v>
      </c>
      <c r="E20" s="2575" t="s">
        <v>2150</v>
      </c>
      <c r="F20" s="3381"/>
      <c r="G20" s="3361">
        <v>24912.48</v>
      </c>
      <c r="H20" s="3361">
        <v>11632.099999999999</v>
      </c>
      <c r="I20" s="3361">
        <v>32759.999999999996</v>
      </c>
      <c r="J20" s="3361">
        <v>-2936.25</v>
      </c>
      <c r="K20" s="3369">
        <f t="shared" si="0"/>
        <v>-16543.369999999992</v>
      </c>
      <c r="L20" s="2577">
        <f t="shared" si="6"/>
        <v>1</v>
      </c>
      <c r="M20" s="5" t="s">
        <v>1814</v>
      </c>
      <c r="N20" s="3369">
        <f t="shared" si="2"/>
        <v>-16543.369999999992</v>
      </c>
      <c r="O20" s="3342">
        <v>20.072727272727271</v>
      </c>
      <c r="P20" s="3369">
        <f t="shared" si="3"/>
        <v>-332.07055418181795</v>
      </c>
      <c r="Q20" s="3369" t="str">
        <f>'Table1.A(d)'!G20</f>
        <v>NA</v>
      </c>
      <c r="R20" s="3369">
        <f t="shared" si="7"/>
        <v>-332.07055418181795</v>
      </c>
      <c r="S20" s="2577">
        <f t="shared" si="8"/>
        <v>1</v>
      </c>
      <c r="T20" s="3375">
        <f t="shared" si="9"/>
        <v>-1217.5920319999991</v>
      </c>
    </row>
    <row r="21" spans="2:20" ht="18" customHeight="1" x14ac:dyDescent="0.2">
      <c r="B21" s="1727"/>
      <c r="C21" s="1567"/>
      <c r="D21" s="36" t="s">
        <v>169</v>
      </c>
      <c r="E21" s="2575" t="s">
        <v>2150</v>
      </c>
      <c r="F21" s="3381"/>
      <c r="G21" s="3361">
        <v>15581.999999999998</v>
      </c>
      <c r="H21" s="3361">
        <v>84454.56</v>
      </c>
      <c r="I21" s="3381"/>
      <c r="J21" s="3361">
        <v>-4439.2</v>
      </c>
      <c r="K21" s="3369">
        <f t="shared" si="0"/>
        <v>-64433.36</v>
      </c>
      <c r="L21" s="2577">
        <f t="shared" si="6"/>
        <v>1</v>
      </c>
      <c r="M21" s="5" t="s">
        <v>1814</v>
      </c>
      <c r="N21" s="3369">
        <f t="shared" si="2"/>
        <v>-64433.36</v>
      </c>
      <c r="O21" s="3342">
        <v>16.418181818181822</v>
      </c>
      <c r="P21" s="3369">
        <f t="shared" si="3"/>
        <v>-1057.8786196363637</v>
      </c>
      <c r="Q21" s="3369" t="str">
        <f>'Table1.A(d)'!G21</f>
        <v>NA</v>
      </c>
      <c r="R21" s="3369">
        <f t="shared" si="7"/>
        <v>-1057.8786196363637</v>
      </c>
      <c r="S21" s="2577">
        <f t="shared" si="8"/>
        <v>1</v>
      </c>
      <c r="T21" s="3375">
        <f t="shared" si="9"/>
        <v>-3878.8882720000001</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1575.1999999999998</v>
      </c>
      <c r="H24" s="3361">
        <v>79.199999999999989</v>
      </c>
      <c r="I24" s="3381"/>
      <c r="J24" s="3361">
        <v>251.92999999999967</v>
      </c>
      <c r="K24" s="3369">
        <f t="shared" si="0"/>
        <v>1244.0700000000002</v>
      </c>
      <c r="L24" s="2577">
        <f t="shared" si="6"/>
        <v>1</v>
      </c>
      <c r="M24" s="5" t="s">
        <v>1814</v>
      </c>
      <c r="N24" s="3369">
        <f t="shared" si="2"/>
        <v>1244.0700000000002</v>
      </c>
      <c r="O24" s="3342">
        <v>22.009090909090911</v>
      </c>
      <c r="P24" s="3369">
        <f t="shared" si="3"/>
        <v>27.380849727272732</v>
      </c>
      <c r="Q24" s="3369">
        <f>'Table1.A(d)'!G24</f>
        <v>730.70181818181834</v>
      </c>
      <c r="R24" s="3369">
        <f t="shared" si="7"/>
        <v>-703.32096845454566</v>
      </c>
      <c r="S24" s="2577">
        <f t="shared" si="8"/>
        <v>1</v>
      </c>
      <c r="T24" s="3375">
        <f t="shared" si="9"/>
        <v>-2578.8435510000008</v>
      </c>
    </row>
    <row r="25" spans="2:20" ht="18" customHeight="1" x14ac:dyDescent="0.2">
      <c r="B25" s="1727"/>
      <c r="C25" s="1567"/>
      <c r="D25" s="36" t="s">
        <v>252</v>
      </c>
      <c r="E25" s="2575" t="s">
        <v>2150</v>
      </c>
      <c r="F25" s="3381"/>
      <c r="G25" s="3361">
        <v>2126.2399999999998</v>
      </c>
      <c r="H25" s="3361">
        <v>6312.7599999999993</v>
      </c>
      <c r="I25" s="3361" t="s">
        <v>2146</v>
      </c>
      <c r="J25" s="3361">
        <v>-1284.6400000000006</v>
      </c>
      <c r="K25" s="3369">
        <f t="shared" si="0"/>
        <v>-2901.8799999999992</v>
      </c>
      <c r="L25" s="2577">
        <f t="shared" si="6"/>
        <v>1</v>
      </c>
      <c r="M25" s="5" t="s">
        <v>1814</v>
      </c>
      <c r="N25" s="3369">
        <f t="shared" si="2"/>
        <v>-2901.8799999999992</v>
      </c>
      <c r="O25" s="3342">
        <v>18.991363636363641</v>
      </c>
      <c r="P25" s="3369">
        <f t="shared" si="3"/>
        <v>-55.110658309090901</v>
      </c>
      <c r="Q25" s="3369">
        <f>'Table1.A(d)'!G25</f>
        <v>408.31431818181824</v>
      </c>
      <c r="R25" s="3369">
        <f t="shared" si="7"/>
        <v>-463.42497649090916</v>
      </c>
      <c r="S25" s="2577">
        <f t="shared" si="8"/>
        <v>1</v>
      </c>
      <c r="T25" s="3375">
        <f t="shared" si="9"/>
        <v>-1699.2249138000004</v>
      </c>
    </row>
    <row r="26" spans="2:20" ht="18" customHeight="1" x14ac:dyDescent="0.2">
      <c r="B26" s="1727"/>
      <c r="C26" s="1567"/>
      <c r="D26" s="36" t="s">
        <v>253</v>
      </c>
      <c r="E26" s="2575" t="s">
        <v>2150</v>
      </c>
      <c r="F26" s="3381"/>
      <c r="G26" s="3361">
        <v>14419.653290218332</v>
      </c>
      <c r="H26" s="3361" t="s">
        <v>2146</v>
      </c>
      <c r="I26" s="3381"/>
      <c r="J26" s="3361" t="s">
        <v>2146</v>
      </c>
      <c r="K26" s="3369">
        <f t="shared" si="0"/>
        <v>14419.653290218332</v>
      </c>
      <c r="L26" s="2577">
        <f t="shared" si="6"/>
        <v>1</v>
      </c>
      <c r="M26" s="5" t="s">
        <v>1814</v>
      </c>
      <c r="N26" s="3369">
        <f t="shared" si="2"/>
        <v>14419.653290218332</v>
      </c>
      <c r="O26" s="3342">
        <v>25.26136363636364</v>
      </c>
      <c r="P26" s="3369">
        <f t="shared" si="3"/>
        <v>364.26010527449267</v>
      </c>
      <c r="Q26" s="3369">
        <f>'Table1.A(d)'!G26</f>
        <v>364.26010527449256</v>
      </c>
      <c r="R26" s="3369">
        <f t="shared" si="7"/>
        <v>1.1368683772161603E-13</v>
      </c>
      <c r="S26" s="2577">
        <f t="shared" si="8"/>
        <v>1</v>
      </c>
      <c r="T26" s="3375">
        <f t="shared" si="9"/>
        <v>4.1685173831259209E-13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3417.7599999999993</v>
      </c>
      <c r="H28" s="3361">
        <v>8373.2000000000007</v>
      </c>
      <c r="I28" s="3381"/>
      <c r="J28" s="3361">
        <v>-4331.7000000000016</v>
      </c>
      <c r="K28" s="3369">
        <f t="shared" si="0"/>
        <v>-623.73999999999978</v>
      </c>
      <c r="L28" s="2577">
        <f t="shared" si="6"/>
        <v>1</v>
      </c>
      <c r="M28" s="5" t="s">
        <v>1814</v>
      </c>
      <c r="N28" s="3369">
        <f t="shared" si="2"/>
        <v>-623.73999999999978</v>
      </c>
      <c r="O28" s="3342">
        <v>19.033333527664499</v>
      </c>
      <c r="P28" s="3369">
        <f t="shared" si="3"/>
        <v>-11.871851454545451</v>
      </c>
      <c r="Q28" s="3369">
        <f>'Table1.A(d)'!G28</f>
        <v>677.49705001130201</v>
      </c>
      <c r="R28" s="3369">
        <f t="shared" si="7"/>
        <v>-689.36890146584744</v>
      </c>
      <c r="S28" s="2577">
        <f t="shared" si="8"/>
        <v>1</v>
      </c>
      <c r="T28" s="3375">
        <f t="shared" si="9"/>
        <v>-2527.6859720414409</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1607765.3332902191</v>
      </c>
      <c r="O31" s="3364"/>
      <c r="P31" s="3371">
        <f>SUM(P11:P29)</f>
        <v>30357.851641948888</v>
      </c>
      <c r="Q31" s="3371">
        <f>SUM(Q11:Q29)</f>
        <v>2441.1273131065172</v>
      </c>
      <c r="R31" s="3369">
        <f t="shared" si="7"/>
        <v>27916.724328842371</v>
      </c>
      <c r="S31" s="2578"/>
      <c r="T31" s="3377">
        <f>SUM(T11:T29)</f>
        <v>102361.32253908867</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7277880</v>
      </c>
      <c r="G35" s="3361" t="s">
        <v>2146</v>
      </c>
      <c r="H35" s="3361">
        <v>5630300</v>
      </c>
      <c r="I35" s="3361" t="s">
        <v>2146</v>
      </c>
      <c r="J35" s="3361">
        <v>189300</v>
      </c>
      <c r="K35" s="3369">
        <f t="shared" si="10"/>
        <v>1458280</v>
      </c>
      <c r="L35" s="2577">
        <f t="shared" si="11"/>
        <v>1</v>
      </c>
      <c r="M35" s="55" t="s">
        <v>1814</v>
      </c>
      <c r="N35" s="3369">
        <f t="shared" si="12"/>
        <v>1458280</v>
      </c>
      <c r="O35" s="3342">
        <v>23.862251454818121</v>
      </c>
      <c r="P35" s="3369">
        <f t="shared" si="13"/>
        <v>34797.844051532171</v>
      </c>
      <c r="Q35" s="3369">
        <f>'Table1.A(d)'!G35</f>
        <v>281.88576735086701</v>
      </c>
      <c r="R35" s="3369">
        <f t="shared" si="7"/>
        <v>34515.958284181303</v>
      </c>
      <c r="S35" s="2577">
        <f t="shared" si="14"/>
        <v>1</v>
      </c>
      <c r="T35" s="3375">
        <f t="shared" si="15"/>
        <v>126558.51370866479</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650064</v>
      </c>
      <c r="G37" s="3361" t="s">
        <v>2146</v>
      </c>
      <c r="H37" s="3361">
        <v>200</v>
      </c>
      <c r="I37" s="3381"/>
      <c r="J37" s="3361" t="s">
        <v>2146</v>
      </c>
      <c r="K37" s="3369">
        <f t="shared" si="10"/>
        <v>649864</v>
      </c>
      <c r="L37" s="2577">
        <f t="shared" si="11"/>
        <v>1</v>
      </c>
      <c r="M37" s="55" t="s">
        <v>1814</v>
      </c>
      <c r="N37" s="3369">
        <f t="shared" si="12"/>
        <v>649864</v>
      </c>
      <c r="O37" s="3342">
        <v>27.034806822556231</v>
      </c>
      <c r="P37" s="3369">
        <f t="shared" si="13"/>
        <v>17568.947700933684</v>
      </c>
      <c r="Q37" s="3369" t="str">
        <f>'Table1.A(d)'!G37</f>
        <v>NO</v>
      </c>
      <c r="R37" s="3369">
        <f t="shared" si="7"/>
        <v>17568.947700933684</v>
      </c>
      <c r="S37" s="2577">
        <f t="shared" si="14"/>
        <v>1</v>
      </c>
      <c r="T37" s="3375">
        <f t="shared" si="15"/>
        <v>64419.474903423514</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v>20</v>
      </c>
      <c r="I40" s="3381"/>
      <c r="J40" s="3361">
        <v>-1400</v>
      </c>
      <c r="K40" s="3369">
        <f t="shared" ref="K40:K42" si="16">IF((SUM(F40:G40)-SUM(H40:J40))=0,"NO",(SUM(F40:G40)-SUM(H40:J40)))</f>
        <v>1380</v>
      </c>
      <c r="L40" s="2577">
        <f t="shared" ref="L40:L42" si="17">IF(K40="NO","NA",1)</f>
        <v>1</v>
      </c>
      <c r="M40" s="55" t="s">
        <v>1814</v>
      </c>
      <c r="N40" s="3369">
        <f t="shared" ref="N40:N42" si="18">K40</f>
        <v>1380</v>
      </c>
      <c r="O40" s="3342">
        <v>25.90909090909091</v>
      </c>
      <c r="P40" s="3369">
        <f t="shared" ref="P40:P42" si="19">IFERROR(N40*O40/1000,"NA")</f>
        <v>35.754545454545458</v>
      </c>
      <c r="Q40" s="3369" t="str">
        <f>'Table1.A(d)'!G40</f>
        <v>NA</v>
      </c>
      <c r="R40" s="3369">
        <f t="shared" si="7"/>
        <v>35.754545454545458</v>
      </c>
      <c r="S40" s="2577">
        <f t="shared" ref="S40:S42" si="20">IF(R40="NO","NA",1)</f>
        <v>1</v>
      </c>
      <c r="T40" s="3375">
        <f t="shared" ref="T40:T42" si="21">IF(R40="NO","NO",R40*S40*44/12)</f>
        <v>131.1</v>
      </c>
    </row>
    <row r="41" spans="2:20" ht="18" customHeight="1" x14ac:dyDescent="0.2">
      <c r="B41" s="1727"/>
      <c r="C41" s="1567"/>
      <c r="D41" s="31" t="s">
        <v>266</v>
      </c>
      <c r="E41" s="2575" t="s">
        <v>2150</v>
      </c>
      <c r="F41" s="3381"/>
      <c r="G41" s="3361" t="s">
        <v>2146</v>
      </c>
      <c r="H41" s="3361">
        <v>2200</v>
      </c>
      <c r="I41" s="3381"/>
      <c r="J41" s="3361">
        <v>17900</v>
      </c>
      <c r="K41" s="3369">
        <f t="shared" si="16"/>
        <v>-20100</v>
      </c>
      <c r="L41" s="2577">
        <f t="shared" si="17"/>
        <v>1</v>
      </c>
      <c r="M41" s="55" t="s">
        <v>1814</v>
      </c>
      <c r="N41" s="3369">
        <f t="shared" si="18"/>
        <v>-20100</v>
      </c>
      <c r="O41" s="3342">
        <v>29.077245667152301</v>
      </c>
      <c r="P41" s="3369">
        <f t="shared" si="19"/>
        <v>-584.45263790976128</v>
      </c>
      <c r="Q41" s="3369">
        <f>'Table1.A(d)'!G41</f>
        <v>2168.597602316795</v>
      </c>
      <c r="R41" s="3369">
        <f t="shared" si="7"/>
        <v>-2753.0502402265565</v>
      </c>
      <c r="S41" s="2577">
        <f t="shared" si="20"/>
        <v>1</v>
      </c>
      <c r="T41" s="3375">
        <f t="shared" si="21"/>
        <v>-10094.517547497375</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121.9436251564715</v>
      </c>
      <c r="R42" s="3369">
        <f t="shared" si="7"/>
        <v>-121.9436251564715</v>
      </c>
      <c r="S42" s="2577">
        <f t="shared" si="20"/>
        <v>1</v>
      </c>
      <c r="T42" s="3375">
        <f t="shared" si="21"/>
        <v>-447.12662557372886</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2089424</v>
      </c>
      <c r="O45" s="3364"/>
      <c r="P45" s="3371">
        <f>SUM(P33:P43)</f>
        <v>51818.093660010643</v>
      </c>
      <c r="Q45" s="3371">
        <f>SUM(Q33:Q43)</f>
        <v>2572.4269948241335</v>
      </c>
      <c r="R45" s="3371">
        <f>SUM(R33:R43)</f>
        <v>49245.666665186509</v>
      </c>
      <c r="S45" s="41"/>
      <c r="T45" s="3377">
        <f>SUM(T33:T43)</f>
        <v>180567.44443901721</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1365606.3080000002</v>
      </c>
      <c r="G47" s="3361" t="s">
        <v>2146</v>
      </c>
      <c r="H47" s="3361">
        <v>413400</v>
      </c>
      <c r="I47" s="3361" t="s">
        <v>2146</v>
      </c>
      <c r="J47" s="3361">
        <v>800.00000000006821</v>
      </c>
      <c r="K47" s="3369">
        <f t="shared" ref="K47" si="22">IF((SUM(F47:G47)-SUM(H47:J47))=0,"NO",(SUM(F47:G47)-SUM(H47:J47)))</f>
        <v>951406.30800000019</v>
      </c>
      <c r="L47" s="2577">
        <f t="shared" ref="L47" si="23">IF(K47="NO","NA",1)</f>
        <v>1</v>
      </c>
      <c r="M47" s="55" t="s">
        <v>1814</v>
      </c>
      <c r="N47" s="3369">
        <f t="shared" ref="N47" si="24">K47</f>
        <v>951406.30800000019</v>
      </c>
      <c r="O47" s="3342">
        <v>14.03562633515798</v>
      </c>
      <c r="P47" s="3369">
        <f t="shared" ref="P47" si="25">IFERROR(N47*O47/1000,"NA")</f>
        <v>13353.583432000227</v>
      </c>
      <c r="Q47" s="3369">
        <f>'Table1.A(d)'!G47</f>
        <v>361.09547927337513</v>
      </c>
      <c r="R47" s="3369">
        <f t="shared" ref="R47" si="26">IF(SUM(P47,-SUM(Q47))=0,"NO",SUM(P47,-SUM(Q47)))</f>
        <v>12992.487952726851</v>
      </c>
      <c r="S47" s="2577">
        <f t="shared" ref="S47" si="27">IF(R47="NO","NA",1)</f>
        <v>1</v>
      </c>
      <c r="T47" s="3375">
        <f t="shared" ref="T47" si="28">IF(R47="NO","NO",R47*S47*44/12)</f>
        <v>47639.122493331786</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951406.30800000019</v>
      </c>
      <c r="O50" s="3366"/>
      <c r="P50" s="3371">
        <f>SUM(P47:P48)</f>
        <v>13353.583432000227</v>
      </c>
      <c r="Q50" s="3371">
        <f>SUM(Q47:Q48)</f>
        <v>361.09547927337513</v>
      </c>
      <c r="R50" s="3371">
        <f>SUM(R47:R48)</f>
        <v>12992.487952726851</v>
      </c>
      <c r="S50" s="2354"/>
      <c r="T50" s="3377">
        <f>SUM(T47:T48)</f>
        <v>47639.122493331786</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4648595.6412902195</v>
      </c>
      <c r="O55" s="3367"/>
      <c r="P55" s="3373">
        <f>SUM(P31,P45,P50,P54)</f>
        <v>95529.528733959756</v>
      </c>
      <c r="Q55" s="3373">
        <f>SUM(Q31,Q45,Q50,Q54)</f>
        <v>5374.6497872040263</v>
      </c>
      <c r="R55" s="3373">
        <f>SUM(R31,R45,R50,R54)</f>
        <v>90154.878946755736</v>
      </c>
      <c r="S55" s="2374"/>
      <c r="T55" s="3379">
        <f>SUM(T31,T45,T50,T54)</f>
        <v>330567.88947143767</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1607.7653332902191</v>
      </c>
      <c r="D10" s="4136">
        <f>C10-'Table1.A(d)'!E31/1000</f>
        <v>1483.0017897049124</v>
      </c>
      <c r="E10" s="4135">
        <f>'Table1.A(b)'!T31</f>
        <v>102361.32253908867</v>
      </c>
      <c r="F10" s="4135">
        <f>'Table1.A(a)s1'!C11/1000</f>
        <v>1494.7901077424247</v>
      </c>
      <c r="G10" s="4135">
        <f>'Table1.A(a)s1'!H11</f>
        <v>101819.12415346065</v>
      </c>
      <c r="H10" s="4135">
        <f>100*((D10-F10)/F10)</f>
        <v>-0.78862697688815153</v>
      </c>
      <c r="I10" s="4137">
        <f>100*((E10-G10)/G10)</f>
        <v>0.53251134316458826</v>
      </c>
      <c r="L10"/>
    </row>
    <row r="11" spans="2:12" ht="18" customHeight="1" x14ac:dyDescent="0.2">
      <c r="B11" s="50" t="s">
        <v>299</v>
      </c>
      <c r="C11" s="4135">
        <f>'Table1.A(b)'!N45/1000</f>
        <v>2089.424</v>
      </c>
      <c r="D11" s="4135">
        <f>C11-'Table1.A(d)'!E45/1000</f>
        <v>1997.916250569893</v>
      </c>
      <c r="E11" s="4135">
        <f>'Table1.A(b)'!T45</f>
        <v>180567.44443901721</v>
      </c>
      <c r="F11" s="4135">
        <f>'Table1.A(a)s1'!C12/1000</f>
        <v>1996.0431831511628</v>
      </c>
      <c r="G11" s="4135">
        <f>'Table1.A(a)s1'!H12</f>
        <v>180685.10731590705</v>
      </c>
      <c r="H11" s="4135">
        <f t="shared" ref="H11:H13" si="0">100*((D11-F11)/F11)</f>
        <v>9.3839022849856138E-2</v>
      </c>
      <c r="I11" s="4137">
        <f t="shared" ref="I11:I13" si="1">100*((E11-G11)/G11)</f>
        <v>-6.5120406788212626E-2</v>
      </c>
      <c r="L11"/>
    </row>
    <row r="12" spans="2:12" ht="18" customHeight="1" x14ac:dyDescent="0.2">
      <c r="B12" s="50" t="s">
        <v>300</v>
      </c>
      <c r="C12" s="4135">
        <f>'Table1.A(b)'!N50/1000</f>
        <v>951.40630800000019</v>
      </c>
      <c r="D12" s="4135">
        <f>C12-'Table1.A(d)'!E50/1000</f>
        <v>925.65319860231966</v>
      </c>
      <c r="E12" s="4135">
        <f>'Table1.A(b)'!T50</f>
        <v>47639.122493331786</v>
      </c>
      <c r="F12" s="4135">
        <f>'Table1.A(a)s1'!C13/1000</f>
        <v>939.4691919021717</v>
      </c>
      <c r="G12" s="4135">
        <f>'Table1.A(a)s1'!H13</f>
        <v>48358.624346058918</v>
      </c>
      <c r="H12" s="4135">
        <f t="shared" si="0"/>
        <v>-1.4706169631681461</v>
      </c>
      <c r="I12" s="4137">
        <f t="shared" si="1"/>
        <v>-1.4878459891214184</v>
      </c>
      <c r="L12"/>
    </row>
    <row r="13" spans="2:12" ht="18" customHeight="1" x14ac:dyDescent="0.2">
      <c r="B13" s="50" t="s">
        <v>275</v>
      </c>
      <c r="C13" s="4135">
        <f>'Table1.A(b)'!N54/1000</f>
        <v>0</v>
      </c>
      <c r="D13" s="4135">
        <f>C13-SUM('Table1.A(d)'!E54)/1000</f>
        <v>0</v>
      </c>
      <c r="E13" s="4135">
        <f>'Table1.A(b)'!T54</f>
        <v>0</v>
      </c>
      <c r="F13" s="4135">
        <f>'Table1.A(a)s1'!C14/1000</f>
        <v>5.0230142607214932</v>
      </c>
      <c r="G13" s="4135">
        <f>'Table1.A(a)s1'!H14</f>
        <v>451.68694531088551</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4648.5956412902196</v>
      </c>
      <c r="D15" s="4138">
        <f>SUM(D10:D14)</f>
        <v>4406.5712388771244</v>
      </c>
      <c r="E15" s="4138">
        <f>SUM(E10:E14)</f>
        <v>330567.88947143767</v>
      </c>
      <c r="F15" s="4138">
        <f>SUM(F10:F14)</f>
        <v>4435.3254970564803</v>
      </c>
      <c r="G15" s="4138">
        <f>SUM(G10:G14)</f>
        <v>331314.54276073753</v>
      </c>
      <c r="H15" s="4139">
        <f t="shared" ref="H15" si="2">100*((D15-F15)/F15)</f>
        <v>-0.6483009690819489</v>
      </c>
      <c r="I15" s="4140">
        <f t="shared" ref="I15" si="3">100*((E15-G15)/G15)</f>
        <v>-0.22536085590395277</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E0A0CF83-7D3A-42A4-BD08-637F035D104D}"/>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