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00656CA0-6B7A-4C41-8B6E-EF08A623649B}" xr6:coauthVersionLast="47" xr6:coauthVersionMax="47" xr10:uidLastSave="{00000000-0000-0000-0000-000000000000}"/>
  <bookViews>
    <workbookView xWindow="390" yWindow="39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I33" i="34"/>
  <c r="G37" i="34"/>
  <c r="G59" i="34"/>
  <c r="I72" i="34"/>
  <c r="G36" i="34"/>
  <c r="H37" i="34"/>
  <c r="H36" i="34"/>
  <c r="I37" i="34"/>
  <c r="G88" i="34"/>
  <c r="G26" i="34"/>
  <c r="H27" i="34"/>
  <c r="I28" i="34"/>
  <c r="G34" i="34"/>
  <c r="H35" i="34"/>
  <c r="I36" i="34"/>
  <c r="G62" i="34"/>
  <c r="I75" i="34"/>
  <c r="I88" i="34"/>
  <c r="H26" i="34"/>
  <c r="I27" i="34"/>
  <c r="G33" i="34"/>
  <c r="H34" i="34"/>
  <c r="I35" i="34"/>
  <c r="I76" i="34"/>
  <c r="G85" i="34"/>
  <c r="G89" i="34"/>
  <c r="I26" i="34"/>
  <c r="G32" i="34"/>
  <c r="H33" i="34"/>
  <c r="I34" i="34"/>
  <c r="I85" i="34"/>
  <c r="I89" i="34"/>
  <c r="G128" i="34"/>
  <c r="G135" i="34"/>
  <c r="G143" i="34"/>
  <c r="G138" i="34"/>
  <c r="I45" i="59"/>
  <c r="G133" i="34"/>
  <c r="G141" i="34"/>
  <c r="I15" i="59"/>
  <c r="G129" i="34"/>
  <c r="G136" i="34"/>
  <c r="I154" i="34"/>
  <c r="H16" i="59"/>
  <c r="G139" i="34"/>
  <c r="H15" i="59"/>
  <c r="H45" i="59"/>
  <c r="G125" i="34"/>
  <c r="G134" i="34"/>
  <c r="G142" i="34"/>
  <c r="D16" i="57"/>
  <c r="I22" i="59"/>
  <c r="G137" i="34"/>
  <c r="I157" i="34"/>
  <c r="D18" i="57"/>
  <c r="G132" i="34"/>
  <c r="G140" i="34"/>
  <c r="H22" i="59"/>
  <c r="H154" i="34"/>
  <c r="H157" i="34"/>
  <c r="H158" i="34"/>
  <c r="H139" i="34"/>
  <c r="H142" i="34"/>
  <c r="H143" i="34"/>
  <c r="H118" i="34"/>
  <c r="H119" i="34"/>
  <c r="H120" i="34"/>
  <c r="H121" i="34"/>
  <c r="H122" i="34"/>
  <c r="H123" i="34"/>
  <c r="H124" i="34"/>
  <c r="H125" i="34"/>
  <c r="H126" i="34"/>
  <c r="H128" i="34"/>
  <c r="H129" i="34"/>
  <c r="I118" i="34"/>
  <c r="I119" i="34"/>
  <c r="I120" i="34"/>
  <c r="I121" i="34"/>
  <c r="I122" i="34"/>
  <c r="I123" i="34"/>
  <c r="I124" i="34"/>
  <c r="I125" i="34"/>
  <c r="I126" i="34"/>
  <c r="I127" i="34"/>
  <c r="I128" i="34"/>
  <c r="I129" i="34"/>
  <c r="D29" i="25"/>
  <c r="F29" i="25"/>
  <c r="G29" i="25"/>
  <c r="H29" i="25"/>
  <c r="I29" i="25"/>
  <c r="K29" i="25"/>
  <c r="M29" i="25"/>
  <c r="O29" i="25"/>
  <c r="I99"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85" i="34"/>
  <c r="H88" i="34"/>
  <c r="H89" i="34"/>
  <c r="G65" i="34"/>
  <c r="G66" i="34"/>
  <c r="G67" i="34"/>
  <c r="G68" i="34"/>
  <c r="G69" i="34"/>
  <c r="G72" i="34"/>
  <c r="G75" i="34"/>
  <c r="G76" i="34"/>
  <c r="H72" i="34"/>
  <c r="H75" i="34"/>
  <c r="H76" i="34"/>
  <c r="H59" i="34"/>
  <c r="H62" i="34"/>
  <c r="H63" i="34"/>
  <c r="I59" i="34"/>
  <c r="I62" i="34"/>
  <c r="I63" i="34"/>
  <c r="G63" i="34"/>
  <c r="M51" i="34" l="1"/>
  <c r="L51" i="34"/>
  <c r="K51" i="34"/>
  <c r="J51" i="34"/>
  <c r="I61" i="34"/>
  <c r="I60" i="34"/>
  <c r="I58" i="34"/>
  <c r="I57" i="34"/>
  <c r="I56" i="34"/>
  <c r="I55" i="34"/>
  <c r="I54" i="34"/>
  <c r="I53" i="34"/>
  <c r="I52" i="34"/>
  <c r="H61" i="34"/>
  <c r="H60" i="34"/>
  <c r="H58" i="34"/>
  <c r="H57" i="34"/>
  <c r="H56" i="34"/>
  <c r="H55" i="34"/>
  <c r="H54" i="34"/>
  <c r="H53" i="34"/>
  <c r="H52" i="34"/>
  <c r="I70" i="34"/>
  <c r="L64" i="34"/>
  <c r="K64" i="34"/>
  <c r="H74" i="34"/>
  <c r="H73" i="34"/>
  <c r="G74" i="34"/>
  <c r="G73" i="34"/>
  <c r="G71" i="34"/>
  <c r="G70" i="34"/>
  <c r="M77" i="34"/>
  <c r="L77" i="34"/>
  <c r="K77" i="34"/>
  <c r="J77" i="34"/>
  <c r="H87" i="34"/>
  <c r="H86" i="34"/>
  <c r="H84" i="34"/>
  <c r="H83" i="34"/>
  <c r="H82" i="34"/>
  <c r="H81" i="34"/>
  <c r="H80"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1" i="34"/>
  <c r="I100" i="34"/>
  <c r="I98" i="34"/>
  <c r="I97" i="34"/>
  <c r="I96" i="34"/>
  <c r="I95" i="34"/>
  <c r="I94"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7" i="34"/>
  <c r="K131" i="34"/>
  <c r="K130" i="34" s="1"/>
  <c r="U30" i="25"/>
  <c r="T30" i="25"/>
  <c r="R30" i="25"/>
  <c r="O30" i="25"/>
  <c r="M30" i="25"/>
  <c r="K30" i="25"/>
  <c r="I30" i="25"/>
  <c r="H30" i="25"/>
  <c r="G30" i="25"/>
  <c r="F30" i="25"/>
  <c r="D30" i="25"/>
  <c r="J131" i="34"/>
  <c r="J130" i="34" s="1"/>
  <c r="C30" i="25"/>
  <c r="F49" i="22" s="1"/>
  <c r="H141" i="34"/>
  <c r="H140" i="34"/>
  <c r="H138" i="34"/>
  <c r="H137" i="34"/>
  <c r="H136" i="34"/>
  <c r="H135" i="34"/>
  <c r="H134" i="34"/>
  <c r="H133" i="34"/>
  <c r="H132" i="34"/>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6" i="34"/>
  <c r="H155" i="34"/>
  <c r="H153" i="34"/>
  <c r="H152" i="34"/>
  <c r="H151" i="34"/>
  <c r="H150" i="34"/>
  <c r="H149"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49" i="34"/>
  <c r="D111" i="34"/>
  <c r="G111" i="34" s="1"/>
  <c r="G98" i="34"/>
  <c r="K13" i="59"/>
  <c r="H14" i="59"/>
  <c r="I15" i="57"/>
  <c r="G13" i="57"/>
  <c r="E15" i="57"/>
  <c r="I156" i="34"/>
  <c r="I148" i="34"/>
  <c r="G127"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20" i="34"/>
  <c r="G118" i="34"/>
  <c r="G101" i="34"/>
  <c r="D114" i="34"/>
  <c r="G114" i="34" s="1"/>
  <c r="D106" i="34"/>
  <c r="G106" i="34" s="1"/>
  <c r="G93" i="34"/>
  <c r="I16" i="57"/>
  <c r="E16" i="57"/>
  <c r="I18" i="57"/>
  <c r="E18" i="57"/>
  <c r="I151" i="34"/>
  <c r="G100" i="34"/>
  <c r="D113" i="34"/>
  <c r="G113" i="34" s="1"/>
  <c r="D105" i="34"/>
  <c r="G105" i="34" s="1"/>
  <c r="G92" i="34"/>
  <c r="I81" i="34"/>
  <c r="I68" i="34"/>
  <c r="I66" i="34"/>
  <c r="G81" i="34"/>
  <c r="H70" i="34"/>
  <c r="H68" i="34"/>
  <c r="H66" i="34"/>
  <c r="G55" i="34"/>
  <c r="I84" i="34"/>
  <c r="I80" i="34"/>
  <c r="M64" i="34"/>
  <c r="G54" i="34"/>
  <c r="G84" i="34"/>
  <c r="G80" i="34"/>
  <c r="I74" i="34"/>
  <c r="J64" i="34"/>
  <c r="G61" i="34"/>
  <c r="G53" i="34"/>
  <c r="G35" i="34"/>
  <c r="I29" i="34"/>
  <c r="H28" i="34"/>
  <c r="G27" i="34"/>
  <c r="I73" i="34"/>
  <c r="I69" i="34"/>
  <c r="I67" i="34"/>
  <c r="I65" i="34"/>
  <c r="I30" i="34"/>
  <c r="H29" i="34"/>
  <c r="G28" i="34"/>
  <c r="M25" i="34"/>
  <c r="G87" i="34"/>
  <c r="G83" i="34"/>
  <c r="G79" i="34"/>
  <c r="H69" i="34"/>
  <c r="H67" i="34"/>
  <c r="H65" i="34"/>
  <c r="I31" i="34"/>
  <c r="H30" i="34"/>
  <c r="G29" i="34"/>
  <c r="L25" i="34"/>
  <c r="I71" i="34"/>
  <c r="I32" i="34"/>
  <c r="H31" i="34"/>
  <c r="G30" i="34"/>
  <c r="K25" i="34"/>
  <c r="H71"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F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49" i="70" l="1"/>
  <c r="I34" i="73"/>
  <c r="J34" i="73" s="1"/>
  <c r="G35" i="73"/>
  <c r="H45" i="70"/>
  <c r="H22" i="73"/>
  <c r="H23" i="73"/>
  <c r="H24"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<sst xmlns="http://schemas.openxmlformats.org/spreadsheetml/2006/main" count="19290" uniqueCount="2523">
  <si>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</si>
  <si>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</si>
  <si>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</si>
  <si>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</si>
  <si>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</si>
  <si>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</si>
  <si>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</si>
  <si>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</si>
  <si>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</si>
  <si>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</si>
  <si>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</si>
  <si>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</si>
  <si>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</si>
  <si>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</si>
  <si>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</si>
  <si>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</si>
  <si>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</si>
  <si>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</si>
  <si>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</si>
  <si>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</si>
  <si>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</si>
  <si>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</si>
  <si>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</si>
  <si>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</si>
  <si>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</si>
  <si>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</si>
  <si>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</si>
  <si>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</si>
  <si>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</si>
  <si>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</si>
  <si>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</si>
  <si>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</si>
  <si>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</si>
  <si>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</si>
  <si>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</si>
  <si>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</si>
  <si>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</si>
  <si>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</si>
  <si>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</si>
  <si>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</si>
  <si>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</si>
  <si>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</si>
  <si>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</si>
  <si>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</si>
  <si>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</si>
  <si>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</si>
  <si>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</si>
  <si>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</si>
  <si>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</si>
  <si>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</si>
  <si>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</si>
  <si>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</si>
  <si>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</si>
  <si>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</si>
  <si>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</si>
  <si>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</si>
  <si>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</si>
  <si>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</si>
  <si>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</si>
  <si>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</si>
  <si>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</si>
  <si>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</si>
  <si>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</si>
  <si>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</si>
  <si>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</si>
  <si>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</si>
  <si>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</si>
  <si>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</si>
  <si>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</si>
  <si>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</si>
  <si>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</si>
  <si>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</si>
  <si>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</si>
  <si>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</si>
  <si>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</si>
  <si>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</si>
  <si>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</si>
  <si>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</si>
  <si>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</si>
  <si>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</si>
  <si>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</si>
  <si>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</si>
  <si>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</si>
  <si>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</si>
  <si>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</si>
  <si>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</si>
  <si>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</si>
  <si>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</si>
  <si>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</si>
  <si>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</si>
  <si>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</si>
  <si>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</si>
  <si>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</si>
  <si>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</si>
  <si>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</si>
  <si>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</si>
  <si>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</si>
  <si>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</si>
  <si>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</si>
  <si>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</si>
  <si>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</si>
  <si>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</si>
  <si>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</si>
  <si>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</si>
  <si>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</si>
  <si>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</si>
  <si>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</si>
  <si>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</si>
  <si>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</si>
  <si>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</si>
  <si>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</si>
  <si>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</si>
  <si>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</si>
  <si>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</si>
  <si>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</si>
  <si>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</si>
  <si>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</si>
  <si>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</si>
  <si>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</si>
  <si>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</si>
  <si>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</si>
  <si>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</si>
  <si>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</si>
  <si>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</si>
  <si>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</si>
  <si>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</si>
  <si>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</si>
  <si>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</si>
  <si>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</si>
  <si>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</si>
  <si>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</si>
  <si>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</si>
  <si>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</si>
  <si>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</si>
  <si>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</si>
  <si>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</si>
  <si>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</si>
  <si>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</si>
  <si>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</si>
  <si>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</si>
  <si>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</si>
  <si>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</si>
  <si>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</si>
  <si>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</si>
  <si>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</si>
  <si>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</si>
  <si>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</si>
  <si>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</si>
  <si>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</si>
  <si>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</si>
  <si>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</si>
  <si>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</si>
  <si>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</si>
  <si>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</si>
  <si>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</si>
  <si>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</si>
  <si>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</si>
  <si>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</si>
  <si>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</si>
  <si>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</si>
  <si>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</si>
  <si>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</si>
  <si>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</si>
  <si>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</si>
  <si>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</si>
  <si>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</si>
  <si>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</si>
  <si>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</si>
  <si>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</si>
  <si>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</si>
  <si>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</si>
  <si>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</si>
  <si>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</si>
  <si>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</si>
  <si>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</si>
  <si>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</si>
  <si>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</si>
  <si>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</si>
  <si>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</si>
  <si>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</si>
  <si>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</si>
  <si>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</si>
  <si>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</si>
  <si>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</si>
  <si>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</si>
  <si>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</si>
  <si>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</si>
  <si>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</si>
  <si>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</si>
  <si>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</si>
  <si>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</si>
  <si>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</si>
  <si>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</si>
  <si>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</si>
  <si>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</si>
  <si>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</si>
  <si>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</si>
  <si>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</si>
  <si>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</si>
  <si>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</si>
  <si>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</si>
  <si>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</si>
  <si>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</si>
  <si>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</si>
  <si>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</si>
  <si>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</si>
  <si>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</si>
  <si>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</si>
  <si>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</si>
  <si>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</si>
  <si>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</si>
  <si>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</si>
  <si>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</si>
  <si>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</si>
  <si>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</si>
  <si>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</si>
  <si>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</si>
  <si>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</si>
  <si>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</si>
  <si>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</si>
  <si>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</si>
  <si>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</si>
  <si>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</si>
  <si>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</si>
  <si>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</si>
  <si>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</si>
  <si>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</si>
  <si>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</si>
  <si>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</si>
  <si>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</si>
  <si>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</si>
  <si>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</si>
  <si>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</si>
  <si>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</si>
  <si>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</si>
  <si>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</si>
  <si>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</si>
  <si>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</si>
  <si>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</si>
  <si>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</si>
  <si>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</si>
  <si>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</si>
  <si>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</si>
  <si>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</si>
  <si>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</si>
  <si>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</si>
  <si>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</si>
  <si>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</si>
  <si>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</si>
  <si>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</si>
  <si>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</si>
  <si>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</si>
  <si>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</si>
  <si>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</si>
  <si>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</si>
  <si>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</si>
  <si>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</si>
  <si>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</si>
  <si>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</si>
  <si>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</si>
  <si>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</si>
  <si>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</si>
  <si>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</si>
  <si>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</si>
  <si>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</si>
  <si>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</si>
  <si>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</si>
  <si>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</si>
  <si>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</si>
  <si>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</si>
  <si>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</si>
  <si>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</si>
  <si>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</si>
  <si>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</si>
  <si>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</si>
  <si>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</si>
  <si>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</si>
  <si>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</si>
  <si>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</si>
  <si>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</si>
  <si>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</si>
  <si>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</si>
  <si>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</si>
  <si>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</si>
  <si>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</si>
  <si>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</si>
  <si>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</si>
  <si>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</si>
  <si>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</si>
  <si>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</si>
  <si>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</si>
  <si>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</si>
  <si>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</si>
  <si>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</si>
  <si>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</si>
  <si>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</si>
  <si>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</si>
  <si>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</si>
  <si>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</si>
  <si>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</si>
  <si>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</si>
  <si>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</si>
  <si>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</si>
  <si>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</si>
  <si>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</si>
  <si>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</si>
  <si>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</si>
  <si>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</si>
  <si>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</si>
  <si>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</si>
  <si>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</si>
  <si>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</si>
  <si>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</si>
  <si>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</si>
  <si>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</si>
  <si>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</si>
  <si>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</si>
  <si>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</si>
  <si>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</si>
  <si>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</si>
  <si>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</si>
  <si>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</si>
  <si>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</si>
  <si>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</si>
  <si>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</si>
  <si>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</si>
  <si>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</si>
  <si>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</si>
  <si>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</si>
  <si>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</si>
  <si>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</si>
  <si>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</si>
  <si>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</si>
  <si>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</si>
  <si>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</si>
  <si>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</si>
  <si>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</si>
  <si>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</si>
  <si>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</si>
  <si>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</si>
  <si>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</si>
  <si>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</si>
  <si>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</si>
  <si>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</si>
  <si>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</si>
  <si>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</si>
  <si>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</si>
  <si>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</si>
  <si>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</si>
  <si>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</si>
  <si>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</si>
  <si>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</si>
  <si>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</si>
  <si>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</si>
  <si>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</si>
  <si>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</si>
  <si>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</si>
  <si>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</si>
  <si>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</si>
  <si>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</si>
  <si>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</si>
  <si>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</si>
  <si>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</si>
  <si>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</si>
  <si>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</si>
  <si>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</si>
  <si>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</si>
  <si>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</si>
  <si>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</si>
  <si>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</si>
  <si>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</si>
  <si>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</si>
  <si>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</si>
  <si>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</si>
  <si>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</si>
  <si>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</si>
  <si>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</si>
  <si>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</si>
  <si>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</si>
  <si>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</si>
  <si>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</si>
  <si>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</si>
  <si>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</si>
  <si>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</si>
  <si>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</si>
  <si>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</si>
  <si>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</si>
  <si>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</si>
  <si>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</si>
  <si>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</si>
  <si>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</si>
  <si>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</si>
  <si>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</si>
  <si>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</si>
  <si>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</si>
  <si>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</si>
  <si>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</si>
  <si>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</si>
  <si>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</si>
  <si>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</si>
  <si>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</si>
  <si>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</si>
  <si>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</si>
  <si>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</si>
  <si>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</si>
  <si>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</si>
  <si>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</si>
  <si>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</si>
  <si>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</si>
  <si>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</si>
  <si>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</si>
  <si>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</si>
  <si>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</si>
  <si>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</si>
  <si>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</si>
  <si>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</si>
  <si>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</si>
  <si>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</si>
  <si>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</si>
  <si>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</si>
  <si>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</si>
  <si>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</si>
  <si>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</si>
  <si>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</si>
  <si>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</si>
  <si>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</si>
  <si>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</si>
  <si>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</si>
  <si>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</si>
  <si>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</si>
  <si>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</si>
  <si>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</si>
  <si>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</si>
  <si>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</si>
  <si>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</si>
  <si>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</si>
  <si>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</si>
  <si>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</si>
  <si>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</si>
  <si>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</si>
  <si>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</si>
  <si>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</si>
  <si>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</si>
  <si>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</si>
  <si>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</si>
  <si>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</si>
  <si>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</si>
  <si>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</si>
  <si>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</si>
  <si>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</si>
  <si>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</si>
  <si>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</si>
  <si>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</si>
  <si>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</si>
  <si>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</si>
  <si>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</si>
  <si>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</si>
  <si>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</si>
  <si>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</si>
  <si>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</si>
  <si>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</si>
  <si>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</si>
  <si>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</si>
  <si>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</si>
  <si>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</si>
  <si>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</si>
  <si>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</si>
  <si>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</si>
  <si>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</si>
  <si>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</si>
  <si>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</si>
  <si>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</si>
  <si>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</si>
  <si>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</si>
  <si>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</si>
  <si>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</si>
  <si>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</si>
  <si>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</si>
  <si>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</si>
  <si>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</si>
  <si>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</si>
  <si>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</si>
  <si>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</si>
  <si>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</si>
  <si>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</si>
  <si>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</si>
  <si>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</si>
  <si>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</si>
  <si>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</si>
  <si>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</si>
  <si>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</si>
  <si>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</si>
  <si>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</si>
  <si>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</si>
  <si>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</si>
  <si>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</si>
  <si>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</si>
  <si>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</si>
  <si>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</si>
  <si>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</si>
  <si>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</si>
  <si>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</si>
  <si>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</si>
  <si>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</si>
  <si>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</si>
  <si>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</si>
  <si>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</si>
  <si>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</si>
  <si>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</si>
  <si>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</si>
  <si>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</si>
  <si>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</si>
  <si>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</si>
  <si>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</si>
  <si>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</si>
  <si>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</si>
  <si>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</si>
  <si>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</si>
  <si>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</si>
  <si>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</si>
  <si>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</si>
  <si>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</si>
  <si>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</si>
  <si>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</si>
  <si>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</si>
  <si>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</si>
  <si>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</si>
  <si>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</si>
  <si>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</si>
  <si>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</si>
  <si>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</si>
  <si>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</si>
  <si>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</si>
  <si>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</si>
  <si>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</si>
  <si>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</si>
  <si>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</si>
  <si>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</si>
  <si>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</si>
  <si>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</si>
  <si>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</si>
  <si>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</si>
  <si>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</si>
  <si>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</si>
  <si>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</si>
  <si>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</si>
  <si>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</si>
  <si>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</si>
  <si>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</si>
  <si>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</si>
  <si>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</si>
  <si>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</si>
  <si>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</si>
  <si>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</si>
  <si>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</si>
  <si>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</si>
  <si>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</si>
  <si>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</si>
  <si>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</si>
  <si>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</si>
  <si>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</si>
  <si>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</si>
  <si>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</si>
  <si>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</si>
  <si>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</si>
  <si>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</si>
  <si>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</si>
  <si>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</si>
  <si>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</si>
  <si>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</si>
  <si>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</si>
  <si>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</si>
  <si>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</si>
  <si>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</si>
  <si>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</si>
  <si>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</si>
  <si>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</si>
  <si>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</si>
  <si>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</si>
  <si>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</si>
  <si>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</si>
  <si>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</si>
  <si>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</si>
  <si>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</si>
  <si>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</si>
  <si>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</si>
  <si>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</si>
  <si>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</si>
  <si>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</si>
  <si>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</si>
  <si>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</si>
  <si>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</si>
  <si>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</si>
  <si>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</si>
  <si>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</si>
  <si>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</si>
  <si>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</si>
  <si>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</si>
  <si>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</si>
  <si>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</si>
  <si>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</si>
  <si>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</si>
  <si>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</si>
  <si>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</si>
  <si>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</si>
  <si>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</si>
  <si>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</si>
  <si>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</si>
  <si>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</si>
  <si>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</si>
  <si>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</si>
  <si>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</si>
  <si>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</si>
  <si>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</si>
  <si>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</si>
  <si>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</si>
  <si>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</si>
  <si>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</si>
  <si>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</si>
  <si>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</si>
  <si>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</si>
  <si>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</si>
  <si>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</si>
  <si>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</si>
  <si>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</si>
  <si>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</si>
  <si>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</si>
  <si>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</si>
  <si>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</si>
  <si>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</si>
  <si>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</si>
  <si>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</si>
  <si>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</si>
  <si>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</si>
  <si>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</si>
  <si>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</si>
  <si>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</si>
  <si>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</si>
  <si>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</si>
  <si>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</si>
  <si>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</si>
  <si>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</si>
  <si>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</si>
  <si>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</si>
  <si>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</si>
  <si>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</si>
  <si>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</si>
  <si>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</si>
  <si>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</si>
  <si>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</si>
  <si>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</si>
  <si>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</si>
  <si>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</si>
  <si>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</si>
  <si>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</si>
  <si>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</si>
  <si>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</si>
  <si>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</si>
  <si>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</si>
  <si>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</si>
  <si>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</si>
  <si>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</si>
  <si>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</si>
  <si>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</si>
  <si>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</si>
  <si>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</si>
  <si>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</si>
  <si>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</si>
  <si>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</si>
  <si>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</si>
  <si>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</si>
  <si>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</si>
  <si>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</si>
  <si>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</si>
  <si>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</si>
  <si>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</si>
  <si>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</si>
  <si>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</si>
  <si>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</si>
  <si>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</si>
  <si>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</si>
  <si>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</si>
  <si>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</si>
  <si>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</si>
  <si>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</si>
  <si>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</si>
  <si>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</si>
  <si>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</si>
  <si>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</si>
  <si>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</si>
  <si>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</si>
  <si>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</si>
  <si>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</si>
  <si>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</si>
  <si>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</si>
  <si>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</si>
  <si>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</si>
  <si>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</si>
  <si>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</si>
  <si>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</si>
  <si>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</si>
  <si>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</si>
  <si>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</si>
  <si>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</si>
  <si>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</si>
  <si>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</si>
  <si>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</si>
  <si>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</si>
  <si>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</si>
  <si>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</si>
  <si>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</si>
  <si>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</si>
  <si>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</si>
  <si>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</si>
  <si>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</si>
  <si>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</si>
  <si>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</si>
  <si>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</si>
  <si>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</si>
  <si>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</si>
  <si>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</si>
  <si>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</si>
  <si>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</si>
  <si>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</si>
  <si>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</si>
  <si>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</si>
  <si>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</si>
  <si>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</si>
  <si>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</si>
  <si>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</si>
  <si>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</si>
  <si>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</si>
  <si>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</si>
  <si>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</si>
  <si>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</si>
  <si>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</si>
  <si>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</si>
  <si>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</si>
  <si>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</si>
  <si>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</si>
  <si>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</si>
  <si>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</si>
  <si>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</si>
  <si>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</si>
  <si>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</si>
  <si>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</si>
  <si>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</si>
  <si>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</si>
  <si>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</si>
  <si>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</si>
  <si>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</si>
  <si>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</si>
  <si>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</si>
  <si>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</si>
  <si>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</si>
  <si>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</si>
  <si>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</si>
  <si>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</si>
  <si>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</si>
  <si>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</si>
  <si>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</si>
  <si>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</si>
  <si>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</si>
  <si>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</si>
  <si>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</si>
  <si>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</si>
  <si>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</si>
  <si>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</si>
  <si>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</si>
  <si>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</si>
  <si>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</si>
  <si>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</si>
  <si>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</si>
  <si>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</si>
  <si>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</si>
  <si>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</si>
  <si>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</si>
  <si>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</si>
  <si>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</si>
  <si>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</si>
  <si>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</si>
  <si>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</si>
  <si>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</si>
  <si>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</si>
  <si>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</si>
  <si>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</si>
  <si>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</si>
  <si>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</si>
  <si>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</si>
  <si>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</si>
  <si>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</si>
  <si>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</si>
  <si>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</si>
  <si>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</si>
  <si>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</si>
  <si>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</si>
  <si>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</si>
  <si>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</si>
  <si>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</si>
  <si>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</si>
  <si>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</si>
  <si>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</si>
  <si>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</si>
  <si>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</si>
  <si>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</si>
  <si>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</si>
  <si>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</si>
  <si>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</si>
  <si>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</si>
  <si>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</si>
  <si>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</si>
  <si>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</si>
  <si>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</si>
  <si>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</si>
  <si>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</si>
  <si>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</si>
  <si>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</si>
  <si>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</si>
  <si>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</si>
  <si>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</si>
  <si>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</si>
  <si>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</si>
  <si>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</si>
  <si>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</si>
  <si>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</si>
  <si>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</si>
  <si>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</si>
  <si>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</si>
  <si>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</si>
  <si>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</si>
  <si>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</si>
  <si>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</si>
  <si>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</si>
  <si>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</si>
  <si>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</si>
  <si>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</si>
  <si>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</si>
  <si>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</si>
  <si>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</si>
  <si>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</si>
  <si>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</si>
  <si>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</si>
  <si>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</si>
  <si>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</si>
  <si>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</si>
  <si>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</si>
  <si>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</si>
  <si>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</si>
  <si>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</si>
  <si>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</si>
  <si>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</si>
  <si>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</si>
  <si>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</si>
  <si>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</si>
  <si>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</si>
  <si>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</si>
  <si>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</si>
  <si>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</si>
  <si>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</si>
  <si>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</si>
  <si>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</si>
  <si>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</si>
  <si>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</si>
  <si>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</si>
  <si>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</si>
  <si>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</si>
  <si>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</si>
  <si>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</si>
  <si>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</si>
  <si>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</si>
  <si>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</si>
  <si>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</si>
  <si>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</si>
  <si>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</si>
  <si>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</si>
  <si>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</si>
  <si>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</si>
  <si>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</si>
  <si>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</si>
  <si>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</si>
  <si>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</si>
  <si>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</si>
  <si>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</si>
  <si>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</si>
  <si>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</si>
  <si>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</si>
  <si>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</si>
  <si>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</si>
  <si>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</si>
  <si>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</si>
  <si>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</si>
  <si>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</si>
  <si>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</si>
  <si>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</si>
  <si>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</si>
  <si>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</si>
  <si>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</si>
  <si>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</si>
  <si>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</si>
  <si>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</si>
  <si>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</si>
  <si>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</si>
  <si>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</si>
  <si>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</si>
  <si>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</si>
  <si>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</si>
  <si>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</si>
  <si>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</si>
  <si>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</si>
  <si>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</si>
  <si>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</si>
  <si>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</si>
  <si>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</si>
  <si>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</si>
  <si>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</si>
  <si>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</si>
  <si>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</si>
  <si>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</si>
  <si>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</si>
  <si>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</si>
  <si>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</si>
  <si>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</si>
  <si>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</si>
  <si>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</si>
  <si>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</si>
  <si>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</si>
  <si>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</si>
  <si>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</si>
  <si>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</si>
  <si>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</si>
  <si>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</si>
  <si>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</si>
  <si>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</si>
  <si>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</si>
  <si>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</si>
  <si>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</si>
  <si>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</si>
  <si>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</si>
  <si>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</si>
  <si>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</si>
  <si>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</si>
  <si>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</si>
  <si>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</si>
  <si>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</si>
  <si>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</si>
  <si>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</si>
  <si>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</si>
  <si>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</si>
  <si>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</si>
  <si>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</si>
  <si>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</si>
  <si>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</si>
  <si>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</si>
  <si>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</si>
  <si>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</si>
  <si>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</si>
  <si>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</si>
  <si>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</si>
  <si>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</si>
  <si>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</si>
  <si>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</si>
  <si>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</si>
  <si>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</si>
  <si>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</si>
  <si>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</si>
  <si>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</si>
  <si>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</si>
  <si>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</si>
  <si>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</si>
  <si>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</si>
  <si>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</si>
  <si>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</si>
  <si>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</si>
  <si>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</si>
  <si>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</si>
  <si>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</si>
  <si>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</si>
  <si>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</si>
  <si>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</si>
  <si>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</si>
  <si>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</si>
  <si>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</si>
  <si>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</si>
  <si>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</si>
  <si>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</si>
  <si>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</si>
  <si>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</si>
  <si>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</si>
  <si>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</si>
  <si>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</si>
  <si>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</si>
  <si>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</si>
  <si>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</si>
  <si>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</si>
  <si>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</si>
  <si>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</si>
  <si>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</si>
  <si>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</si>
  <si>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</si>
  <si>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</si>
  <si>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</si>
  <si>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</si>
  <si>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</si>
  <si>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</si>
  <si>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</si>
  <si>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</si>
  <si>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</si>
  <si>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</si>
  <si>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</si>
  <si>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</si>
  <si>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</si>
  <si>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</si>
  <si>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</si>
  <si>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</si>
  <si>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</si>
  <si>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</si>
  <si>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</si>
  <si>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</si>
  <si>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</si>
  <si>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</si>
  <si>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</si>
  <si>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</si>
  <si>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</si>
  <si>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</si>
  <si>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</si>
  <si>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</si>
  <si>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</si>
  <si>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</si>
  <si>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</si>
  <si>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</si>
  <si>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</si>
  <si>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</si>
  <si>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</si>
  <si>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</si>
  <si>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</si>
  <si>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</si>
  <si>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</si>
  <si>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</si>
  <si>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</si>
  <si>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</si>
  <si>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</si>
  <si>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</si>
  <si>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</si>
  <si>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</si>
  <si>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</si>
  <si>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</si>
  <si>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</si>
  <si>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</si>
  <si>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</si>
  <si>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</si>
  <si>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</si>
  <si>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</si>
  <si>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</si>
  <si>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</si>
  <si>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</si>
  <si>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</si>
  <si>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</si>
  <si>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</si>
  <si>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</si>
  <si>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</si>
  <si>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</si>
  <si>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</si>
  <si>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</si>
  <si>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</si>
  <si>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</si>
  <si>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</si>
  <si>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</si>
  <si>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</si>
  <si>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</si>
  <si>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</si>
  <si>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</si>
  <si>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</si>
  <si>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</si>
  <si>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</si>
  <si>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</si>
  <si>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</si>
  <si>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</si>
  <si>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</si>
  <si>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</si>
  <si>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</si>
  <si>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</si>
  <si>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</si>
  <si>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</si>
  <si>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</si>
  <si>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</si>
  <si>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</si>
  <si>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</si>
  <si>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</si>
  <si>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</si>
  <si>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</si>
  <si>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</si>
  <si>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</si>
  <si>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</si>
  <si>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</si>
  <si>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</si>
  <si>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</si>
  <si>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</si>
  <si>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</si>
  <si>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</si>
  <si>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</si>
  <si>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</si>
  <si>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</si>
  <si>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</si>
  <si>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</si>
  <si>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</si>
  <si>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</si>
  <si>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</si>
  <si>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</si>
  <si>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</si>
  <si>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</si>
  <si>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</si>
  <si>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</si>
  <si>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</si>
  <si>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</si>
  <si>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</si>
  <si>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</si>
  <si>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</si>
  <si>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</si>
  <si>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</si>
  <si>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</si>
  <si>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</si>
  <si>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</si>
  <si>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</si>
  <si>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</si>
  <si>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</si>
  <si>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</si>
  <si>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</si>
  <si>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</si>
  <si>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</si>
  <si>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</si>
  <si>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</si>
  <si>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</si>
  <si>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</si>
  <si>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</si>
  <si>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</si>
  <si>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</si>
  <si>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</si>
  <si>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</si>
  <si>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</si>
  <si>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</si>
  <si>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</si>
  <si>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</si>
  <si>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</si>
  <si>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</si>
  <si>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</si>
  <si>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</si>
  <si>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</si>
  <si>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</si>
  <si>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</si>
  <si>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</si>
  <si>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</si>
  <si>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</si>
  <si>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</si>
  <si>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</si>
  <si>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</si>
  <si>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</si>
  <si>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</si>
  <si>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</si>
  <si>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</si>
  <si>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</si>
  <si>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</si>
  <si>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</si>
  <si>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</si>
  <si>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</si>
  <si>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</si>
  <si>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</si>
  <si>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</si>
  <si>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</si>
  <si>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</si>
  <si>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</si>
  <si>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</si>
  <si>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</si>
  <si>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</si>
  <si>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</si>
  <si>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</si>
  <si>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</si>
  <si>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</si>
  <si>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</si>
  <si>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</si>
  <si>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</si>
  <si>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</si>
  <si>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</si>
  <si>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</si>
  <si>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</si>
  <si>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</si>
  <si>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</si>
  <si>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</si>
  <si>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</si>
  <si>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</si>
  <si>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</si>
  <si>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</si>
  <si>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</si>
  <si>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</si>
  <si>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</si>
  <si>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</si>
  <si>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</si>
  <si>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</si>
  <si>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</si>
  <si>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</si>
  <si>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</si>
  <si>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</si>
  <si>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</si>
  <si>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</si>
  <si>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</si>
  <si>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</si>
  <si>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</si>
  <si>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</si>
  <si>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</si>
  <si>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</si>
  <si>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</si>
  <si>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</si>
  <si>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</si>
  <si>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</si>
  <si>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</si>
  <si>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</si>
  <si>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</si>
  <si>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</si>
  <si>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</si>
  <si>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</si>
  <si>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</si>
  <si>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</si>
  <si>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</si>
  <si>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</si>
  <si>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</si>
  <si>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</si>
  <si>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</si>
  <si>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</si>
  <si>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</si>
  <si>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</si>
  <si>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</si>
  <si>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</si>
  <si>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</si>
  <si>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</si>
  <si>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</si>
  <si>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</si>
  <si>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</si>
  <si>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</si>
  <si>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</si>
  <si>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</si>
  <si>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</si>
  <si>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</si>
  <si>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</si>
  <si>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</si>
  <si>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</si>
  <si>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</si>
  <si>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</si>
  <si>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</si>
  <si>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</si>
  <si>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</si>
  <si>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</si>
  <si>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</si>
  <si>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</si>
  <si>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</si>
  <si>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</si>
  <si>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</si>
  <si>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</si>
  <si>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</si>
  <si>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</si>
  <si>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</si>
  <si>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</si>
  <si>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</si>
  <si>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</si>
  <si>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</si>
  <si>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</si>
  <si>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</si>
  <si>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</si>
  <si>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</si>
  <si>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</si>
  <si>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</si>
  <si>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</si>
  <si>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</si>
  <si>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</si>
  <si>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</si>
  <si>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</si>
  <si>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</si>
  <si>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</si>
  <si>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</si>
  <si>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</si>
  <si>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</si>
  <si>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</si>
  <si>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</si>
  <si>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</si>
  <si>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</si>
  <si>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</si>
  <si>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</si>
  <si>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</si>
  <si>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</si>
  <si>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</si>
  <si>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</si>
  <si>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</si>
  <si>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</si>
  <si>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</si>
  <si>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</si>
  <si>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</si>
  <si>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</si>
  <si>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</si>
  <si>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</si>
  <si>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</si>
  <si>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</si>
  <si>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</si>
  <si>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</si>
  <si>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</si>
  <si>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</si>
  <si>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</si>
  <si>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</si>
  <si>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</si>
  <si>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</si>
  <si>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</si>
  <si>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</si>
  <si>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</si>
  <si>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</si>
  <si>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</si>
  <si>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</si>
  <si>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</si>
  <si>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</si>
  <si>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</si>
  <si>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</si>
  <si>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</si>
  <si>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</si>
  <si>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</si>
  <si>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</si>
  <si>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</si>
  <si>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</si>
  <si>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</si>
  <si>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</si>
  <si>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</si>
  <si>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</si>
  <si>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</si>
  <si>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</si>
  <si>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</si>
  <si>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</si>
  <si>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</si>
  <si>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</si>
  <si>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</si>
  <si>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</si>
  <si>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</si>
  <si>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</si>
  <si>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</si>
  <si>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</si>
  <si>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</si>
  <si>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</si>
  <si>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</si>
  <si>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</si>
  <si>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</si>
  <si>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</si>
  <si>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</si>
  <si>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</si>
  <si>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</si>
  <si>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</si>
  <si>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</si>
  <si>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</si>
  <si>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</si>
  <si>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</si>
  <si>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</si>
  <si>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</si>
  <si>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</si>
  <si>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</si>
  <si>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</si>
  <si>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</si>
  <si>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</si>
  <si>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</si>
  <si>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</si>
  <si>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</si>
  <si>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</si>
  <si>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</si>
  <si>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</si>
  <si>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</si>
  <si>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</si>
  <si>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</si>
  <si>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</si>
  <si>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</si>
  <si>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</si>
  <si>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</si>
  <si>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</si>
  <si>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</si>
  <si>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</si>
  <si>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</si>
  <si>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</si>
  <si>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</si>
  <si>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</si>
  <si>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</si>
  <si>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</si>
  <si>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</si>
  <si>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</si>
  <si>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</si>
  <si>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</si>
  <si>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</si>
  <si>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</si>
  <si>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</si>
  <si>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</si>
  <si>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</si>
  <si>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</si>
  <si>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</si>
  <si>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</si>
  <si>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</si>
  <si>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</si>
  <si>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</si>
  <si>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</si>
  <si>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</si>
  <si>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</si>
  <si>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</si>
  <si>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</si>
  <si>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</si>
  <si>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</si>
  <si>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</si>
  <si>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</si>
  <si>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</si>
  <si>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</si>
  <si>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</si>
  <si>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</si>
  <si>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</si>
  <si>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</si>
  <si>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</si>
  <si>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</si>
  <si>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</si>
  <si>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</si>
  <si>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</si>
  <si>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</si>
  <si>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</si>
  <si>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</si>
  <si>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</si>
  <si>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</si>
  <si>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</si>
  <si>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</si>
  <si>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</si>
  <si>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</si>
  <si>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</si>
  <si>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</si>
  <si>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</si>
  <si>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</si>
  <si>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</si>
  <si>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</si>
  <si>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</si>
  <si>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</si>
  <si>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</si>
  <si>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</si>
  <si>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</si>
  <si>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</si>
  <si>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</si>
  <si>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</si>
  <si>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</si>
  <si>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</si>
  <si>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</si>
  <si>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</si>
  <si>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</si>
  <si>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</si>
  <si>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</si>
  <si>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</si>
  <si>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</si>
  <si>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</si>
  <si>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</si>
  <si>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</si>
  <si>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</si>
  <si>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</si>
  <si>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</si>
  <si>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</si>
  <si>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</si>
  <si>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</si>
  <si>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</si>
  <si>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</si>
  <si>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</si>
  <si>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</si>
  <si>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</si>
  <si>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</si>
  <si>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</si>
  <si>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</si>
  <si>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</si>
  <si>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</si>
  <si>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</si>
  <si>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</si>
  <si>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</si>
  <si>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</si>
  <si>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</si>
  <si>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</si>
  <si>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</si>
  <si>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</si>
  <si>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</si>
  <si>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</si>
  <si>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</si>
  <si>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</si>
  <si>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</si>
  <si>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</si>
  <si>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</si>
  <si>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</si>
  <si>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</si>
  <si>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</si>
  <si>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</si>
  <si>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</si>
  <si>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</si>
  <si>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</si>
  <si>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</si>
  <si>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</si>
  <si>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</si>
  <si>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</si>
  <si>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</si>
  <si>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</si>
  <si>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</si>
  <si>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</si>
  <si>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</si>
  <si>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</si>
  <si>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</si>
  <si>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</si>
  <si>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</si>
  <si>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</si>
  <si>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</si>
  <si>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</si>
  <si>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</si>
  <si>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</si>
  <si>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</si>
  <si>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</si>
  <si>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</si>
  <si>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</si>
  <si>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</si>
  <si>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</si>
  <si>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</si>
  <si>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</si>
  <si>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</si>
  <si>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</si>
  <si>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</si>
  <si>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</si>
  <si>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</si>
  <si>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</si>
  <si>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</si>
  <si>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</si>
  <si>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</si>
  <si>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</si>
  <si>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</si>
  <si>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</si>
  <si>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</si>
  <si>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</si>
  <si>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</si>
  <si>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</si>
  <si>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</si>
  <si>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</si>
  <si>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</si>
  <si>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</si>
  <si>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</si>
  <si>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</si>
  <si>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</si>
  <si>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</si>
  <si>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</si>
  <si>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</si>
  <si>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</si>
  <si>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</si>
  <si>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</si>
  <si>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</si>
  <si>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</si>
  <si>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</si>
  <si>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</si>
  <si>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</si>
  <si>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</si>
  <si>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</si>
  <si>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</si>
  <si>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</si>
  <si>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</si>
  <si>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</si>
  <si>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</si>
  <si>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</si>
  <si>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</si>
  <si>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</si>
  <si>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</si>
  <si>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</si>
  <si>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</si>
  <si>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</si>
  <si>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</si>
  <si>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</si>
  <si>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</si>
  <si>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</si>
  <si>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</si>
  <si>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</si>
  <si>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</si>
  <si>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</si>
  <si>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</si>
  <si>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</si>
  <si>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</si>
  <si>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</si>
  <si>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</si>
  <si>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</si>
  <si>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</si>
  <si>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</si>
  <si>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</si>
  <si>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</si>
  <si>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</si>
  <si>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</si>
  <si>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</si>
  <si>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</si>
  <si>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</si>
  <si>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</si>
  <si>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</si>
  <si>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</si>
  <si>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</si>
  <si>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</si>
  <si>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</si>
  <si>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</si>
  <si>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</si>
  <si>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</si>
  <si>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</si>
  <si>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</si>
  <si>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</si>
  <si>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</si>
  <si>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</si>
  <si>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</si>
  <si>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</si>
  <si>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</si>
  <si>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</si>
  <si>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</si>
  <si>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</si>
  <si>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</si>
  <si>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</si>
  <si>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</si>
  <si>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</si>
  <si>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</si>
  <si>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</si>
  <si>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</si>
  <si>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</si>
  <si>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</si>
  <si>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</si>
  <si>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</si>
  <si>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</si>
  <si>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</si>
  <si>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</si>
  <si>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</si>
  <si>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</si>
  <si>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</si>
  <si>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</si>
  <si>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</si>
  <si>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</si>
  <si>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</si>
  <si>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</si>
  <si>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</si>
  <si>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</si>
  <si>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</si>
  <si>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</si>
  <si>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</si>
  <si>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</si>
  <si>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</si>
  <si>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</si>
  <si>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</si>
  <si>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</si>
  <si>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</si>
  <si>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</si>
  <si>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</si>
  <si>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</si>
  <si>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</si>
  <si>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</si>
  <si>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</si>
  <si>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</si>
  <si>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</si>
  <si>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</si>
  <si>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</si>
  <si>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</si>
  <si>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</si>
  <si>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</si>
  <si>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</si>
  <si>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</si>
  <si>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</si>
  <si>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</si>
  <si>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</si>
  <si>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</si>
  <si>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</si>
  <si>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</si>
  <si>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</si>
  <si>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</si>
  <si>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</si>
  <si>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</si>
  <si>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</si>
  <si>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</si>
  <si>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</si>
  <si>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</si>
  <si>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</si>
  <si>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</si>
  <si>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</si>
  <si>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</si>
  <si>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</si>
  <si>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</si>
  <si>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</si>
  <si>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</si>
  <si>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</si>
  <si>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</si>
  <si>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</si>
  <si>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</si>
  <si>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</si>
  <si>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</si>
  <si>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</si>
  <si>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</si>
  <si>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</si>
  <si>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</si>
  <si>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</si>
  <si>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</si>
  <si>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</si>
  <si>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</si>
  <si>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</si>
  <si>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</si>
  <si>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</si>
  <si>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</si>
  <si>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</si>
  <si>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</si>
  <si>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</si>
  <si>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</si>
  <si>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</si>
  <si>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</si>
  <si>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</si>
  <si>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</si>
  <si>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</si>
  <si>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</si>
  <si>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</si>
  <si>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</si>
  <si>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</si>
  <si>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</si>
  <si>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</si>
  <si>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</si>
  <si>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</si>
  <si>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</si>
  <si>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</si>
  <si>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</si>
  <si>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</si>
  <si>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</si>
  <si>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</si>
  <si>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</si>
  <si>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</si>
  <si>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</si>
  <si>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</si>
  <si>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</si>
  <si>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</si>
  <si>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</si>
  <si>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</si>
  <si>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</si>
  <si>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</si>
  <si>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</si>
  <si>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</si>
  <si>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</si>
  <si>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</si>
  <si>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</si>
  <si>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</si>
  <si>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</si>
  <si>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</si>
  <si>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</si>
  <si>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</si>
  <si>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</si>
  <si>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</si>
  <si>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</si>
  <si>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</si>
  <si>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</si>
  <si>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</si>
  <si>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</si>
  <si>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</si>
  <si>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</si>
  <si>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</si>
  <si>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</si>
  <si>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</si>
  <si>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</si>
  <si>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</si>
  <si>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</si>
  <si>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</si>
  <si>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</si>
  <si>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</si>
  <si>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</si>
  <si>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</si>
  <si>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</si>
  <si>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</si>
  <si>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</si>
  <si>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</si>
  <si>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</si>
  <si>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</si>
  <si>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</si>
  <si>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</si>
  <si>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</si>
  <si>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</si>
  <si>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</si>
  <si>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</si>
  <si>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</si>
  <si>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</si>
  <si>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</si>
  <si>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</si>
  <si>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</si>
  <si>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</si>
  <si>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</si>
  <si>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</si>
  <si>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</si>
  <si>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</si>
  <si>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</si>
  <si>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</si>
  <si>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</si>
  <si>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</si>
  <si>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</si>
  <si>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</si>
  <si>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</si>
  <si>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</si>
  <si>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</si>
  <si>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</si>
  <si>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</si>
  <si>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</si>
  <si>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</si>
  <si>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</si>
  <si>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</si>
  <si>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</si>
  <si>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</si>
  <si>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</si>
  <si>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</si>
  <si>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</si>
  <si>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</si>
  <si>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</si>
  <si>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</si>
  <si>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</si>
  <si>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</si>
  <si>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</si>
  <si>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</si>
  <si>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</si>
  <si>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</si>
  <si>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</si>
  <si>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</si>
  <si>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</si>
  <si>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</si>
  <si>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</si>
  <si>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</si>
  <si>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</si>
  <si>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</si>
  <si>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</si>
  <si>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</si>
  <si>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</si>
  <si>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</si>
  <si>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</si>
  <si>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</si>
  <si>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</si>
  <si>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</si>
  <si>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</si>
  <si>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</si>
  <si>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</si>
  <si>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</si>
  <si>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</si>
  <si>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</si>
  <si>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</si>
  <si>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</si>
  <si>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</si>
  <si>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</si>
  <si>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</si>
  <si>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</si>
  <si>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</si>
  <si>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</si>
  <si>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</si>
  <si>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</si>
  <si>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</si>
  <si>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</si>
  <si>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</si>
  <si>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</si>
  <si>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</si>
  <si>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</si>
  <si>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</si>
  <si>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</si>
  <si>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</si>
  <si>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</si>
  <si>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</si>
  <si>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</si>
  <si>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</si>
  <si>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</si>
  <si>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</si>
  <si>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</si>
  <si>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</si>
  <si>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</si>
  <si>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</si>
  <si>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</si>
  <si>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</si>
  <si>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</si>
  <si>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</si>
  <si>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</si>
  <si>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</si>
  <si>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</si>
  <si>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</si>
  <si>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</si>
  <si>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</si>
  <si>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</si>
  <si>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</si>
  <si>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</si>
  <si>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</si>
  <si>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</si>
  <si>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</si>
  <si>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</si>
  <si>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</si>
  <si>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</si>
  <si>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</si>
  <si>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</si>
  <si>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</si>
  <si>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</si>
  <si>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</si>
  <si>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</si>
  <si>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</si>
  <si>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</si>
  <si>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</si>
  <si>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</si>
  <si>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</si>
  <si>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</si>
  <si>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</si>
  <si>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</si>
  <si>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</si>
  <si>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</si>
  <si>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</si>
  <si>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</si>
  <si>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</si>
  <si>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</si>
  <si>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</si>
  <si>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</si>
  <si>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</si>
  <si>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</si>
  <si>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</si>
  <si>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</si>
  <si>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</si>
  <si>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</si>
  <si>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</si>
  <si>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</si>
  <si>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</si>
  <si>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</si>
  <si>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</si>
  <si>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</si>
  <si>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</si>
  <si>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</si>
  <si>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</si>
  <si>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</si>
  <si>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</si>
  <si>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</si>
  <si>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</si>
  <si>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</si>
  <si>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</si>
  <si>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</si>
  <si>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</si>
  <si>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</si>
  <si>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</si>
  <si>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</si>
  <si>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</si>
  <si>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</si>
  <si>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</si>
  <si>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</si>
  <si>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</si>
  <si>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</si>
  <si>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</si>
  <si>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</si>
  <si>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</si>
  <si>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</si>
  <si>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</si>
  <si>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</si>
  <si>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</si>
  <si>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</si>
  <si>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</si>
  <si>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</si>
  <si>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</si>
  <si>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</si>
  <si>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</si>
  <si>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</si>
  <si>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</si>
  <si>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</si>
  <si>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</si>
  <si>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</si>
  <si>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</si>
  <si>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</si>
  <si>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</si>
  <si>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</si>
  <si>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</si>
  <si>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</si>
  <si>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</si>
  <si>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</si>
  <si>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</si>
  <si>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</si>
  <si>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</si>
  <si>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</si>
  <si>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</si>
  <si>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</si>
  <si>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</si>
  <si>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</si>
  <si>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</si>
  <si>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</si>
  <si>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</si>
  <si>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</si>
  <si>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</si>
  <si>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</si>
  <si>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</si>
  <si>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</si>
  <si>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</si>
  <si>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</si>
  <si>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</si>
  <si>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</si>
  <si>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</si>
  <si>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</si>
  <si>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</si>
  <si>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</si>
  <si>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</si>
  <si>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</si>
  <si>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</si>
  <si>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</si>
  <si>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</si>
  <si>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</si>
  <si>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</si>
  <si>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</si>
  <si>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</si>
  <si>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</si>
  <si>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</si>
  <si>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</si>
  <si>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</si>
  <si>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</si>
  <si>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</si>
  <si>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</si>
  <si>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</si>
  <si>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</si>
  <si>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</si>
  <si>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</si>
  <si>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</si>
  <si>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</si>
  <si>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</si>
  <si>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</si>
  <si>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</si>
  <si>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</si>
  <si>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</si>
  <si>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</si>
  <si>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</si>
  <si>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</si>
  <si>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</si>
  <si>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</si>
  <si>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</si>
  <si>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</si>
  <si>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</si>
  <si>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</si>
  <si>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</si>
  <si>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</si>
  <si>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</si>
  <si>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</si>
  <si>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</si>
  <si>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</si>
  <si>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</si>
  <si>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</si>
  <si>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</si>
  <si>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</si>
  <si>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</si>
  <si>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</si>
  <si>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</si>
  <si>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</si>
  <si>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</si>
  <si>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</si>
  <si>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</si>
  <si>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</si>
  <si>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</si>
  <si>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</si>
  <si>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</si>
  <si>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</si>
  <si>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</si>
  <si>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</si>
  <si>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</si>
  <si>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</si>
  <si>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</si>
  <si>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</si>
  <si>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</si>
  <si>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</si>
  <si>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</si>
  <si>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</si>
  <si>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</si>
  <si>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</si>
  <si>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</si>
  <si>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</si>
  <si>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</si>
  <si>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</si>
  <si>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</si>
  <si>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</si>
  <si>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</si>
  <si>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</si>
  <si>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</si>
  <si>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</si>
  <si>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</si>
  <si>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</si>
  <si>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</si>
  <si>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</si>
  <si>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</si>
  <si>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</si>
  <si>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</si>
  <si>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</si>
  <si>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</si>
  <si>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</si>
  <si>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</si>
  <si>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</si>
  <si>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</si>
  <si>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</si>
  <si>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</si>
  <si>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</si>
  <si>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</si>
  <si>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</si>
  <si>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</si>
  <si>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</si>
  <si>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</si>
  <si>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</si>
  <si>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</si>
  <si>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</si>
  <si>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</si>
  <si>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</si>
  <si>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</si>
  <si>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</si>
  <si>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</si>
  <si>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</si>
  <si>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</si>
  <si>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</si>
  <si>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</si>
  <si>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</si>
  <si>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</si>
  <si>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</si>
  <si>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</si>
  <si>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</si>
  <si>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</si>
  <si>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</si>
  <si>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</si>
  <si>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</si>
  <si>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</si>
  <si>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</si>
  <si>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</si>
  <si>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</si>
  <si>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</si>
  <si>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</si>
  <si>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</si>
  <si>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</si>
  <si>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</si>
  <si>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</si>
  <si>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</si>
  <si>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</si>
  <si>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</si>
  <si>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</si>
  <si>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</si>
  <si>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</si>
  <si>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</si>
  <si>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</si>
  <si>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</si>
  <si>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</si>
  <si>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</si>
  <si>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</si>
  <si>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</si>
  <si>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</si>
  <si>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</si>
  <si>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</si>
  <si>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</si>
  <si>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</si>
  <si>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</si>
  <si>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</si>
  <si>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</si>
  <si>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</si>
  <si>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</si>
  <si>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</si>
  <si>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</si>
  <si>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</si>
  <si>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</si>
  <si>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</si>
  <si>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</si>
  <si>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</si>
  <si>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</si>
  <si>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</si>
  <si>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</si>
  <si>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</si>
  <si>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</si>
  <si>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</si>
  <si>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</si>
  <si>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</si>
  <si>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</si>
  <si>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</si>
  <si>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</si>
  <si>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</si>
  <si>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</si>
  <si>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</si>
  <si>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</si>
  <si>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</si>
  <si>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</si>
  <si>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</si>
  <si>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</si>
  <si>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</si>
  <si>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</si>
  <si>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</si>
  <si>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</si>
  <si>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</si>
  <si>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</si>
  <si>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</si>
  <si>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</si>
  <si>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</si>
  <si>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</si>
  <si>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</si>
  <si>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</si>
  <si>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</si>
  <si>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</si>
  <si>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</si>
  <si>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</si>
  <si>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</si>
  <si>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</si>
  <si>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</si>
  <si>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</si>
  <si>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</si>
  <si>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</si>
  <si>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</si>
  <si>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</si>
  <si>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</si>
  <si>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</si>
  <si>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</si>
  <si>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</si>
  <si>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</si>
  <si>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</si>
  <si>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</si>
  <si>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</si>
  <si>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</si>
  <si>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</si>
  <si>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</si>
  <si>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</si>
  <si>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</si>
  <si>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</si>
  <si>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</si>
  <si>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</si>
  <si>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</si>
  <si>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</si>
  <si>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</si>
  <si>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</si>
  <si>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</si>
  <si>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</si>
  <si>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</si>
  <si>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</si>
  <si>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</si>
  <si>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</si>
  <si>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</si>
  <si>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</si>
  <si>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</si>
  <si>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</si>
  <si>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</si>
  <si>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</si>
  <si>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</si>
  <si>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</si>
  <si>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</si>
  <si>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</si>
  <si>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</si>
  <si>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</si>
  <si>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</si>
  <si>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</si>
  <si>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</si>
  <si>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</si>
  <si>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</si>
  <si>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</si>
  <si>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</si>
  <si>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</si>
  <si>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</si>
  <si>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</si>
  <si>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</si>
  <si>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</si>
  <si>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</si>
  <si>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</si>
  <si>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</si>
  <si>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</si>
  <si>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</si>
  <si>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</si>
  <si>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</si>
  <si>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</si>
  <si>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</si>
  <si>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</si>
  <si>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</si>
  <si>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</si>
  <si>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</si>
  <si>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</si>
  <si>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</si>
  <si>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</si>
  <si>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</si>
  <si>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</si>
  <si>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</si>
  <si>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</si>
  <si>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</si>
  <si>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</si>
  <si>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</si>
  <si>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</si>
  <si>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</si>
  <si>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</si>
  <si>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</si>
  <si>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</si>
  <si>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</si>
  <si>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</si>
  <si>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</si>
  <si>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</si>
  <si>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</si>
  <si>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</si>
  <si>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</si>
  <si>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</si>
  <si>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</si>
  <si>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</si>
  <si>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</si>
  <si>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</si>
  <si>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</si>
  <si>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</si>
  <si>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</si>
  <si>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</si>
  <si>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</si>
  <si>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</si>
  <si>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</si>
  <si>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</si>
  <si>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</si>
  <si>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</si>
  <si>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</si>
  <si>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</si>
  <si>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</si>
  <si>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</si>
  <si>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</si>
  <si>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</si>
  <si>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</si>
  <si>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</si>
  <si>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</si>
  <si>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</si>
  <si>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</si>
  <si>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</si>
  <si>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</si>
  <si>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</si>
  <si>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</si>
  <si>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</si>
  <si>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</si>
  <si>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</si>
  <si>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</si>
  <si>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</si>
  <si>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</si>
  <si>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</si>
  <si>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</si>
  <si>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</si>
  <si>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</si>
  <si>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</si>
  <si>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</si>
  <si>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</si>
  <si>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</si>
  <si>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</si>
  <si>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</si>
  <si>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</si>
  <si>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</si>
  <si>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</si>
  <si>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</si>
  <si>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</si>
  <si>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</si>
  <si>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</si>
  <si>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</si>
  <si>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</si>
  <si>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</si>
  <si>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</si>
  <si>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</si>
  <si>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</si>
  <si>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</si>
  <si>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</si>
  <si>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</si>
  <si>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</si>
  <si>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</si>
  <si>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</si>
  <si>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</si>
  <si>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</si>
  <si>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</si>
  <si>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</si>
  <si>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</si>
  <si>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</si>
  <si>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</si>
  <si>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</si>
  <si>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</si>
  <si>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</si>
  <si>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</si>
  <si>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</si>
  <si>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</si>
  <si>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</si>
  <si>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</si>
  <si>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</si>
  <si>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</si>
  <si>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</si>
  <si>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</si>
  <si>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</si>
  <si>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</si>
  <si>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</si>
  <si>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</si>
  <si>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</si>
  <si>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</si>
  <si>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</si>
  <si>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</si>
  <si>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</si>
  <si>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</si>
  <si>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</si>
  <si>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</si>
  <si>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</si>
  <si>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</si>
  <si>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</si>
  <si>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</si>
  <si>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</si>
  <si>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</si>
  <si>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</si>
  <si>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</si>
  <si>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</si>
  <si>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</si>
  <si>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</si>
  <si>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</si>
  <si>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</si>
  <si>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</si>
  <si>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</si>
  <si>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</si>
  <si>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</si>
  <si>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</si>
  <si>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</si>
  <si>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</si>
  <si>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</si>
  <si>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</si>
  <si>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</si>
  <si>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</si>
  <si>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</si>
  <si>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</si>
  <si>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</si>
  <si>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</si>
  <si>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</si>
  <si>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</si>
  <si>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</si>
  <si>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</si>
  <si>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</si>
  <si>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</si>
  <si>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</si>
  <si>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</si>
  <si>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</si>
  <si>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</si>
  <si>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</si>
  <si>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</si>
  <si>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</si>
  <si>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</si>
  <si>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</si>
  <si>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</si>
  <si>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</si>
  <si>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</si>
  <si>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</si>
  <si>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</si>
  <si>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</si>
  <si>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</si>
  <si>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</si>
  <si>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</si>
  <si>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</si>
  <si>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</si>
  <si>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</si>
  <si>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</si>
  <si>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</si>
  <si>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</si>
  <si>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</si>
  <si>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</si>
  <si>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</si>
  <si>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</si>
  <si>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</si>
  <si>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</si>
  <si>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</si>
  <si>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</si>
  <si>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</si>
  <si>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</si>
  <si>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</si>
  <si>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</si>
  <si>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</si>
  <si>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</si>
  <si>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</si>
  <si>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</si>
  <si>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</si>
  <si>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</si>
  <si>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</si>
  <si>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</si>
  <si>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</si>
  <si>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</si>
  <si>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</si>
  <si>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</si>
  <si>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</si>
  <si>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</si>
  <si>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</si>
  <si>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</si>
  <si>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</si>
  <si>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</si>
  <si>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</si>
  <si>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</si>
  <si>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</si>
  <si>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</si>
  <si>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</si>
  <si>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</si>
  <si>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</si>
  <si>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</si>
  <si>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</si>
  <si>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</si>
  <si>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</si>
  <si>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</si>
  <si>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</si>
  <si>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</si>
  <si>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</si>
  <si>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</si>
  <si>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</si>
  <si>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</si>
  <si>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</si>
  <si>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</si>
  <si>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</si>
  <si>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</si>
  <si>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</si>
  <si>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</si>
  <si>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</si>
  <si>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</si>
  <si>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</si>
  <si>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</si>
  <si>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</si>
  <si>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</si>
  <si>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</si>
  <si>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</si>
  <si>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</si>
  <si>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</si>
  <si>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</si>
  <si>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</si>
  <si>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</si>
  <si>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</si>
  <si>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</si>
  <si>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</si>
  <si>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</si>
  <si>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</si>
  <si>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</si>
  <si>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</si>
  <si>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</si>
  <si>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</si>
  <si>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</si>
  <si>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</si>
  <si>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</si>
  <si>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</si>
  <si>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</si>
  <si>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</si>
  <si>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</si>
  <si>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</si>
  <si>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</si>
  <si>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</si>
  <si>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</si>
  <si>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</si>
  <si>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</si>
  <si>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</si>
  <si>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</si>
  <si>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</si>
  <si>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</si>
  <si>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</si>
  <si>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2004</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</si>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</sst>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16605.957425581721</v>
      </c>
      <c r="F22" s="3419" t="str">
        <f t="shared" si="0"/>
        <v>NA</v>
      </c>
      <c r="G22" s="3395">
        <v>255.88270760328197</v>
      </c>
      <c r="H22" s="3374">
        <f t="shared" si="1"/>
        <v>938.23659454536721</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32600</v>
      </c>
      <c r="F24" s="3419" t="str">
        <f t="shared" si="0"/>
        <v>NA</v>
      </c>
      <c r="G24" s="3395">
        <v>717.49636363636375</v>
      </c>
      <c r="H24" s="3374">
        <f t="shared" si="1"/>
        <v>2630.82</v>
      </c>
      <c r="I24" s="2579" t="s">
        <v>2147</v>
      </c>
      <c r="J24" s="2580"/>
      <c r="M24" s="125"/>
    </row>
    <row r="25" spans="2:13" ht="18" customHeight="1" x14ac:dyDescent="0.2">
      <c r="B25" s="165"/>
      <c r="C25" s="1563"/>
      <c r="D25" s="1452" t="s">
        <v>1789</v>
      </c>
      <c r="E25" s="3414">
        <v>23900</v>
      </c>
      <c r="F25" s="3419" t="str">
        <f t="shared" si="0"/>
        <v>NA</v>
      </c>
      <c r="G25" s="3395">
        <v>453.8935909090909</v>
      </c>
      <c r="H25" s="3374">
        <f t="shared" si="1"/>
        <v>1664.2764999999999</v>
      </c>
      <c r="I25" s="2579" t="s">
        <v>2147</v>
      </c>
      <c r="J25" s="2580"/>
      <c r="M25" s="125"/>
    </row>
    <row r="26" spans="2:13" ht="18" customHeight="1" x14ac:dyDescent="0.2">
      <c r="B26" s="165"/>
      <c r="C26" s="1563"/>
      <c r="D26" s="1452" t="s">
        <v>1790</v>
      </c>
      <c r="E26" s="3418">
        <v>14590.432321234135</v>
      </c>
      <c r="F26" s="3419">
        <f t="shared" si="0"/>
        <v>25.261363636363637</v>
      </c>
      <c r="G26" s="3395">
        <v>368.57421647844865</v>
      </c>
      <c r="H26" s="3374">
        <f t="shared" si="1"/>
        <v>1351.4387937543117</v>
      </c>
      <c r="I26" s="3395">
        <v>1351.4387937543117</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36017.975852059521</v>
      </c>
      <c r="F28" s="3419">
        <f>IF(I28="NA","NA",I28/(44/12)*1000/E28)</f>
        <v>0.99081089068209971</v>
      </c>
      <c r="G28" s="3395">
        <v>630.82259939154778</v>
      </c>
      <c r="H28" s="3374">
        <f>IF(G28="NA","NA",IF(G28="NO","NO",G28*44/12))</f>
        <v>2313.0161977690086</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123714.36559887539</v>
      </c>
      <c r="F31" s="3359">
        <f t="shared" ref="F31" si="3">IF(I31="NA","NA",I31/(44/12)*1000/E31)</f>
        <v>3.2676982762353433</v>
      </c>
      <c r="G31" s="3423">
        <f>SUM(G11:G29)</f>
        <v>2426.6694780187336</v>
      </c>
      <c r="H31" s="3371">
        <f t="shared" ref="H31" si="4">IF(G31="NA","NA",IF(G31="NO","NO",G31*44/12))</f>
        <v>8897.788086068691</v>
      </c>
      <c r="I31" s="3423">
        <f>SUM(I11:I29)</f>
        <v>1482.2911371143118</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26562.79584901113</v>
      </c>
      <c r="F35" s="3419">
        <f>IF(I35="NA","NA",I35/(44/12)*1000/E35)</f>
        <v>24.566848980107824</v>
      </c>
      <c r="G35" s="3399">
        <v>652.5641941120914</v>
      </c>
      <c r="H35" s="3396">
        <f t="shared" si="5"/>
        <v>2392.7353784110019</v>
      </c>
      <c r="I35" s="3395">
        <v>2392.7353784110019</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73308.642195199995</v>
      </c>
      <c r="F41" s="3419">
        <f t="shared" ref="F41" si="8">IF(I41="NA","NA",I41/(44/12)*1000/E41)</f>
        <v>29.260584713699561</v>
      </c>
      <c r="G41" s="3395">
        <v>2170.8653970094883</v>
      </c>
      <c r="H41" s="3396">
        <f t="shared" si="5"/>
        <v>7959.8397890347906</v>
      </c>
      <c r="I41" s="3395">
        <v>7865.1970290627778</v>
      </c>
      <c r="J41" s="3416" t="s">
        <v>2274</v>
      </c>
      <c r="M41" s="125"/>
    </row>
    <row r="42" spans="2:13" ht="18" customHeight="1" x14ac:dyDescent="0.2">
      <c r="B42" s="1434"/>
      <c r="C42" s="1564"/>
      <c r="D42" s="1452" t="s">
        <v>1792</v>
      </c>
      <c r="E42" s="3414">
        <v>8642.0295108716982</v>
      </c>
      <c r="F42" s="3419">
        <f>IF(I42="NA","NA",I42/(44/12)*1000/E42)</f>
        <v>14.141595919808797</v>
      </c>
      <c r="G42" s="3395">
        <v>182.4412401789013</v>
      </c>
      <c r="H42" s="3396">
        <f t="shared" si="5"/>
        <v>668.95121398930473</v>
      </c>
      <c r="I42" s="3395">
        <v>448.11099398930486</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108513.46755508283</v>
      </c>
      <c r="F45" s="3343">
        <f>IF(I45="NA","NA",I45/(44/12)*1000/E45)</f>
        <v>26.907535851240752</v>
      </c>
      <c r="G45" s="3423">
        <f>SUM(G33:G43)</f>
        <v>3005.8708313004809</v>
      </c>
      <c r="H45" s="3371">
        <f t="shared" ref="H45" si="9">IF(G45="NA","NA",IF(G45="NO","NO",G45*44/12))</f>
        <v>11021.526381435096</v>
      </c>
      <c r="I45" s="3423">
        <f>SUM(I33:I43)</f>
        <v>10706.043401463085</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32445.352043521751</v>
      </c>
      <c r="F47" s="3419">
        <f t="shared" ref="F47" si="10">IF(I47="NA","NA",I47/(44/12)*1000/E47)</f>
        <v>14.021432274344994</v>
      </c>
      <c r="G47" s="3395">
        <v>454.93030629552118</v>
      </c>
      <c r="H47" s="3374">
        <f t="shared" ref="H47" si="11">IF(G47="NA","NA",IF(G47="NO","NO",G47*44/12))</f>
        <v>1668.0777897502442</v>
      </c>
      <c r="I47" s="3395">
        <v>1668.0777897502442</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32445.352043521751</v>
      </c>
      <c r="F50" s="3343">
        <f>IF(I50="NA","NA",I50/(44/12)*1000/E50)</f>
        <v>14.021432274344994</v>
      </c>
      <c r="G50" s="3423">
        <f>SUM(G47:G48)</f>
        <v>454.93030629552118</v>
      </c>
      <c r="H50" s="3397">
        <f t="shared" ref="H50" si="13">IF(G50="NA","NA",IF(G50="NO","NO",G50*44/12))</f>
        <v>1668.0777897502442</v>
      </c>
      <c r="I50" s="3423">
        <f>SUM(I47:I48)</f>
        <v>1668.0777897502442</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264673.18519747996</v>
      </c>
      <c r="F55" s="3354">
        <f t="shared" si="14"/>
        <v>14.278067274815635</v>
      </c>
      <c r="G55" s="3423">
        <f>SUM(G31,G45,G50,G54)</f>
        <v>5887.4706156147358</v>
      </c>
      <c r="H55" s="3398">
        <f t="shared" si="15"/>
        <v>21587.392257254032</v>
      </c>
      <c r="I55" s="3423">
        <f>SUM(I31,I45,I50,I54)</f>
        <v>13856.412328327642</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426.77736900000002</v>
      </c>
      <c r="D10" s="3127"/>
      <c r="E10" s="3127"/>
      <c r="F10" s="3078">
        <f>SUM(F11,F18)</f>
        <v>1009.3109027875223</v>
      </c>
      <c r="G10" s="3078">
        <f>SUM(G11,G18)</f>
        <v>1056.4851416166221</v>
      </c>
      <c r="H10" s="3078">
        <f>H11</f>
        <v>-19.04126545486</v>
      </c>
      <c r="I10" s="3128" t="s">
        <v>2146</v>
      </c>
      <c r="L10" s="3750"/>
    </row>
    <row r="11" spans="2:12" ht="18" customHeight="1" x14ac:dyDescent="0.2">
      <c r="B11" s="1252" t="s">
        <v>334</v>
      </c>
      <c r="C11" s="3033">
        <v>81.031308999999993</v>
      </c>
      <c r="D11" s="3078">
        <f>IFERROR(SUM(F11,H11)/$C$11,"NA")</f>
        <v>9.0160623999277156</v>
      </c>
      <c r="E11" s="3078">
        <f>IFERROR(SUM(G11,I11)/$C$11,"NA")</f>
        <v>11.755755541057528</v>
      </c>
      <c r="F11" s="3078">
        <f>SUM(F12:F16)</f>
        <v>749.62460374668422</v>
      </c>
      <c r="G11" s="3078">
        <f>SUM(G12:G16)</f>
        <v>952.58425977589468</v>
      </c>
      <c r="H11" s="3078">
        <f>H12</f>
        <v>-19.04126545486</v>
      </c>
      <c r="I11" s="3128" t="s">
        <v>2146</v>
      </c>
    </row>
    <row r="12" spans="2:12" ht="18" customHeight="1" x14ac:dyDescent="0.2">
      <c r="B12" s="160" t="s">
        <v>335</v>
      </c>
      <c r="C12" s="3046"/>
      <c r="D12" s="3078">
        <f t="shared" ref="D12:D14" si="0">IFERROR(SUM(F12,H12)/$C$11,"NA")</f>
        <v>7.8152869094008439</v>
      </c>
      <c r="E12" s="3078">
        <f>IFERROR(SUM(G12,I12)/$C$11,"NA")</f>
        <v>11.092085120192799</v>
      </c>
      <c r="F12" s="3126">
        <v>652.32419393417467</v>
      </c>
      <c r="G12" s="3126">
        <v>898.80617682864477</v>
      </c>
      <c r="H12" s="3126">
        <v>-19.04126545486</v>
      </c>
      <c r="I12" s="3034" t="s">
        <v>2146</v>
      </c>
    </row>
    <row r="13" spans="2:12" ht="18" customHeight="1" x14ac:dyDescent="0.2">
      <c r="B13" s="160" t="s">
        <v>336</v>
      </c>
      <c r="C13" s="3046"/>
      <c r="D13" s="3078">
        <f t="shared" si="0"/>
        <v>0.34606416965600922</v>
      </c>
      <c r="E13" s="3078" t="s">
        <v>2147</v>
      </c>
      <c r="F13" s="3126">
        <v>28.042032665224504</v>
      </c>
      <c r="G13" s="3126" t="s">
        <v>2154</v>
      </c>
      <c r="H13" s="3126" t="s">
        <v>2146</v>
      </c>
      <c r="I13" s="3034" t="s">
        <v>2146</v>
      </c>
    </row>
    <row r="14" spans="2:12" ht="18" customHeight="1" x14ac:dyDescent="0.2">
      <c r="B14" s="160" t="s">
        <v>337</v>
      </c>
      <c r="C14" s="3046"/>
      <c r="D14" s="3078">
        <f t="shared" si="0"/>
        <v>0.8526019807735411</v>
      </c>
      <c r="E14" s="3078" t="s">
        <v>2147</v>
      </c>
      <c r="F14" s="3126">
        <v>69.087454558072864</v>
      </c>
      <c r="G14" s="3126" t="s">
        <v>2147</v>
      </c>
      <c r="H14" s="3126" t="s">
        <v>2146</v>
      </c>
      <c r="I14" s="3034" t="s">
        <v>2146</v>
      </c>
    </row>
    <row r="15" spans="2:12" ht="18" customHeight="1" x14ac:dyDescent="0.2">
      <c r="B15" s="160" t="s">
        <v>338</v>
      </c>
      <c r="C15" s="3033">
        <v>1.9041265454859999E-2</v>
      </c>
      <c r="D15" s="3078">
        <f>IFERROR(SUM(F15,H15)/$C15,"NA")</f>
        <v>8.9764301441721823</v>
      </c>
      <c r="E15" s="3078">
        <f>IFERROR(SUM(G15,I15)/$C15,"NA")</f>
        <v>2824.2914356053948</v>
      </c>
      <c r="F15" s="3126">
        <v>0.17092258921218972</v>
      </c>
      <c r="G15" s="3126">
        <v>53.778082947249956</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345.74606</v>
      </c>
      <c r="D18" s="3078">
        <f>IFERROR(SUM(F18,H18)/$C$18,"NA")</f>
        <v>0.75108968426375711</v>
      </c>
      <c r="E18" s="3078">
        <f>IFERROR(SUM(G18,I18)/$C$18,"NA")</f>
        <v>0.30051212106575403</v>
      </c>
      <c r="F18" s="3078">
        <f>SUM(F19:F21)</f>
        <v>259.68629904083804</v>
      </c>
      <c r="G18" s="3131">
        <f t="shared" ref="G18" si="2">SUM(G19:G21)</f>
        <v>103.90088184072746</v>
      </c>
      <c r="H18" s="3078" t="s">
        <v>2146</v>
      </c>
      <c r="I18" s="3128" t="s">
        <v>2146</v>
      </c>
    </row>
    <row r="19" spans="2:9" ht="18" customHeight="1" x14ac:dyDescent="0.2">
      <c r="B19" s="160" t="s">
        <v>341</v>
      </c>
      <c r="C19" s="3046"/>
      <c r="D19" s="3078">
        <f>IFERROR(SUM(F19,H19)/$C$18,"NA")</f>
        <v>0.75108968426375711</v>
      </c>
      <c r="E19" s="3078">
        <f>IFERROR(SUM(G19,I19)/$C$18,"NA")</f>
        <v>0.30051212106575403</v>
      </c>
      <c r="F19" s="3126">
        <v>259.68629904083804</v>
      </c>
      <c r="G19" s="3126">
        <v>103.90088184072746</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432.23720087519155</v>
      </c>
      <c r="J10" s="3145">
        <f>IF(SUM(J11:J16)=0,"NO",SUM(J11:J16))</f>
        <v>3.650481850017024</v>
      </c>
      <c r="K10" s="1913">
        <f>IF(SUM(K11:K16)=0,"NO",SUM(K11:K16))</f>
        <v>1.3006416760939525E-2</v>
      </c>
      <c r="L10" s="3146" t="s">
        <v>2146</v>
      </c>
    </row>
    <row r="11" spans="2:12" ht="18" customHeight="1" x14ac:dyDescent="0.2">
      <c r="B11" s="1252" t="s">
        <v>363</v>
      </c>
      <c r="C11" s="2165" t="s">
        <v>2159</v>
      </c>
      <c r="D11" s="2165" t="s">
        <v>2275</v>
      </c>
      <c r="E11" s="691">
        <v>117.590065844854</v>
      </c>
      <c r="F11" s="1913">
        <f>I11*1000000/$E11</f>
        <v>3199.9999999999923</v>
      </c>
      <c r="G11" s="1913">
        <f>J11*1000000/$E11</f>
        <v>0.33333333333333243</v>
      </c>
      <c r="H11" s="1913">
        <f>K11*1000000/$E11</f>
        <v>0.22580645161290266</v>
      </c>
      <c r="I11" s="3141">
        <v>0.37628821070353186</v>
      </c>
      <c r="J11" s="691">
        <v>3.919668861495123E-5</v>
      </c>
      <c r="K11" s="3142">
        <v>2.6552595513354062E-5</v>
      </c>
      <c r="L11" s="3093" t="s">
        <v>2146</v>
      </c>
    </row>
    <row r="12" spans="2:12" ht="18" customHeight="1" x14ac:dyDescent="0.2">
      <c r="B12" s="1252" t="s">
        <v>364</v>
      </c>
      <c r="C12" s="2165" t="s">
        <v>2160</v>
      </c>
      <c r="D12" s="2165" t="s">
        <v>2161</v>
      </c>
      <c r="E12" s="691">
        <v>1031.4010000000001</v>
      </c>
      <c r="F12" s="1913" t="s">
        <v>2147</v>
      </c>
      <c r="G12" s="1913">
        <f>J12*1000000/$E12</f>
        <v>1063.1170611624379</v>
      </c>
      <c r="H12" s="3096"/>
      <c r="I12" s="3147" t="s">
        <v>2147</v>
      </c>
      <c r="J12" s="691">
        <v>1.0964999999999998</v>
      </c>
      <c r="K12" s="3046"/>
      <c r="L12" s="3093" t="s">
        <v>2146</v>
      </c>
    </row>
    <row r="13" spans="2:12" ht="18" customHeight="1" x14ac:dyDescent="0.2">
      <c r="B13" s="1252" t="s">
        <v>365</v>
      </c>
      <c r="C13" s="2165" t="s">
        <v>2162</v>
      </c>
      <c r="D13" s="2165" t="s">
        <v>2161</v>
      </c>
      <c r="E13" s="691">
        <v>777.02499999999998</v>
      </c>
      <c r="F13" s="1913" t="s">
        <v>2147</v>
      </c>
      <c r="G13" s="1913">
        <f>J13*1000000/$E13</f>
        <v>123.32373475756904</v>
      </c>
      <c r="H13" s="3096"/>
      <c r="I13" s="3147" t="s">
        <v>2147</v>
      </c>
      <c r="J13" s="691">
        <v>9.5825625000000081E-2</v>
      </c>
      <c r="K13" s="3046"/>
      <c r="L13" s="3093" t="s">
        <v>2146</v>
      </c>
    </row>
    <row r="14" spans="2:12" ht="18" customHeight="1" x14ac:dyDescent="0.2">
      <c r="B14" s="1252" t="s">
        <v>366</v>
      </c>
      <c r="C14" s="2165" t="s">
        <v>2163</v>
      </c>
      <c r="D14" s="2165" t="s">
        <v>2161</v>
      </c>
      <c r="E14" s="691">
        <v>1527.9390000000001</v>
      </c>
      <c r="F14" s="1913">
        <f>I14*1000000/$E14</f>
        <v>282642.77085962723</v>
      </c>
      <c r="G14" s="1913">
        <f>J14*1000000/$E14</f>
        <v>1571.5318521082381</v>
      </c>
      <c r="H14" s="1913">
        <f>K14*1000000/$E14</f>
        <v>8.4950146343709854</v>
      </c>
      <c r="I14" s="3147">
        <v>431.86091266448801</v>
      </c>
      <c r="J14" s="691">
        <v>2.4012048065784093</v>
      </c>
      <c r="K14" s="3142">
        <v>1.297986416542617E-2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5.6912221749999999E-2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2270</v>
      </c>
      <c r="F18" s="1913" t="s">
        <v>2147</v>
      </c>
      <c r="G18" s="1913">
        <f>J18*1000000/$E18</f>
        <v>25.071463325991189</v>
      </c>
      <c r="H18" s="3148"/>
      <c r="I18" s="3150" t="s">
        <v>2147</v>
      </c>
      <c r="J18" s="2190">
        <v>5.6912221749999999E-2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22.475287425594281</v>
      </c>
      <c r="J21" s="3155">
        <f>IF(SUM(J22:J27)=0,"NO",SUM(J22:J27))</f>
        <v>136.53963229896362</v>
      </c>
      <c r="K21" s="3067">
        <f>IF(SUM(K22:K27)=0,"NO",SUM(K22:K27))</f>
        <v>4.0430574132339513E-4</v>
      </c>
      <c r="L21" s="3068" t="str">
        <f>IF(SUM(L22:L27)=0,"NO",SUM(L22:L27))</f>
        <v>NO</v>
      </c>
    </row>
    <row r="22" spans="2:12" ht="18" customHeight="1" x14ac:dyDescent="0.2">
      <c r="B22" s="1469" t="s">
        <v>371</v>
      </c>
      <c r="C22" s="2165" t="s">
        <v>2164</v>
      </c>
      <c r="D22" s="2165" t="s">
        <v>2147</v>
      </c>
      <c r="E22" s="691">
        <v>356.11592088641311</v>
      </c>
      <c r="F22" s="1913">
        <f>I22*1000000/$E22</f>
        <v>38590.143483649357</v>
      </c>
      <c r="G22" s="1913">
        <f>J22*1000000/$E22</f>
        <v>1987.2885044264935</v>
      </c>
      <c r="H22" s="1913">
        <f>K22*1000000/$E22</f>
        <v>1.1353206009914751</v>
      </c>
      <c r="I22" s="3141">
        <v>13.742564483818605</v>
      </c>
      <c r="J22" s="692">
        <v>0.70770507582082343</v>
      </c>
      <c r="K22" s="4141">
        <v>4.0430574132339513E-4</v>
      </c>
      <c r="L22" s="3156" t="s">
        <v>2146</v>
      </c>
    </row>
    <row r="23" spans="2:12" ht="18" customHeight="1" x14ac:dyDescent="0.2">
      <c r="B23" s="1252" t="s">
        <v>372</v>
      </c>
      <c r="C23" s="2165" t="s">
        <v>2165</v>
      </c>
      <c r="D23" s="2165" t="s">
        <v>2161</v>
      </c>
      <c r="E23" s="691">
        <v>2646.5893756670298</v>
      </c>
      <c r="F23" s="1913">
        <f>I23*1000000/$E23</f>
        <v>194.62355696365495</v>
      </c>
      <c r="G23" s="1913">
        <f>J23*1000000/$E23</f>
        <v>3625.2631501535679</v>
      </c>
      <c r="H23" s="3096"/>
      <c r="I23" s="3147">
        <v>0.5150886381145362</v>
      </c>
      <c r="J23" s="691">
        <v>9.5945829371936213</v>
      </c>
      <c r="K23" s="3046"/>
      <c r="L23" s="3156" t="s">
        <v>2146</v>
      </c>
    </row>
    <row r="24" spans="2:12" ht="18" customHeight="1" x14ac:dyDescent="0.2">
      <c r="B24" s="1252" t="s">
        <v>373</v>
      </c>
      <c r="C24" s="2165" t="s">
        <v>2165</v>
      </c>
      <c r="D24" s="2165" t="s">
        <v>2161</v>
      </c>
      <c r="E24" s="691">
        <v>2646.5893756670298</v>
      </c>
      <c r="F24" s="1913">
        <f t="shared" ref="F24:F26" si="0">I24*1000000/$E24</f>
        <v>908.7768822411914</v>
      </c>
      <c r="G24" s="1913">
        <f t="shared" ref="G24:G26" si="1">J24*1000000/$E24</f>
        <v>5192.0071655969532</v>
      </c>
      <c r="H24" s="1879"/>
      <c r="I24" s="691">
        <v>2.4051592413913445</v>
      </c>
      <c r="J24" s="691">
        <v>13.741111002855986</v>
      </c>
      <c r="K24" s="1914"/>
      <c r="L24" s="3093" t="str">
        <f>IF(Table1.C!E21="NO","NO",-Table1.C!E21)</f>
        <v>NO</v>
      </c>
    </row>
    <row r="25" spans="2:12" ht="18" customHeight="1" x14ac:dyDescent="0.2">
      <c r="B25" s="1252" t="s">
        <v>374</v>
      </c>
      <c r="C25" s="2165" t="s">
        <v>2276</v>
      </c>
      <c r="D25" s="2165" t="s">
        <v>2171</v>
      </c>
      <c r="E25" s="691">
        <v>21316</v>
      </c>
      <c r="F25" s="1913">
        <f t="shared" si="0"/>
        <v>20.000000000000004</v>
      </c>
      <c r="G25" s="1913">
        <f t="shared" si="1"/>
        <v>414.28571428571416</v>
      </c>
      <c r="H25" s="3096"/>
      <c r="I25" s="3147">
        <v>0.42632000000000003</v>
      </c>
      <c r="J25" s="691">
        <v>8.8309142857142842</v>
      </c>
      <c r="K25" s="3046"/>
      <c r="L25" s="3093" t="s">
        <v>2146</v>
      </c>
    </row>
    <row r="26" spans="2:12" ht="18" customHeight="1" x14ac:dyDescent="0.2">
      <c r="B26" s="1252" t="s">
        <v>375</v>
      </c>
      <c r="C26" s="2165" t="s">
        <v>2166</v>
      </c>
      <c r="D26" s="2165" t="s">
        <v>2161</v>
      </c>
      <c r="E26" s="691">
        <v>383.058284655622</v>
      </c>
      <c r="F26" s="1913">
        <f t="shared" si="0"/>
        <v>12797.739636921362</v>
      </c>
      <c r="G26" s="1913">
        <f t="shared" si="1"/>
        <v>231260.35963676451</v>
      </c>
      <c r="H26" s="3096"/>
      <c r="I26" s="3147">
        <v>4.9022801927883597</v>
      </c>
      <c r="J26" s="691">
        <v>88.586196671301266</v>
      </c>
      <c r="K26" s="3046"/>
      <c r="L26" s="3093" t="s">
        <v>2146</v>
      </c>
    </row>
    <row r="27" spans="2:12" ht="18" customHeight="1" x14ac:dyDescent="0.2">
      <c r="B27" s="2414" t="s">
        <v>376</v>
      </c>
      <c r="C27" s="621"/>
      <c r="D27" s="621"/>
      <c r="E27" s="628"/>
      <c r="F27" s="628"/>
      <c r="G27" s="628"/>
      <c r="H27" s="3148"/>
      <c r="I27" s="1913">
        <f>IF(SUM(I29:I31)=0,"NO",SUM(I29:I31))</f>
        <v>0.4838748694814376</v>
      </c>
      <c r="J27" s="1913">
        <f>IF(SUM(J29:J31)=0,"NO",SUM(J29:J31))</f>
        <v>15.079122326077638</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0.4838748694814376</v>
      </c>
      <c r="J29" s="3150">
        <v>9.7291177706276386</v>
      </c>
      <c r="K29" s="3132"/>
      <c r="L29" s="3102" t="s">
        <v>2146</v>
      </c>
    </row>
    <row r="30" spans="2:12" ht="18" customHeight="1" x14ac:dyDescent="0.2">
      <c r="B30" s="2415" t="s">
        <v>378</v>
      </c>
      <c r="C30" s="2165" t="s">
        <v>2156</v>
      </c>
      <c r="D30" s="2165" t="s">
        <v>2155</v>
      </c>
      <c r="E30" s="691">
        <v>7642</v>
      </c>
      <c r="F30" s="1913" t="s">
        <v>2147</v>
      </c>
      <c r="G30" s="1913">
        <f t="shared" ref="G30" si="2">J30*1000000/$E30</f>
        <v>23.42378375425281</v>
      </c>
      <c r="H30" s="3148"/>
      <c r="I30" s="3150" t="s">
        <v>2147</v>
      </c>
      <c r="J30" s="3150">
        <v>0.17900455544999999</v>
      </c>
      <c r="K30" s="3132"/>
      <c r="L30" s="3102" t="s">
        <v>2146</v>
      </c>
    </row>
    <row r="31" spans="2:12" ht="18" customHeight="1" x14ac:dyDescent="0.2">
      <c r="B31" s="1242" t="s">
        <v>379</v>
      </c>
      <c r="C31" s="621"/>
      <c r="D31" s="621"/>
      <c r="E31" s="628"/>
      <c r="F31" s="628"/>
      <c r="G31" s="628"/>
      <c r="H31" s="3148"/>
      <c r="I31" s="1913" t="s">
        <v>2147</v>
      </c>
      <c r="J31" s="1913">
        <f>IF(SUM(J32:J34)=0,"NO",SUM(J32:J34))</f>
        <v>5.1709999999999994</v>
      </c>
      <c r="K31" s="3132"/>
      <c r="L31" s="3149" t="str">
        <f>IF(SUM(L32:L34)=0,"NO",SUM(L32:L34))</f>
        <v>NO</v>
      </c>
    </row>
    <row r="32" spans="2:12" ht="18" customHeight="1" x14ac:dyDescent="0.2">
      <c r="B32" s="2592" t="s">
        <v>2173</v>
      </c>
      <c r="C32" s="310" t="s">
        <v>2172</v>
      </c>
      <c r="D32" s="310" t="s">
        <v>2172</v>
      </c>
      <c r="E32" s="2190">
        <v>6</v>
      </c>
      <c r="F32" s="3095" t="s">
        <v>2147</v>
      </c>
      <c r="G32" s="3095">
        <f t="shared" ref="G32:G33" si="3">J32*1000000/$E32</f>
        <v>184833.33333333334</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2219999.9999999995</v>
      </c>
      <c r="H34" s="3158"/>
      <c r="I34" s="3159" t="s">
        <v>2147</v>
      </c>
      <c r="J34" s="3159">
        <v>2.2199999999999998</v>
      </c>
      <c r="K34" s="3160"/>
      <c r="L34" s="3161" t="s">
        <v>2146</v>
      </c>
    </row>
    <row r="35" spans="2:12" ht="18" customHeight="1" x14ac:dyDescent="0.2">
      <c r="B35" s="1255" t="s">
        <v>380</v>
      </c>
      <c r="C35" s="2167"/>
      <c r="D35" s="2167"/>
      <c r="E35" s="3216"/>
      <c r="F35" s="3216"/>
      <c r="G35" s="3216"/>
      <c r="H35" s="3216"/>
      <c r="I35" s="3155">
        <f>IF(SUM(I36,I40)=0,"NO",SUM(I36,I40))</f>
        <v>5346.7425413370784</v>
      </c>
      <c r="J35" s="3067">
        <f>IF(SUM(J36,J40)=0,"NO",SUM(J36,J40))</f>
        <v>81.141168971805826</v>
      </c>
      <c r="K35" s="3067">
        <f>IF(SUM(K36,K40)=0,"NO",SUM(K36,K40))</f>
        <v>6.9097466473362817E-2</v>
      </c>
      <c r="L35" s="3068" t="str">
        <f>IF(SUM(L36,L40)=0,"NO",SUM(L36,L40))</f>
        <v>NO</v>
      </c>
    </row>
    <row r="36" spans="2:12" ht="18" customHeight="1" x14ac:dyDescent="0.2">
      <c r="B36" s="1468" t="s">
        <v>381</v>
      </c>
      <c r="C36" s="2170"/>
      <c r="D36" s="2170"/>
      <c r="E36" s="3025"/>
      <c r="F36" s="3025"/>
      <c r="G36" s="3025"/>
      <c r="H36" s="3025"/>
      <c r="I36" s="3162">
        <f>IF(SUM(I37:I39)=0,"NO",SUM(I37:I39))</f>
        <v>3161.771611096186</v>
      </c>
      <c r="J36" s="1913">
        <f>IF(SUM(J37:J39)=0,"NO",SUM(J37:J39))</f>
        <v>65.281560342073647</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3677.9903756670301</v>
      </c>
      <c r="F39" s="1913">
        <f t="shared" ref="F39" si="5">SUM(I39,L39)*1000000/$E39</f>
        <v>859646.51566625596</v>
      </c>
      <c r="G39" s="1913">
        <f t="shared" ref="G39" si="6">J39*1000000/$E39</f>
        <v>17749.247190521637</v>
      </c>
      <c r="H39" s="1913">
        <f t="shared" ref="H39" si="7">K39*1000000/$E39</f>
        <v>0</v>
      </c>
      <c r="I39" s="691">
        <v>3161.771611096186</v>
      </c>
      <c r="J39" s="691">
        <v>65.281560342073647</v>
      </c>
      <c r="K39" s="3132"/>
      <c r="L39" s="3093" t="s">
        <v>2146</v>
      </c>
    </row>
    <row r="40" spans="2:12" ht="18" customHeight="1" x14ac:dyDescent="0.2">
      <c r="B40" s="1468" t="s">
        <v>385</v>
      </c>
      <c r="C40" s="2170"/>
      <c r="D40" s="2170"/>
      <c r="E40" s="3025"/>
      <c r="F40" s="3025"/>
      <c r="G40" s="3025"/>
      <c r="H40" s="3025"/>
      <c r="I40" s="3162">
        <f>IF(SUM(I41:I43)=0,"NO",SUM(I41:I43))</f>
        <v>2184.9709302408928</v>
      </c>
      <c r="J40" s="3162">
        <f>IF(SUM(J41:J43)=0,"NO",SUM(J41:J43))</f>
        <v>15.859608629732172</v>
      </c>
      <c r="K40" s="1913">
        <f>IF(SUM(K41:K43)=0,"NO",SUM(K41:K43))</f>
        <v>6.9097466473362817E-2</v>
      </c>
      <c r="L40" s="3065" t="str">
        <f>IF(SUM(L41:L43)=0,"NO",SUM(L41:L43))</f>
        <v>NO</v>
      </c>
    </row>
    <row r="41" spans="2:12" ht="18" customHeight="1" x14ac:dyDescent="0.2">
      <c r="B41" s="1470" t="s">
        <v>386</v>
      </c>
      <c r="C41" s="277" t="s">
        <v>2169</v>
      </c>
      <c r="D41" s="277" t="s">
        <v>2170</v>
      </c>
      <c r="E41" s="691">
        <v>401.73662808009726</v>
      </c>
      <c r="F41" s="1913">
        <f t="shared" ref="F41:F42" si="8">SUM(I41,L41)*1000000/$E41</f>
        <v>2900000</v>
      </c>
      <c r="G41" s="1913">
        <f t="shared" ref="G41:H42" si="9">J41*1000000/$E41</f>
        <v>35000</v>
      </c>
      <c r="H41" s="1913">
        <f t="shared" si="9"/>
        <v>81</v>
      </c>
      <c r="I41" s="692">
        <v>1165.036221432282</v>
      </c>
      <c r="J41" s="692">
        <v>14.060781982803404</v>
      </c>
      <c r="K41" s="692">
        <v>3.2540666874487881E-2</v>
      </c>
      <c r="L41" s="3156" t="s">
        <v>2146</v>
      </c>
    </row>
    <row r="42" spans="2:12" ht="18" customHeight="1" x14ac:dyDescent="0.2">
      <c r="B42" s="1470" t="s">
        <v>387</v>
      </c>
      <c r="C42" s="277" t="s">
        <v>2169</v>
      </c>
      <c r="D42" s="277" t="s">
        <v>2170</v>
      </c>
      <c r="E42" s="691">
        <v>21883.426174975099</v>
      </c>
      <c r="F42" s="1913">
        <f t="shared" si="8"/>
        <v>46607.633587786288</v>
      </c>
      <c r="G42" s="1913">
        <f t="shared" si="9"/>
        <v>82.200411971404392</v>
      </c>
      <c r="H42" s="1913">
        <f t="shared" si="9"/>
        <v>1.6705245013543473</v>
      </c>
      <c r="I42" s="691">
        <v>1019.934708808611</v>
      </c>
      <c r="J42" s="691">
        <v>1.7988266469287675</v>
      </c>
      <c r="K42" s="691">
        <v>3.6556799598874944E-2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40.772206049667119</v>
      </c>
      <c r="M9" s="3358">
        <f>100*C10/SUM(C10,'Table1.A(a)s3'!C16)</f>
        <v>59.227793950332881</v>
      </c>
    </row>
    <row r="10" spans="1:13" ht="18" customHeight="1" thickTop="1" thickBot="1" x14ac:dyDescent="0.25">
      <c r="B10" s="223" t="s">
        <v>430</v>
      </c>
      <c r="C10" s="3338">
        <f>IF(SUM(C11:C13)=0,"NO",SUM(C11:C13))</f>
        <v>103070</v>
      </c>
      <c r="D10" s="3339"/>
      <c r="E10" s="3340"/>
      <c r="F10" s="3340"/>
      <c r="G10" s="3338">
        <f>IF(SUM(G11:G13)=0,"NO",SUM(G11:G13))</f>
        <v>7173.6719999999996</v>
      </c>
      <c r="H10" s="3338">
        <f>IF(SUM(H11:H13)=0,"NO",SUM(H11:H13))</f>
        <v>1.3375081666666667E-2</v>
      </c>
      <c r="I10" s="1154">
        <f>IF(SUM(I11:I13)=0,"NO",SUM(I11:I13))</f>
        <v>3.8324076251754387E-2</v>
      </c>
      <c r="J10" s="4"/>
      <c r="K10" s="68" t="s">
        <v>431</v>
      </c>
      <c r="L10" s="3359">
        <f>100-M10</f>
        <v>41.105081373276981</v>
      </c>
      <c r="M10" s="3360">
        <f>100*C14/SUM(C14,'Table1.A(a)s3'!C88)</f>
        <v>58.894918626723019</v>
      </c>
    </row>
    <row r="11" spans="1:13" ht="18" customHeight="1" x14ac:dyDescent="0.2">
      <c r="B11" s="1258" t="s">
        <v>178</v>
      </c>
      <c r="C11" s="3341">
        <v>103070</v>
      </c>
      <c r="D11" s="116">
        <f>IF(G11="NO","NA",G11*1000/$C11)</f>
        <v>69.599999999999994</v>
      </c>
      <c r="E11" s="116">
        <f t="shared" ref="E11:F13" si="0">IF(H11="NO","NA",H11*1000000/$C11)</f>
        <v>0.12976697066718412</v>
      </c>
      <c r="F11" s="116">
        <f t="shared" si="0"/>
        <v>0.3718257131246181</v>
      </c>
      <c r="G11" s="3062">
        <v>7173.6719999999996</v>
      </c>
      <c r="H11" s="3062">
        <v>1.3375081666666667E-2</v>
      </c>
      <c r="I11" s="3063">
        <v>3.8324076251754387E-2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38570</v>
      </c>
      <c r="D14" s="3348"/>
      <c r="E14" s="3349"/>
      <c r="F14" s="3350"/>
      <c r="G14" s="3347">
        <f>IF(SUM(G15:G18,G20:G22)=0,"NO",SUM(G15:G18,G20:G22))</f>
        <v>2819.2160000000003</v>
      </c>
      <c r="H14" s="3347">
        <f>IF(SUM(H15:H18,H20:H22)=0,"NO",SUM(H15:H18,H20:H22))</f>
        <v>0.26999000000000001</v>
      </c>
      <c r="I14" s="1155">
        <f>IF(SUM(I15:I18,I20:I22)=0,"NO",SUM(I15:I18,I20:I22))</f>
        <v>7.714E-2</v>
      </c>
      <c r="J14" s="4"/>
      <c r="K14" s="1047"/>
      <c r="L14" s="1047"/>
      <c r="M14" s="1047"/>
    </row>
    <row r="15" spans="1:13" ht="18" customHeight="1" x14ac:dyDescent="0.2">
      <c r="B15" s="1260" t="s">
        <v>190</v>
      </c>
      <c r="C15" s="143">
        <v>33290</v>
      </c>
      <c r="D15" s="116">
        <f>IF(G15="NO","NA",G15*1000/$C15)</f>
        <v>73.599999999999994</v>
      </c>
      <c r="E15" s="116">
        <f t="shared" ref="E15:F17" si="1">IF(H15="NO","NA",H15*1000000/$C15)</f>
        <v>7.0000000000000009</v>
      </c>
      <c r="F15" s="116">
        <f t="shared" si="1"/>
        <v>2</v>
      </c>
      <c r="G15" s="3064">
        <v>2450.1440000000002</v>
      </c>
      <c r="H15" s="3064">
        <v>0.23303000000000001</v>
      </c>
      <c r="I15" s="135">
        <v>6.658E-2</v>
      </c>
      <c r="J15" s="4"/>
      <c r="K15" s="1047"/>
      <c r="L15" s="1047"/>
      <c r="M15" s="1047"/>
    </row>
    <row r="16" spans="1:13" ht="18" customHeight="1" x14ac:dyDescent="0.2">
      <c r="B16" s="1260" t="s">
        <v>191</v>
      </c>
      <c r="C16" s="3351">
        <v>5280</v>
      </c>
      <c r="D16" s="116">
        <f>IF(G16="NO","NA",G16*1000/$C16)</f>
        <v>69.900000000000006</v>
      </c>
      <c r="E16" s="116">
        <f t="shared" si="1"/>
        <v>7.0000000000000018</v>
      </c>
      <c r="F16" s="116">
        <f t="shared" si="1"/>
        <v>2.0000000000000004</v>
      </c>
      <c r="G16" s="3064">
        <v>369.072</v>
      </c>
      <c r="H16" s="3064">
        <v>3.6960000000000007E-2</v>
      </c>
      <c r="I16" s="135">
        <v>1.0560000000000002E-2</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23815.400141611954</v>
      </c>
      <c r="D10" s="2913">
        <f t="shared" ref="D10:N10" si="0">IF(SUM(D11,D16,D27,D35,D39,D45,D52,D57)=0,"NO",SUM(D11,D16,D27,D35,D39,D45,D52,D57))</f>
        <v>3.451872741649618</v>
      </c>
      <c r="E10" s="2913">
        <f t="shared" si="0"/>
        <v>8.3566343406258721</v>
      </c>
      <c r="F10" s="2913">
        <f t="shared" si="0"/>
        <v>2925.3286647757286</v>
      </c>
      <c r="G10" s="2913">
        <f t="shared" si="0"/>
        <v>1541.4296180492074</v>
      </c>
      <c r="H10" s="2913" t="str">
        <f t="shared" si="0"/>
        <v>NO</v>
      </c>
      <c r="I10" s="2913">
        <f t="shared" si="0"/>
        <v>1.0116868644868732E-2</v>
      </c>
      <c r="J10" s="2913" t="str">
        <f t="shared" si="0"/>
        <v>NO</v>
      </c>
      <c r="K10" s="2913">
        <f t="shared" si="0"/>
        <v>54.880979866860557</v>
      </c>
      <c r="L10" s="2914">
        <f t="shared" si="0"/>
        <v>12.641310620563107</v>
      </c>
      <c r="M10" s="2915">
        <f t="shared" si="0"/>
        <v>236.00629307070517</v>
      </c>
      <c r="N10" s="2916">
        <f t="shared" si="0"/>
        <v>1753.0899152691843</v>
      </c>
      <c r="O10" s="3020">
        <f t="shared" ref="O10:O58" si="1">IF(SUM(C10:J10)=0,"NO",SUM(C10,F10:H10)+28*SUM(D10)+265*SUM(E10)+23500*SUM(I10)+16100*SUM(J10))</f>
        <v>30831.065374623351</v>
      </c>
    </row>
    <row r="11" spans="1:15" ht="18" customHeight="1" x14ac:dyDescent="0.2">
      <c r="B11" s="1263" t="s">
        <v>444</v>
      </c>
      <c r="C11" s="2137">
        <f>IF(SUM(C12:C15)=0,"NO",SUM(C12:C15))</f>
        <v>6389.4246039360696</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6389.4246039360696</v>
      </c>
    </row>
    <row r="12" spans="1:15" ht="18" customHeight="1" x14ac:dyDescent="0.2">
      <c r="B12" s="1264" t="s">
        <v>445</v>
      </c>
      <c r="C12" s="2920">
        <f>'Table2(I).A-H'!H11</f>
        <v>3554.6450560000003</v>
      </c>
      <c r="D12" s="2136"/>
      <c r="E12" s="2136"/>
      <c r="F12" s="628"/>
      <c r="G12" s="628"/>
      <c r="H12" s="2135"/>
      <c r="I12" s="628"/>
      <c r="J12" s="2135"/>
      <c r="K12" s="2135"/>
      <c r="L12" s="2135"/>
      <c r="M12" s="2135"/>
      <c r="N12" s="2919" t="s">
        <v>2146</v>
      </c>
      <c r="O12" s="2934">
        <f t="shared" si="1"/>
        <v>3554.6450560000003</v>
      </c>
    </row>
    <row r="13" spans="1:15" ht="18" customHeight="1" x14ac:dyDescent="0.2">
      <c r="B13" s="1264" t="s">
        <v>446</v>
      </c>
      <c r="C13" s="1878">
        <f>'Table2(I).A-H'!H12</f>
        <v>1217.2906570792729</v>
      </c>
      <c r="D13" s="2108"/>
      <c r="E13" s="2108"/>
      <c r="F13" s="628"/>
      <c r="G13" s="628"/>
      <c r="H13" s="2135"/>
      <c r="I13" s="628"/>
      <c r="J13" s="2135"/>
      <c r="K13" s="628"/>
      <c r="L13" s="628"/>
      <c r="M13" s="628"/>
      <c r="N13" s="1838"/>
      <c r="O13" s="1880">
        <f t="shared" si="1"/>
        <v>1217.2906570792729</v>
      </c>
    </row>
    <row r="14" spans="1:15" ht="18" customHeight="1" x14ac:dyDescent="0.2">
      <c r="B14" s="1264" t="s">
        <v>447</v>
      </c>
      <c r="C14" s="1878">
        <f>'Table2(I).A-H'!H13</f>
        <v>101.67600925387501</v>
      </c>
      <c r="D14" s="2108"/>
      <c r="E14" s="2108"/>
      <c r="F14" s="628"/>
      <c r="G14" s="628"/>
      <c r="H14" s="2135"/>
      <c r="I14" s="628"/>
      <c r="J14" s="2135"/>
      <c r="K14" s="628"/>
      <c r="L14" s="628"/>
      <c r="M14" s="628"/>
      <c r="N14" s="1838"/>
      <c r="O14" s="1880">
        <f t="shared" si="1"/>
        <v>101.67600925387501</v>
      </c>
    </row>
    <row r="15" spans="1:15" ht="18" customHeight="1" thickBot="1" x14ac:dyDescent="0.25">
      <c r="B15" s="1264" t="s">
        <v>448</v>
      </c>
      <c r="C15" s="1878">
        <f>'Table2(I).A-H'!H14</f>
        <v>1515.8128816029212</v>
      </c>
      <c r="D15" s="1879"/>
      <c r="E15" s="1879"/>
      <c r="F15" s="3021"/>
      <c r="G15" s="3021"/>
      <c r="H15" s="3021"/>
      <c r="I15" s="3021"/>
      <c r="J15" s="3021"/>
      <c r="K15" s="2606" t="s">
        <v>2146</v>
      </c>
      <c r="L15" s="2606" t="s">
        <v>2146</v>
      </c>
      <c r="M15" s="2606" t="s">
        <v>2146</v>
      </c>
      <c r="N15" s="2607" t="s">
        <v>2146</v>
      </c>
      <c r="O15" s="1880">
        <f t="shared" si="1"/>
        <v>1515.8128816029212</v>
      </c>
    </row>
    <row r="16" spans="1:15" ht="18" customHeight="1" x14ac:dyDescent="0.2">
      <c r="B16" s="1265" t="s">
        <v>449</v>
      </c>
      <c r="C16" s="2137">
        <f>IF(SUM(C17:C26)=0,"NO",SUM(C17:C26))</f>
        <v>2572.6230039920597</v>
      </c>
      <c r="D16" s="2137">
        <f t="shared" ref="D16:N16" si="3">IF(SUM(D17:D26)=0,"NO",SUM(D17:D26))</f>
        <v>0.55288379999999993</v>
      </c>
      <c r="E16" s="2137">
        <f t="shared" si="3"/>
        <v>8.2630274299999993</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5.2087903659999997</v>
      </c>
      <c r="N16" s="2918" t="str">
        <f t="shared" si="3"/>
        <v>NO</v>
      </c>
      <c r="O16" s="2941">
        <f t="shared" si="1"/>
        <v>4777.8060193420597</v>
      </c>
    </row>
    <row r="17" spans="2:15" ht="18" customHeight="1" x14ac:dyDescent="0.2">
      <c r="B17" s="1266" t="s">
        <v>450</v>
      </c>
      <c r="C17" s="2920">
        <f>SUM('Table2(I).A-H'!H23,'Table2(I).A-H'!K23:L23)</f>
        <v>1400.9263386602449</v>
      </c>
      <c r="D17" s="2139" t="str">
        <f>'Table2(I).A-H'!I23</f>
        <v>NO</v>
      </c>
      <c r="E17" s="2139" t="str">
        <f>'Table2(I).A-H'!J23</f>
        <v>NO</v>
      </c>
      <c r="F17" s="2135"/>
      <c r="G17" s="2135"/>
      <c r="H17" s="2135"/>
      <c r="I17" s="2135"/>
      <c r="J17" s="2135"/>
      <c r="K17" s="692" t="s">
        <v>2146</v>
      </c>
      <c r="L17" s="692" t="s">
        <v>2146</v>
      </c>
      <c r="M17" s="692" t="s">
        <v>2146</v>
      </c>
      <c r="N17" s="692" t="s">
        <v>2146</v>
      </c>
      <c r="O17" s="2934">
        <f t="shared" si="1"/>
        <v>1400.9263386602449</v>
      </c>
    </row>
    <row r="18" spans="2:15" ht="18" customHeight="1" x14ac:dyDescent="0.2">
      <c r="B18" s="1264" t="s">
        <v>451</v>
      </c>
      <c r="C18" s="1910"/>
      <c r="D18" s="2136"/>
      <c r="E18" s="2139">
        <f>'Table2(I).A-H'!J24</f>
        <v>8.2630274299999993</v>
      </c>
      <c r="F18" s="628"/>
      <c r="G18" s="628"/>
      <c r="H18" s="2135"/>
      <c r="I18" s="628"/>
      <c r="J18" s="2135"/>
      <c r="K18" s="692" t="s">
        <v>2146</v>
      </c>
      <c r="L18" s="628"/>
      <c r="M18" s="628"/>
      <c r="N18" s="1838"/>
      <c r="O18" s="2934">
        <f t="shared" si="1"/>
        <v>2189.70226895</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997.54552190934987</v>
      </c>
      <c r="D22" s="1914"/>
      <c r="E22" s="628"/>
      <c r="F22" s="628"/>
      <c r="G22" s="628"/>
      <c r="H22" s="2135"/>
      <c r="I22" s="628"/>
      <c r="J22" s="2135"/>
      <c r="K22" s="1914"/>
      <c r="L22" s="1914"/>
      <c r="M22" s="1914"/>
      <c r="N22" s="2921"/>
      <c r="O22" s="1880">
        <f t="shared" si="1"/>
        <v>997.54552190934987</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46.86107299999999</v>
      </c>
      <c r="D24" s="1878">
        <f>'Table2(I).A-H'!I35</f>
        <v>0.55288379999999993</v>
      </c>
      <c r="E24" s="628"/>
      <c r="F24" s="628"/>
      <c r="G24" s="628"/>
      <c r="H24" s="2135"/>
      <c r="I24" s="628"/>
      <c r="J24" s="2135"/>
      <c r="K24" s="692" t="s">
        <v>2146</v>
      </c>
      <c r="L24" s="692" t="s">
        <v>2146</v>
      </c>
      <c r="M24" s="691">
        <v>5.2087903659999997</v>
      </c>
      <c r="N24" s="692" t="s">
        <v>2146</v>
      </c>
      <c r="O24" s="1880">
        <f t="shared" si="1"/>
        <v>62.341819399999991</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127.29007042246495</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127.29007042246495</v>
      </c>
    </row>
    <row r="27" spans="2:15" ht="18" customHeight="1" x14ac:dyDescent="0.2">
      <c r="B27" s="1263" t="s">
        <v>459</v>
      </c>
      <c r="C27" s="2137">
        <f>IF(SUM(C28:C34)=0,"NO",SUM(C28:C34))</f>
        <v>14357.155159378397</v>
      </c>
      <c r="D27" s="2137">
        <f t="shared" ref="D27:N27" si="4">IF(SUM(D28:D34)=0,"NO",SUM(D28:D34))</f>
        <v>2.898988941649618</v>
      </c>
      <c r="E27" s="2137">
        <f t="shared" si="4"/>
        <v>9.3606910625872897E-2</v>
      </c>
      <c r="F27" s="2138" t="str">
        <f t="shared" si="4"/>
        <v>NO</v>
      </c>
      <c r="G27" s="2138">
        <f t="shared" si="4"/>
        <v>1541.4296180492074</v>
      </c>
      <c r="H27" s="2138" t="str">
        <f t="shared" si="4"/>
        <v>NO</v>
      </c>
      <c r="I27" s="2138" t="str">
        <f t="shared" si="4"/>
        <v>NO</v>
      </c>
      <c r="J27" s="2138" t="str">
        <f t="shared" si="4"/>
        <v>NO</v>
      </c>
      <c r="K27" s="2137">
        <f t="shared" si="4"/>
        <v>54.880979866860557</v>
      </c>
      <c r="L27" s="2137">
        <f t="shared" si="4"/>
        <v>12.641310620563107</v>
      </c>
      <c r="M27" s="2917">
        <f t="shared" si="4"/>
        <v>0.142234777027477</v>
      </c>
      <c r="N27" s="2918">
        <f t="shared" si="4"/>
        <v>1753.0899152691843</v>
      </c>
      <c r="O27" s="2941">
        <f t="shared" si="1"/>
        <v>16004.56229910965</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3070.4148970304341</v>
      </c>
      <c r="D30" s="1879"/>
      <c r="E30" s="628"/>
      <c r="F30" s="628"/>
      <c r="G30" s="2140">
        <f>SUM('Table2(II)'!X41:Y41)</f>
        <v>1541.4296180492074</v>
      </c>
      <c r="H30" s="2136"/>
      <c r="I30" s="2142" t="s">
        <v>2146</v>
      </c>
      <c r="J30" s="2135"/>
      <c r="K30" s="691" t="s">
        <v>2147</v>
      </c>
      <c r="L30" s="691" t="s">
        <v>2147</v>
      </c>
      <c r="M30" s="691" t="s">
        <v>2147</v>
      </c>
      <c r="N30" s="2911">
        <v>47.938579999999995</v>
      </c>
      <c r="O30" s="1880">
        <f t="shared" si="1"/>
        <v>4611.8445150796415</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11286.740262347963</v>
      </c>
      <c r="D34" s="1881">
        <f>'Table2(I).A-H'!I67</f>
        <v>2.898988941649618</v>
      </c>
      <c r="E34" s="1881">
        <f>'Table2(I).A-H'!J67</f>
        <v>9.3606910625872897E-2</v>
      </c>
      <c r="F34" s="2146" t="s">
        <v>2146</v>
      </c>
      <c r="G34" s="2146" t="s">
        <v>2146</v>
      </c>
      <c r="H34" s="2146" t="s">
        <v>2146</v>
      </c>
      <c r="I34" s="2146" t="s">
        <v>2146</v>
      </c>
      <c r="J34" s="2146" t="s">
        <v>2146</v>
      </c>
      <c r="K34" s="2606">
        <v>54.880979866860557</v>
      </c>
      <c r="L34" s="2606">
        <v>12.641310620563107</v>
      </c>
      <c r="M34" s="2606">
        <v>0.142234777027477</v>
      </c>
      <c r="N34" s="2607">
        <v>1705.1513352691843</v>
      </c>
      <c r="O34" s="1882">
        <f t="shared" si="1"/>
        <v>11392.717784030008</v>
      </c>
    </row>
    <row r="35" spans="2:15" ht="18" customHeight="1" x14ac:dyDescent="0.2">
      <c r="B35" s="2470" t="s">
        <v>2014</v>
      </c>
      <c r="C35" s="2920">
        <f>IF(SUM(C36:C38)=0,"NO",SUM(C36:C38))</f>
        <v>331.19102349999997</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176.62613792767769</v>
      </c>
      <c r="N35" s="2048" t="str">
        <f t="shared" ref="N35" si="7">IF(SUM(N36:N38)=0,"NO",SUM(N36:N38))</f>
        <v>NO</v>
      </c>
      <c r="O35" s="2934">
        <f t="shared" si="1"/>
        <v>331.19102349999997</v>
      </c>
    </row>
    <row r="36" spans="2:15" ht="18" customHeight="1" x14ac:dyDescent="0.2">
      <c r="B36" s="1270" t="s">
        <v>466</v>
      </c>
      <c r="C36" s="1878">
        <f>'Table2(I).A-H'!H73</f>
        <v>331.19102349999997</v>
      </c>
      <c r="D36" s="2140" t="str">
        <f>'Table2(I).A-H'!I73</f>
        <v>NO</v>
      </c>
      <c r="E36" s="2140" t="str">
        <f>'Table2(I).A-H'!J73</f>
        <v>NO</v>
      </c>
      <c r="F36" s="628"/>
      <c r="G36" s="628"/>
      <c r="H36" s="2135"/>
      <c r="I36" s="628"/>
      <c r="J36" s="2135"/>
      <c r="K36" s="2147" t="s">
        <v>2147</v>
      </c>
      <c r="L36" s="2147" t="s">
        <v>2147</v>
      </c>
      <c r="M36" s="691" t="s">
        <v>2147</v>
      </c>
      <c r="N36" s="2141" t="s">
        <v>2147</v>
      </c>
      <c r="O36" s="1880">
        <f t="shared" si="1"/>
        <v>331.19102349999997</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176.62613792767769</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2925.3286647757286</v>
      </c>
      <c r="G45" s="2137" t="str">
        <f t="shared" ref="G45:J45" si="9">IF(SUM(G46:G51)=0,"NO",SUM(G46:G51))</f>
        <v>NO</v>
      </c>
      <c r="H45" s="2920" t="str">
        <f t="shared" si="9"/>
        <v>NO</v>
      </c>
      <c r="I45" s="2920" t="str">
        <f t="shared" si="9"/>
        <v>NO</v>
      </c>
      <c r="J45" s="2139" t="str">
        <f t="shared" si="9"/>
        <v>NO</v>
      </c>
      <c r="K45" s="1929"/>
      <c r="L45" s="1929"/>
      <c r="M45" s="1929"/>
      <c r="N45" s="2153"/>
      <c r="O45" s="2941">
        <f t="shared" si="1"/>
        <v>2925.3286647757286</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2714.4708319357696</v>
      </c>
      <c r="G46" s="1878" t="s">
        <v>2146</v>
      </c>
      <c r="H46" s="1878" t="s">
        <v>2146</v>
      </c>
      <c r="I46" s="1878" t="s">
        <v>2146</v>
      </c>
      <c r="J46" s="2139" t="str">
        <f t="shared" ref="J46" si="10">IF(SUM(J47:J52)=0,"NO",SUM(J47:J52))</f>
        <v>NO</v>
      </c>
      <c r="K46" s="628"/>
      <c r="L46" s="628"/>
      <c r="M46" s="628"/>
      <c r="N46" s="1838"/>
      <c r="O46" s="1880">
        <f t="shared" si="1"/>
        <v>2714.4708319357696</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42.41140851847819</v>
      </c>
      <c r="G47" s="1878" t="s">
        <v>2146</v>
      </c>
      <c r="H47" s="1878" t="s">
        <v>2146</v>
      </c>
      <c r="I47" s="1878" t="s">
        <v>2146</v>
      </c>
      <c r="J47" s="2139" t="str">
        <f t="shared" ref="J47" si="11">IF(SUM(J48:J53)=0,"NO",SUM(J48:J53))</f>
        <v>NO</v>
      </c>
      <c r="K47" s="628"/>
      <c r="L47" s="628"/>
      <c r="M47" s="628"/>
      <c r="N47" s="1838"/>
      <c r="O47" s="1880">
        <f t="shared" si="1"/>
        <v>42.41140851847819</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16.235219270488614</v>
      </c>
      <c r="G48" s="1878" t="s">
        <v>2146</v>
      </c>
      <c r="H48" s="1878" t="s">
        <v>2146</v>
      </c>
      <c r="I48" s="1878" t="s">
        <v>2146</v>
      </c>
      <c r="J48" s="2139" t="str">
        <f t="shared" ref="J48" si="12">IF(SUM(J49:J54)=0,"NO",SUM(J49:J54))</f>
        <v>NO</v>
      </c>
      <c r="K48" s="628"/>
      <c r="L48" s="628"/>
      <c r="M48" s="628"/>
      <c r="N48" s="1838"/>
      <c r="O48" s="1880">
        <f t="shared" si="1"/>
        <v>16.235219270488614</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84.79981962911657</v>
      </c>
      <c r="G49" s="1878" t="s">
        <v>2146</v>
      </c>
      <c r="H49" s="1878" t="s">
        <v>2146</v>
      </c>
      <c r="I49" s="1878" t="s">
        <v>2146</v>
      </c>
      <c r="J49" s="2139" t="str">
        <f t="shared" ref="J49" si="13">IF(SUM(J50:J55)=0,"NO",SUM(J50:J55))</f>
        <v>NO</v>
      </c>
      <c r="K49" s="628"/>
      <c r="L49" s="628"/>
      <c r="M49" s="628"/>
      <c r="N49" s="1838"/>
      <c r="O49" s="1880">
        <f t="shared" si="1"/>
        <v>84.79981962911657</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67.411385421875707</v>
      </c>
      <c r="G50" s="1878" t="s">
        <v>2146</v>
      </c>
      <c r="H50" s="1878" t="s">
        <v>2146</v>
      </c>
      <c r="I50" s="1878" t="s">
        <v>2146</v>
      </c>
      <c r="J50" s="2139" t="str">
        <f t="shared" ref="J50" si="14">IF(SUM(J51:J56)=0,"NO",SUM(J51:J56))</f>
        <v>NO</v>
      </c>
      <c r="K50" s="628"/>
      <c r="L50" s="628"/>
      <c r="M50" s="628"/>
      <c r="N50" s="1838"/>
      <c r="O50" s="1880">
        <f t="shared" si="1"/>
        <v>67.411385421875707</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1.0116868644868732E-2</v>
      </c>
      <c r="J52" s="2139" t="str">
        <f t="shared" si="16"/>
        <v>NO</v>
      </c>
      <c r="K52" s="2139" t="str">
        <f t="shared" si="16"/>
        <v>NO</v>
      </c>
      <c r="L52" s="2139" t="str">
        <f t="shared" si="16"/>
        <v>NO</v>
      </c>
      <c r="M52" s="2139" t="str">
        <f t="shared" si="16"/>
        <v>NO</v>
      </c>
      <c r="N52" s="2048" t="str">
        <f t="shared" si="16"/>
        <v>NO</v>
      </c>
      <c r="O52" s="2934">
        <f t="shared" si="1"/>
        <v>237.74641315441522</v>
      </c>
    </row>
    <row r="53" spans="2:15" ht="18" customHeight="1" x14ac:dyDescent="0.2">
      <c r="B53" s="1270" t="s">
        <v>481</v>
      </c>
      <c r="C53" s="2135"/>
      <c r="D53" s="2135"/>
      <c r="E53" s="2135"/>
      <c r="F53" s="2920" t="s">
        <v>2146</v>
      </c>
      <c r="G53" s="2920" t="s">
        <v>2146</v>
      </c>
      <c r="H53" s="2920" t="s">
        <v>2146</v>
      </c>
      <c r="I53" s="2920">
        <f>SUM('Table2(II).B-Hs2'!J163:M163)/1000</f>
        <v>9.4260484799066711E-3</v>
      </c>
      <c r="J53" s="2920" t="s">
        <v>2146</v>
      </c>
      <c r="K53" s="2135"/>
      <c r="L53" s="2135"/>
      <c r="M53" s="2135"/>
      <c r="N53" s="2149"/>
      <c r="O53" s="2934">
        <f t="shared" si="1"/>
        <v>221.51213927780677</v>
      </c>
    </row>
    <row r="54" spans="2:15" ht="18" customHeight="1" x14ac:dyDescent="0.2">
      <c r="B54" s="1270" t="s">
        <v>482</v>
      </c>
      <c r="C54" s="2135"/>
      <c r="D54" s="2135"/>
      <c r="E54" s="2135"/>
      <c r="F54" s="2135"/>
      <c r="G54" s="2920" t="s">
        <v>2146</v>
      </c>
      <c r="H54" s="3025"/>
      <c r="I54" s="2920">
        <f>SUM('Table2(II).B-Hs2'!J165:M165)/1000</f>
        <v>6.9082016496206048E-4</v>
      </c>
      <c r="J54" s="2135"/>
      <c r="K54" s="2135"/>
      <c r="L54" s="2135"/>
      <c r="M54" s="2135"/>
      <c r="N54" s="2149"/>
      <c r="O54" s="2934">
        <f t="shared" si="1"/>
        <v>16.23427387660842</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165.00635080543125</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54.029129999999995</v>
      </c>
      <c r="N57" s="2073" t="str">
        <f>N58</f>
        <v>NA</v>
      </c>
      <c r="O57" s="2941">
        <f t="shared" si="1"/>
        <v>165.00635080543125</v>
      </c>
    </row>
    <row r="58" spans="2:15" ht="18" customHeight="1" thickBot="1" x14ac:dyDescent="0.25">
      <c r="B58" s="2596" t="s">
        <v>2180</v>
      </c>
      <c r="C58" s="2500">
        <f>'Table2(I).A-H'!H97</f>
        <v>165.00635080543125</v>
      </c>
      <c r="D58" s="2500" t="str">
        <f>'Table2(I).A-H'!I97</f>
        <v>NO</v>
      </c>
      <c r="E58" s="2500" t="str">
        <f>'Table2(I).A-H'!J97</f>
        <v>NO</v>
      </c>
      <c r="F58" s="2500" t="s">
        <v>2146</v>
      </c>
      <c r="G58" s="2500" t="s">
        <v>2146</v>
      </c>
      <c r="H58" s="2500" t="s">
        <v>2146</v>
      </c>
      <c r="I58" s="2500" t="s">
        <v>2146</v>
      </c>
      <c r="J58" s="2500" t="s">
        <v>2146</v>
      </c>
      <c r="K58" s="2912" t="s">
        <v>2147</v>
      </c>
      <c r="L58" s="2912" t="s">
        <v>2147</v>
      </c>
      <c r="M58" s="2912">
        <v>54.029129999999995</v>
      </c>
      <c r="N58" s="2922" t="s">
        <v>2147</v>
      </c>
      <c r="O58" s="2925">
        <f t="shared" si="1"/>
        <v>165.00635080543125</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0.13779733236260919</v>
      </c>
      <c r="D10" s="2044">
        <f t="shared" ref="D10:X10" si="0">IF(SUM(D11,D16,D20,D26,D33,D37)=0,"NO",SUM(D11,D16,D20,D26,D33,D37))</f>
        <v>21.537491504862896</v>
      </c>
      <c r="E10" s="2044" t="str">
        <f t="shared" si="0"/>
        <v>NO</v>
      </c>
      <c r="F10" s="2044">
        <f t="shared" si="0"/>
        <v>0.31973627248739411</v>
      </c>
      <c r="G10" s="2044">
        <f t="shared" si="0"/>
        <v>389.78983898476747</v>
      </c>
      <c r="H10" s="2044">
        <f t="shared" si="0"/>
        <v>0.43641002470675078</v>
      </c>
      <c r="I10" s="2044">
        <f t="shared" si="0"/>
        <v>1114.5736753991853</v>
      </c>
      <c r="J10" s="2044" t="str">
        <f t="shared" si="0"/>
        <v>NO</v>
      </c>
      <c r="K10" s="2044">
        <f t="shared" si="0"/>
        <v>37.309867092602104</v>
      </c>
      <c r="L10" s="2044" t="str">
        <f t="shared" si="0"/>
        <v>NO</v>
      </c>
      <c r="M10" s="2044" t="str">
        <f t="shared" si="0"/>
        <v>NO</v>
      </c>
      <c r="N10" s="2044" t="str">
        <f t="shared" si="0"/>
        <v>NO</v>
      </c>
      <c r="O10" s="2044">
        <f t="shared" si="0"/>
        <v>13.2371327230862</v>
      </c>
      <c r="P10" s="2044" t="str">
        <f t="shared" si="0"/>
        <v>NO</v>
      </c>
      <c r="Q10" s="2044" t="str">
        <f t="shared" si="0"/>
        <v>NO</v>
      </c>
      <c r="R10" s="2044">
        <f t="shared" si="0"/>
        <v>1.4178363375787894E-3</v>
      </c>
      <c r="S10" s="2044" t="str">
        <f t="shared" si="0"/>
        <v>NO</v>
      </c>
      <c r="T10" s="2044" t="str">
        <f t="shared" si="0"/>
        <v>NO</v>
      </c>
      <c r="U10" s="2044" t="str">
        <f t="shared" si="0"/>
        <v>NO</v>
      </c>
      <c r="V10" s="2045" t="str">
        <f t="shared" si="0"/>
        <v>NO</v>
      </c>
      <c r="W10" s="2046"/>
      <c r="X10" s="2044">
        <f t="shared" si="0"/>
        <v>190.97050826062295</v>
      </c>
      <c r="Y10" s="2044">
        <f t="shared" ref="Y10" si="1">IF(SUM(Y11,Y16,Y20,Y26,Y33,Y37)=0,"NO",SUM(Y11,Y16,Y20,Y26,Y33,Y37))</f>
        <v>24.801364710024995</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10.116868644868731</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190.97050826062295</v>
      </c>
      <c r="Y16" s="2050">
        <f t="shared" ref="Y16" si="35">IF(SUM(Y17:Y19)=0,"NO",SUM(Y17:Y19))</f>
        <v>24.801364710024995</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190.97050826062295</v>
      </c>
      <c r="Y17" s="2050">
        <f>'Table2(II).B-Hs1'!G26</f>
        <v>24.801364710024995</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0.13779733236260919</v>
      </c>
      <c r="D26" s="2069">
        <f t="shared" ref="D26:AK26" si="58">IF(SUM(D27:D32)=0,"NO",SUM(D27:D32))</f>
        <v>21.537491504862896</v>
      </c>
      <c r="E26" s="2069" t="str">
        <f t="shared" si="58"/>
        <v>NO</v>
      </c>
      <c r="F26" s="2069">
        <f t="shared" si="58"/>
        <v>0.31973627248739411</v>
      </c>
      <c r="G26" s="2069">
        <f t="shared" si="58"/>
        <v>389.78983898476747</v>
      </c>
      <c r="H26" s="2069">
        <f t="shared" si="58"/>
        <v>0.43641002470675078</v>
      </c>
      <c r="I26" s="2069">
        <f t="shared" si="58"/>
        <v>1114.5736753991853</v>
      </c>
      <c r="J26" s="2069" t="str">
        <f t="shared" si="58"/>
        <v>NO</v>
      </c>
      <c r="K26" s="2069">
        <f t="shared" si="58"/>
        <v>37.309867092602104</v>
      </c>
      <c r="L26" s="2069" t="str">
        <f t="shared" si="58"/>
        <v>NO</v>
      </c>
      <c r="M26" s="2069" t="str">
        <f t="shared" si="58"/>
        <v>NO</v>
      </c>
      <c r="N26" s="2069" t="str">
        <f t="shared" si="58"/>
        <v>NO</v>
      </c>
      <c r="O26" s="2069">
        <f t="shared" si="58"/>
        <v>13.2371327230862</v>
      </c>
      <c r="P26" s="2069" t="str">
        <f t="shared" si="58"/>
        <v>NO</v>
      </c>
      <c r="Q26" s="2069" t="str">
        <f t="shared" si="58"/>
        <v>NO</v>
      </c>
      <c r="R26" s="2069">
        <f t="shared" si="58"/>
        <v>1.4178363375787894E-3</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0.12786489392484654</v>
      </c>
      <c r="D27" s="2044">
        <f>IF(SUM('Table2(II).B-Hs2'!J14:M14,'Table2(II).B-Hs2'!J27:M27,'Table2(II).B-Hs2'!J40:M40,'Table2(II).B-Hs2'!J53:M53,'Table2(II).B-Hs2'!J66:M66,'Table2(II).B-Hs2'!J79:M79)=0,"NO",SUM('Table2(II).B-Hs2'!J14:M14,'Table2(II).B-Hs2'!J27:M27,'Table2(II).B-Hs2'!J40:M40,'Table2(II).B-Hs2'!J53:M53,'Table2(II).B-Hs2'!J66:M66,'Table2(II).B-Hs2'!J79:M79))</f>
        <v>19.985068066701089</v>
      </c>
      <c r="E27" s="2044" t="s">
        <v>2146</v>
      </c>
      <c r="F27" s="2044">
        <f>IF(SUM('Table2(II).B-Hs2'!J15:M15,'Table2(II).B-Hs2'!J28:M28,'Table2(II).B-Hs2'!J41:M41,'Table2(II).B-Hs2'!J54:M54,'Table2(II).B-Hs2'!J67:M67,'Table2(II).B-Hs2'!J80:M80)=0,"NO",SUM('Table2(II).B-Hs2'!J15:M15,'Table2(II).B-Hs2'!J28:M28,'Table2(II).B-Hs2'!J41:M41,'Table2(II).B-Hs2'!J54:M54,'Table2(II).B-Hs2'!J67:M67,'Table2(II).B-Hs2'!J80:M80))</f>
        <v>0.29668966637136407</v>
      </c>
      <c r="G27" s="2044">
        <f>IF(SUM('Table2(II).B-Hs2'!J16:M16,'Table2(II).B-Hs2'!J29:M29,'Table2(II).B-Hs2'!J42:M42,'Table2(II).B-Hs2'!J55:M55,'Table2(II).B-Hs2'!J68:M68,'Table2(II).B-Hs2'!J81:M81)=0,"NO",SUM('Table2(II).B-Hs2'!J16:M16,'Table2(II).B-Hs2'!J29:M29,'Table2(II).B-Hs2'!J42:M42,'Table2(II).B-Hs2'!J55:M55,'Table2(II).B-Hs2'!J68:M68,'Table2(II).B-Hs2'!J81:M81))</f>
        <v>361.69376837874353</v>
      </c>
      <c r="H27" s="2044">
        <f>IF(SUM('Table2(II).B-Hs2'!J17:M17,'Table2(II).B-Hs2'!J30:M30,'Table2(II).B-Hs2'!J43:M43,'Table2(II).B-Hs2'!J56:M56,'Table2(II).B-Hs2'!J69:M69,'Table2(II).B-Hs2'!J82:M82)=0,"NO",SUM('Table2(II).B-Hs2'!J17:M17,'Table2(II).B-Hs2'!J30:M30,'Table2(II).B-Hs2'!J43:M43,'Table2(II).B-Hs2'!J56:M56,'Table2(II).B-Hs2'!J69:M69,'Table2(II).B-Hs2'!J82:M82))</f>
        <v>0.40495356883998646</v>
      </c>
      <c r="I27" s="2044">
        <f>IF(SUM('Table2(II).B-Hs2'!J18:M18,'Table2(II).B-Hs2'!J31:M31,'Table2(II).B-Hs2'!J44:M44,'Table2(II).B-Hs2'!J57:M57,'Table2(II).B-Hs2'!J70:M70,'Table2(II).B-Hs2'!J83:M83)=0,"NO",SUM('Table2(II).B-Hs2'!J18:M18,'Table2(II).B-Hs2'!J31:M31,'Table2(II).B-Hs2'!J44:M44,'Table2(II).B-Hs2'!J57:M57,'Table2(II).B-Hs2'!J70:M70,'Table2(II).B-Hs2'!J83:M83))</f>
        <v>1034.2351505130737</v>
      </c>
      <c r="J27" s="2044" t="s">
        <v>2146</v>
      </c>
      <c r="K27" s="2044">
        <f>IF(SUM('Table2(II).B-Hs2'!J19:M19,'Table2(II).B-Hs2'!J32:M32,'Table2(II).B-Hs2'!J45:M45,'Table2(II).B-Hs2'!J58:M58,'Table2(II).B-Hs2'!J71:M71,'Table2(II).B-Hs2'!J84:M84)=0,"NO",SUM('Table2(II).B-Hs2'!J19:M19,'Table2(II).B-Hs2'!J32:M32,'Table2(II).B-Hs2'!J45:M45,'Table2(II).B-Hs2'!J58:M58,'Table2(II).B-Hs2'!J71:M71,'Table2(II).B-Hs2'!J84:M84))</f>
        <v>34.620570052778334</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f>IF(SUM('Table2(II).B-Hs2'!J21:M21,'Table2(II).B-Hs2'!J34:M34,'Table2(II).B-Hs2'!J47:M47,'Table2(II).B-Hs2'!J60:M60,'Table2(II).B-Hs2'!J73:M73,'Table2(II).B-Hs2'!J86:M86)=0,"NO",SUM('Table2(II).B-Hs2'!J21:M21,'Table2(II).B-Hs2'!J34:M34,'Table2(II).B-Hs2'!J47:M47,'Table2(II).B-Hs2'!J60:M60,'Table2(II).B-Hs2'!J73:M73,'Table2(II).B-Hs2'!J86:M86))</f>
        <v>12.282999550764911</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1.3156386252111338E-3</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1.9977854201333584E-3</v>
      </c>
      <c r="D28" s="2044">
        <f>IF(SUM('Table2(II).B-Hs2'!J93:M93,'Table2(II).B-Hs2'!J106:M106)=0,"NO",SUM('Table2(II).B-Hs2'!J93:M93,'Table2(II).B-Hs2'!J106:M106))</f>
        <v>0.31225050425095507</v>
      </c>
      <c r="E28" s="2044" t="s">
        <v>2146</v>
      </c>
      <c r="F28" s="2044">
        <f>IF(SUM('Table2(II).B-Hs2'!J94:M94,'Table2(II).B-Hs2'!J107:M107)=0,"NO",SUM('Table2(II).B-Hs2'!J94:M94,'Table2(II).B-Hs2'!J107:M107))</f>
        <v>4.6355357720729408E-3</v>
      </c>
      <c r="G28" s="2044">
        <f>IF(SUM('Table2(II).B-Hs2'!J95:M95,'Table2(II).B-Hs2'!J108:M108)=0,"NO",SUM('Table2(II).B-Hs2'!J95:M95,'Table2(II).B-Hs2'!J108:M108))</f>
        <v>5.6511722243702858</v>
      </c>
      <c r="H28" s="2044">
        <f>IF(SUM('Table2(II).B-Hs2'!J96:M96,'Table2(II).B-Hs2'!J109:M109)=0,"NO",SUM('Table2(II).B-Hs2'!J96:M96,'Table2(II).B-Hs2'!J109:M109))</f>
        <v>6.3270715739614696E-3</v>
      </c>
      <c r="I28" s="2044">
        <f>IF(SUM('Table2(II).B-Hs2'!J97:M97,'Table2(II).B-Hs2'!J110:M110)=0,"NO",SUM('Table2(II).B-Hs2'!J97:M97,'Table2(II).B-Hs2'!J110:M110))</f>
        <v>16.159086683314804</v>
      </c>
      <c r="J28" s="2044" t="s">
        <v>2146</v>
      </c>
      <c r="K28" s="2044">
        <f>IF(SUM('Table2(II).B-Hs2'!J98:M98,'Table2(II).B-Hs2'!J111:M111)=0,"NO",SUM('Table2(II).B-Hs2'!J98:M98,'Table2(II).B-Hs2'!J111:M111))</f>
        <v>0.54091837067332971</v>
      </c>
      <c r="L28" s="2044" t="s">
        <v>2146</v>
      </c>
      <c r="M28" s="2044" t="str">
        <f>IF(SUM('Table2(II).B-Hs2'!J99:M99,'Table2(II).B-Hs2'!J112:M112)=0,"NO",SUM('Table2(II).B-Hs2'!J99:M99,'Table2(II).B-Hs2'!J112:M112))</f>
        <v>NO</v>
      </c>
      <c r="N28" s="2044" t="s">
        <v>2146</v>
      </c>
      <c r="O28" s="2044">
        <f>IF(SUM('Table2(II).B-Hs2'!J100:M100,'Table2(II).B-Hs2'!J113:M113)=0,"NO",SUM('Table2(II).B-Hs2'!J100:M100,'Table2(II).B-Hs2'!J113:M113))</f>
        <v>0.19191192097219092</v>
      </c>
      <c r="P28" s="2044" t="s">
        <v>2146</v>
      </c>
      <c r="Q28" s="2044" t="s">
        <v>2146</v>
      </c>
      <c r="R28" s="2044">
        <f>IF(SUM('Table2(II).B-Hs2'!J101:M101,'Table2(II).B-Hs2'!J114:M114)=0,"NO",SUM('Table2(II).B-Hs2'!J101:M101,'Table2(II).B-Hs2'!J114:M114))</f>
        <v>2.0555788089543439E-5</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7.6475848089598204E-4</v>
      </c>
      <c r="D29" s="2044">
        <f>IF(SUM('Table2(II).B-Hs2'!J119:M119)=0,"NO",SUM('Table2(II).B-Hs2'!J119:M119))</f>
        <v>0.11953046552618468</v>
      </c>
      <c r="E29" s="2044" t="s">
        <v>2146</v>
      </c>
      <c r="F29" s="2044">
        <f>IF(SUM('Table2(II).B-Hs2'!J120:M120)=0,"NO",SUM('Table2(II).B-Hs2'!J120:M120))</f>
        <v>1.7744975308473525E-3</v>
      </c>
      <c r="G29" s="2044">
        <f>IF(SUM('Table2(II).B-Hs2'!J121:M121)=0,"NO",SUM('Table2(II).B-Hs2'!J121:M121))</f>
        <v>2.1632863279693453</v>
      </c>
      <c r="H29" s="2044">
        <f>IF(SUM('Table2(II).B-Hs2'!J122:M122)=0,"NO",SUM('Table2(II).B-Hs2'!J122:M122))</f>
        <v>2.4220227040699532E-3</v>
      </c>
      <c r="I29" s="2044">
        <f>IF(SUM('Table2(II).B-Hs2'!J123:M123)=0,"NO",SUM('Table2(II).B-Hs2'!J123:M123))</f>
        <v>6.1857487095753259</v>
      </c>
      <c r="J29" s="2044" t="s">
        <v>2146</v>
      </c>
      <c r="K29" s="2044">
        <f>IF(SUM('Table2(II).B-Hs2'!J124:M124)=0,"NO",SUM('Table2(II).B-Hs2'!J124:M124))</f>
        <v>0.20706523697487564</v>
      </c>
      <c r="L29" s="2044" t="s">
        <v>2146</v>
      </c>
      <c r="M29" s="2044" t="str">
        <f>IF(SUM('Table2(II).B-Hs2'!J125:M125)=0,"NO",SUM('Table2(II).B-Hs2'!J125:M125))</f>
        <v>NO</v>
      </c>
      <c r="N29" s="2044" t="s">
        <v>2146</v>
      </c>
      <c r="O29" s="2044">
        <f>IF(SUM('Table2(II).B-Hs2'!J126:M126)=0,"NO",SUM('Table2(II).B-Hs2'!J126:M126))</f>
        <v>7.3464481054589637E-2</v>
      </c>
      <c r="P29" s="2044" t="s">
        <v>2146</v>
      </c>
      <c r="Q29" s="2044" t="s">
        <v>2146</v>
      </c>
      <c r="R29" s="2044">
        <f>IF(SUM('Table2(II).B-Hs2'!J127:M127)=0,"NO",SUM('Table2(II).B-Hs2'!J127:M127))</f>
        <v>7.8688197013318829E-6</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3.9944875495275473E-3</v>
      </c>
      <c r="D30" s="2044">
        <f>IF(SUM('Table2(II).B-Hs2'!J133:M133)=0,"NO",SUM('Table2(II).B-Hs2'!J133:M133))</f>
        <v>0.62433169197965144</v>
      </c>
      <c r="E30" s="2044" t="s">
        <v>2146</v>
      </c>
      <c r="F30" s="2044">
        <f>IF(SUM('Table2(II).B-Hs2'!J134:M134)=0,"NO",SUM('Table2(II).B-Hs2'!J134:M134))</f>
        <v>9.2685579443756716E-3</v>
      </c>
      <c r="G30" s="2044">
        <f>IF(SUM('Table2(II).B-Hs2'!J135:M135)=0,"NO",SUM('Table2(II).B-Hs2'!J135:M135))</f>
        <v>11.299280124376995</v>
      </c>
      <c r="H30" s="2044">
        <f>IF(SUM('Table2(II).B-Hs2'!J136:M136)=0,"NO",SUM('Table2(II).B-Hs2'!J136:M136))</f>
        <v>1.2650712319980627E-2</v>
      </c>
      <c r="I30" s="2044">
        <f>IF(SUM('Table2(II).B-Hs2'!J137:M137)=0,"NO",SUM('Table2(II).B-Hs2'!J137:M137))</f>
        <v>32.309411169858592</v>
      </c>
      <c r="J30" s="2044" t="s">
        <v>2146</v>
      </c>
      <c r="K30" s="2044">
        <f>IF(SUM('Table2(II).B-Hs2'!J138:M138)=0,"NO",SUM('Table2(II).B-Hs2'!J138:M138))</f>
        <v>1.0815434306358633</v>
      </c>
      <c r="L30" s="2044" t="s">
        <v>2146</v>
      </c>
      <c r="M30" s="2044" t="str">
        <f>IF(SUM('Table2(II).B-Hs2'!J139:M139)=0,"NO",SUM('Table2(II).B-Hs2'!J139:M139))</f>
        <v>NO</v>
      </c>
      <c r="N30" s="2044" t="s">
        <v>2146</v>
      </c>
      <c r="O30" s="2044">
        <f>IF(SUM('Table2(II).B-Hs2'!J140:M140)=0,"NO",SUM('Table2(II).B-Hs2'!J140:M140))</f>
        <v>0.38371977851262878</v>
      </c>
      <c r="P30" s="2044" t="s">
        <v>2146</v>
      </c>
      <c r="Q30" s="2044" t="s">
        <v>2146</v>
      </c>
      <c r="R30" s="2044">
        <f>IF(SUM('Table2(II).B-Hs2'!J141:M141)=0,"NO",SUM('Table2(II).B-Hs2'!J141:M141))</f>
        <v>4.1100429889475732E-5</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3.1754069872057642E-3</v>
      </c>
      <c r="D31" s="2044">
        <f>IF(SUM('Table2(II).B-Hs2'!J148:M148)=0,"NO",SUM('Table2(II).B-Hs2'!J148:M148))</f>
        <v>0.49631077640501486</v>
      </c>
      <c r="E31" s="2044" t="s">
        <v>2146</v>
      </c>
      <c r="F31" s="2044">
        <f>IF(SUM('Table2(II).B-Hs2'!J149:M149)=0,"NO",SUM('Table2(II).B-Hs2'!J149:M149))</f>
        <v>7.3680148687340482E-3</v>
      </c>
      <c r="G31" s="2044">
        <f>IF(SUM('Table2(II).B-Hs2'!J150:M150)=0,"NO",SUM('Table2(II).B-Hs2'!J150:M150))</f>
        <v>8.9823319293073407</v>
      </c>
      <c r="H31" s="2044">
        <f>IF(SUM('Table2(II).B-Hs2'!J151:M151)=0,"NO",SUM('Table2(II).B-Hs2'!J151:M151))</f>
        <v>1.0056649268752339E-2</v>
      </c>
      <c r="I31" s="2044">
        <f>IF(SUM('Table2(II).B-Hs2'!J152:M152)=0,"NO",SUM('Table2(II).B-Hs2'!J152:M152))</f>
        <v>25.68427832336279</v>
      </c>
      <c r="J31" s="2044" t="s">
        <v>2146</v>
      </c>
      <c r="K31" s="2044">
        <f>IF(SUM('Table2(II).B-Hs2'!J153:M153)=0,"NO",SUM('Table2(II).B-Hs2'!J153:M153))</f>
        <v>0.85977000153970051</v>
      </c>
      <c r="L31" s="2044" t="s">
        <v>2146</v>
      </c>
      <c r="M31" s="2044" t="str">
        <f>IF(SUM('Table2(II).B-Hs2'!J154:M154)=0,"NO",SUM('Table2(II).B-Hs2'!J154:M154))</f>
        <v>NO</v>
      </c>
      <c r="N31" s="2044" t="s">
        <v>2146</v>
      </c>
      <c r="O31" s="2044">
        <f>IF(SUM('Table2(II).B-Hs2'!J155:M155)=0,"NO",SUM('Table2(II).B-Hs2'!J155:M155))</f>
        <v>0.30503699178187832</v>
      </c>
      <c r="P31" s="2044" t="s">
        <v>2146</v>
      </c>
      <c r="Q31" s="2044" t="s">
        <v>2146</v>
      </c>
      <c r="R31" s="2044">
        <f>IF(SUM('Table2(II).B-Hs2'!J156:M156)=0,"NO",SUM('Table2(II).B-Hs2'!J156:M156))</f>
        <v>3.2672674687304548E-5</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10.116868644868731</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9.4260484799066706</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0.69082016496206045</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1.7086869212963538</v>
      </c>
      <c r="D39" s="4196">
        <f t="shared" ref="D39:AK39" si="72">IF(SUM(D40:D45)=0,"NO",SUM(D40:D45))</f>
        <v>14.58088174879218</v>
      </c>
      <c r="E39" s="4196" t="str">
        <f t="shared" si="72"/>
        <v>NO</v>
      </c>
      <c r="F39" s="4196">
        <f t="shared" si="72"/>
        <v>0.52756484960420025</v>
      </c>
      <c r="G39" s="4196">
        <f t="shared" si="72"/>
        <v>1235.6337895817128</v>
      </c>
      <c r="H39" s="4196">
        <f t="shared" si="72"/>
        <v>0.4887792276715609</v>
      </c>
      <c r="I39" s="4196">
        <f t="shared" si="72"/>
        <v>1448.9457780189409</v>
      </c>
      <c r="J39" s="4196" t="str">
        <f t="shared" si="72"/>
        <v>NO</v>
      </c>
      <c r="K39" s="4196">
        <f t="shared" si="72"/>
        <v>179.08736204449008</v>
      </c>
      <c r="L39" s="4196" t="str">
        <f t="shared" si="72"/>
        <v>NO</v>
      </c>
      <c r="M39" s="4196" t="str">
        <f t="shared" si="72"/>
        <v>NO</v>
      </c>
      <c r="N39" s="4196" t="str">
        <f t="shared" si="72"/>
        <v>NO</v>
      </c>
      <c r="O39" s="4196">
        <f t="shared" si="72"/>
        <v>44.344394622338768</v>
      </c>
      <c r="P39" s="4196" t="str">
        <f t="shared" si="72"/>
        <v>NO</v>
      </c>
      <c r="Q39" s="4196" t="str">
        <f t="shared" si="72"/>
        <v>NO</v>
      </c>
      <c r="R39" s="4196">
        <f t="shared" si="72"/>
        <v>1.1427760880885042E-2</v>
      </c>
      <c r="S39" s="4196" t="str">
        <f t="shared" si="72"/>
        <v>NO</v>
      </c>
      <c r="T39" s="4196" t="str">
        <f t="shared" si="72"/>
        <v>NO</v>
      </c>
      <c r="U39" s="4196" t="str">
        <f t="shared" si="72"/>
        <v>NO</v>
      </c>
      <c r="V39" s="4196" t="str">
        <f t="shared" si="72"/>
        <v>NO</v>
      </c>
      <c r="W39" s="4196">
        <f t="shared" si="72"/>
        <v>2925.3286647757277</v>
      </c>
      <c r="X39" s="4196">
        <f t="shared" si="72"/>
        <v>1266.1344697679301</v>
      </c>
      <c r="Y39" s="4196">
        <f t="shared" si="72"/>
        <v>275.29514828127742</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1541.4296180492074</v>
      </c>
      <c r="AI39" s="4197" t="str">
        <f t="shared" si="72"/>
        <v>NO</v>
      </c>
      <c r="AJ39" s="4197">
        <f t="shared" si="72"/>
        <v>237.74641315441517</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1266.1344697679301</v>
      </c>
      <c r="Y41" s="4199">
        <f>IF(SUM(Y16)=0,"NO",Y16*11100/1000)</f>
        <v>275.29514828127742</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1541.4296180492074</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1.7086869212963538</v>
      </c>
      <c r="D43" s="4199">
        <f>IF(SUM(D26)=0,"NO",D26*677/1000)</f>
        <v>14.58088174879218</v>
      </c>
      <c r="E43" s="4199" t="str">
        <f>IF(SUM(E26)=0,"NO",E26*116/1000)</f>
        <v>NO</v>
      </c>
      <c r="F43" s="4199">
        <f>IF(SUM(F26)=0,"NO",F26*1650/1000)</f>
        <v>0.52756484960420025</v>
      </c>
      <c r="G43" s="4199">
        <f>IF(SUM(G26)=0,"NO",G26*3170/1000)</f>
        <v>1235.6337895817128</v>
      </c>
      <c r="H43" s="4199">
        <f>IF(SUM(H26)=0,"NO",H26*1120/1000)</f>
        <v>0.4887792276715609</v>
      </c>
      <c r="I43" s="4199">
        <f>IF(SUM(I26)=0,"NO",I26*1300/1000)</f>
        <v>1448.9457780189409</v>
      </c>
      <c r="J43" s="4199" t="str">
        <f>IF(SUM(J26)=0,"NO",J26*328/1000)</f>
        <v>NO</v>
      </c>
      <c r="K43" s="4199">
        <f>IF(SUM(K26)=0,"NO",K26*4800/1000)</f>
        <v>179.08736204449008</v>
      </c>
      <c r="L43" s="4199" t="str">
        <f>IF(SUM(L26)=0,"NO",L26*16/1000)</f>
        <v>NO</v>
      </c>
      <c r="M43" s="4199" t="str">
        <f>IF(SUM(M26)=0,"NO",M26*138/1000)</f>
        <v>NO</v>
      </c>
      <c r="N43" s="4199" t="str">
        <f>IF(SUM(N26)=0,"NO",N26*4/1000)</f>
        <v>NO</v>
      </c>
      <c r="O43" s="4199">
        <f>IF(SUM(O26)=0,"NO",O26*3350/1000)</f>
        <v>44.344394622338768</v>
      </c>
      <c r="P43" s="4199" t="str">
        <f>IF(SUM(P26)=0,"NO",P26*1210/1000)</f>
        <v>NO</v>
      </c>
      <c r="Q43" s="4199" t="str">
        <f>IF(SUM(Q26)=0,"NO",Q26*1330/1000)</f>
        <v>NO</v>
      </c>
      <c r="R43" s="4199">
        <f>IF(SUM(R26)=0,"NO",R26*8060/1000)</f>
        <v>1.1427760880885042E-2</v>
      </c>
      <c r="S43" s="4199" t="str">
        <f>IF(SUM(S26)=0,"NO",S26*716/1000)</f>
        <v>NO</v>
      </c>
      <c r="T43" s="4199" t="str">
        <f>IF(SUM(T26)=0,"NO",T26*858/1000)</f>
        <v>NO</v>
      </c>
      <c r="U43" s="4199" t="str">
        <f>IF(SUM(U26)=0,"NO",U26*804/1000)</f>
        <v>NO</v>
      </c>
      <c r="V43" s="4199" t="str">
        <f>IF(SUM(V26)=0,"NO",V26*1/1000)</f>
        <v>NO</v>
      </c>
      <c r="W43" s="4199">
        <f t="shared" si="73"/>
        <v>2925.3286647757277</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237.74641315441517</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6389.4246039360696</v>
      </c>
      <c r="I10" s="628"/>
      <c r="J10" s="628"/>
      <c r="K10" s="3192" t="str">
        <f>IF(SUM(K11:K14)=0,"NO",SUM(K11:K14))</f>
        <v>NO</v>
      </c>
      <c r="L10" s="3192" t="str">
        <f>IF(SUM(L11:L14)=0,"NO",SUM(L11:L14))</f>
        <v>NO</v>
      </c>
      <c r="M10" s="628"/>
      <c r="N10" s="1838"/>
    </row>
    <row r="11" spans="2:14" ht="18" customHeight="1" x14ac:dyDescent="0.2">
      <c r="B11" s="287" t="s">
        <v>491</v>
      </c>
      <c r="C11" s="2099" t="s">
        <v>2181</v>
      </c>
      <c r="D11" s="691">
        <v>6491.82</v>
      </c>
      <c r="E11" s="1913">
        <f>IF(SUM($D11)=0,"NA",H11/$D11)</f>
        <v>0.54755755027095643</v>
      </c>
      <c r="F11" s="628"/>
      <c r="G11" s="628"/>
      <c r="H11" s="3180">
        <v>3554.6450560000003</v>
      </c>
      <c r="I11" s="628"/>
      <c r="J11" s="628"/>
      <c r="K11" s="3180" t="s">
        <v>2146</v>
      </c>
      <c r="L11" s="691" t="s">
        <v>2146</v>
      </c>
      <c r="M11" s="628"/>
      <c r="N11" s="1838"/>
    </row>
    <row r="12" spans="2:14" ht="18" customHeight="1" x14ac:dyDescent="0.2">
      <c r="B12" s="287" t="s">
        <v>492</v>
      </c>
      <c r="C12" s="2100" t="s">
        <v>2182</v>
      </c>
      <c r="D12" s="691">
        <v>1625.0368929599999</v>
      </c>
      <c r="E12" s="1913">
        <f>IF(SUM($D12)=0,"NA",H12/$D12)</f>
        <v>0.74908493607303994</v>
      </c>
      <c r="F12" s="628"/>
      <c r="G12" s="628"/>
      <c r="H12" s="3180">
        <v>1217.2906570792729</v>
      </c>
      <c r="I12" s="628"/>
      <c r="J12" s="628"/>
      <c r="K12" s="3180" t="s">
        <v>2146</v>
      </c>
      <c r="L12" s="691" t="s">
        <v>2146</v>
      </c>
      <c r="M12" s="628"/>
      <c r="N12" s="1838"/>
    </row>
    <row r="13" spans="2:14" ht="18" customHeight="1" x14ac:dyDescent="0.2">
      <c r="B13" s="287" t="s">
        <v>493</v>
      </c>
      <c r="C13" s="2100" t="s">
        <v>2267</v>
      </c>
      <c r="D13" s="691">
        <v>256.92693733464483</v>
      </c>
      <c r="E13" s="1913">
        <f>IF(SUM($D13)=0,"NA",H13/$D13)</f>
        <v>0.39573900000000001</v>
      </c>
      <c r="F13" s="628"/>
      <c r="G13" s="628"/>
      <c r="H13" s="3180">
        <v>101.67600925387501</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1515.8128816029212</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37.964438519280009</v>
      </c>
      <c r="I15" s="628"/>
      <c r="J15" s="628"/>
      <c r="K15" s="3180" t="s">
        <v>2146</v>
      </c>
      <c r="L15" s="691" t="s">
        <v>2146</v>
      </c>
      <c r="M15" s="628"/>
      <c r="N15" s="1838"/>
    </row>
    <row r="16" spans="2:14" ht="18" customHeight="1" x14ac:dyDescent="0.2">
      <c r="B16" s="160" t="s">
        <v>496</v>
      </c>
      <c r="C16" s="484" t="s">
        <v>2316</v>
      </c>
      <c r="D16" s="2905">
        <v>390.779</v>
      </c>
      <c r="E16" s="1913">
        <f>IF(SUM($D16)=0,"NA",H16/$D16)</f>
        <v>0.41492000000000001</v>
      </c>
      <c r="F16" s="628"/>
      <c r="G16" s="628"/>
      <c r="H16" s="3180">
        <v>162.14202268</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1315.7064204036412</v>
      </c>
      <c r="I18" s="628"/>
      <c r="J18" s="628"/>
      <c r="K18" s="3181" t="str">
        <f>K19</f>
        <v>NO</v>
      </c>
      <c r="L18" s="3193" t="str">
        <f>L19</f>
        <v>NO</v>
      </c>
      <c r="M18" s="628"/>
      <c r="N18" s="1838"/>
    </row>
    <row r="19" spans="2:14" ht="18" customHeight="1" x14ac:dyDescent="0.2">
      <c r="B19" s="3182" t="s">
        <v>2265</v>
      </c>
      <c r="C19" s="484" t="s">
        <v>2267</v>
      </c>
      <c r="D19" s="2905">
        <v>1985.4990626653553</v>
      </c>
      <c r="E19" s="1913">
        <f>IF(SUM($D19)=0,"NA",H19/$D19)</f>
        <v>0.41427260185554626</v>
      </c>
      <c r="F19" s="628"/>
      <c r="G19" s="628"/>
      <c r="H19" s="3180">
        <v>822.53786267212502</v>
      </c>
      <c r="I19" s="628"/>
      <c r="J19" s="628"/>
      <c r="K19" s="3180" t="s">
        <v>2146</v>
      </c>
      <c r="L19" s="3180" t="s">
        <v>2146</v>
      </c>
      <c r="M19" s="628"/>
      <c r="N19" s="1838"/>
    </row>
    <row r="20" spans="2:14" ht="18" customHeight="1" x14ac:dyDescent="0.2">
      <c r="B20" s="3183" t="s">
        <v>2264</v>
      </c>
      <c r="C20" s="484" t="s">
        <v>2267</v>
      </c>
      <c r="D20" s="2905">
        <v>456.86739871504767</v>
      </c>
      <c r="E20" s="1913">
        <f>IF(SUM($D20)=0,"NA",H20/$D20)</f>
        <v>0.51229595421310137</v>
      </c>
      <c r="F20" s="628"/>
      <c r="G20" s="628"/>
      <c r="H20" s="3180">
        <v>234.05131997358276</v>
      </c>
      <c r="I20" s="628"/>
      <c r="J20" s="628"/>
      <c r="K20" s="3180" t="s">
        <v>2146</v>
      </c>
      <c r="L20" s="3180" t="s">
        <v>2146</v>
      </c>
      <c r="M20" s="2135"/>
      <c r="N20" s="2149"/>
    </row>
    <row r="21" spans="2:14" ht="18" customHeight="1" thickBot="1" x14ac:dyDescent="0.25">
      <c r="B21" s="3183" t="s">
        <v>2266</v>
      </c>
      <c r="C21" s="484" t="s">
        <v>2267</v>
      </c>
      <c r="D21" s="2905">
        <v>1092.3706080333332</v>
      </c>
      <c r="E21" s="1913">
        <f>IF(SUM($D21)=0,"NA",H21/$D21)</f>
        <v>0.23720634357275441</v>
      </c>
      <c r="F21" s="628"/>
      <c r="G21" s="628"/>
      <c r="H21" s="3180">
        <v>259.11723775793348</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2845.4770039920595</v>
      </c>
      <c r="I22" s="3067">
        <f>IF(SUM(I23:I26,I30,I33:I35,I47)=0,"IE",SUM(I23:I26,I30,I33:I35,I47))</f>
        <v>0.55288379999999993</v>
      </c>
      <c r="J22" s="3067">
        <f>IF(SUM(J23:J26,J30,J33:J35,J47)=0,"IE",SUM(J23:J26,J30,J33:J35,J47))</f>
        <v>8.2630274299999993</v>
      </c>
      <c r="K22" s="3067">
        <f>IF(SUM(K23:K26,K30,K33:K35,K47)=0,"NO",SUM(K23:K26,K30,K33:K35,K47))</f>
        <v>-272.85399999999998</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1178.7675471878051</v>
      </c>
      <c r="E23" s="1913">
        <f>IF(SUM($D23)=0,"NA",H23/$D23)</f>
        <v>1.4199409736494661</v>
      </c>
      <c r="F23" s="1913" t="str">
        <f>IFERROR(IF(SUM($D23)=0,"NA",I23/$D23),"NA")</f>
        <v>NA</v>
      </c>
      <c r="G23" s="1913" t="str">
        <f>IFERROR(IF(SUM($D23)=0,"NA",J23/$D23),"NA")</f>
        <v>NA</v>
      </c>
      <c r="H23" s="691">
        <v>1673.780338660245</v>
      </c>
      <c r="I23" s="691" t="s">
        <v>2146</v>
      </c>
      <c r="J23" s="691" t="s">
        <v>2146</v>
      </c>
      <c r="K23" s="3180">
        <v>-272.85399999999998</v>
      </c>
      <c r="L23" s="691" t="s">
        <v>2146</v>
      </c>
      <c r="M23" s="691" t="s">
        <v>2146</v>
      </c>
      <c r="N23" s="2911" t="s">
        <v>2146</v>
      </c>
    </row>
    <row r="24" spans="2:14" ht="18" customHeight="1" x14ac:dyDescent="0.2">
      <c r="B24" s="287" t="s">
        <v>500</v>
      </c>
      <c r="C24" s="484" t="s">
        <v>220</v>
      </c>
      <c r="D24" s="691">
        <v>755.71799999999996</v>
      </c>
      <c r="E24" s="2108"/>
      <c r="F24" s="2108"/>
      <c r="G24" s="1913">
        <f>IF(SUM($D24)=0,"NA",J24/$D24)</f>
        <v>1.0934009021883824E-2</v>
      </c>
      <c r="H24" s="2108"/>
      <c r="I24" s="2108"/>
      <c r="J24" s="691">
        <v>8.2630274299999993</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997.54552190934987</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46.86107299999999</v>
      </c>
      <c r="I35" s="3196">
        <f>I46</f>
        <v>0.55288379999999993</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46.86107299999999</v>
      </c>
      <c r="I42" s="3198">
        <f>IF(SUM(I44:I45)=0,"NO",SUM(I44:I45))</f>
        <v>0.55288379999999993</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46.86107299999999</v>
      </c>
      <c r="I45" s="3198">
        <f>I46</f>
        <v>0.55288379999999993</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46.86107299999999</v>
      </c>
      <c r="I46" s="691">
        <v>0.55288379999999993</v>
      </c>
      <c r="J46" s="628"/>
      <c r="K46" s="691" t="s">
        <v>2146</v>
      </c>
      <c r="L46" s="691" t="s">
        <v>2146</v>
      </c>
      <c r="M46" s="691" t="s">
        <v>2146</v>
      </c>
      <c r="N46" s="1838"/>
    </row>
    <row r="47" spans="2:16" ht="18" customHeight="1" x14ac:dyDescent="0.2">
      <c r="B47" s="287" t="s">
        <v>520</v>
      </c>
      <c r="C47" s="2104"/>
      <c r="D47" s="628"/>
      <c r="E47" s="628"/>
      <c r="F47" s="628"/>
      <c r="G47" s="628"/>
      <c r="H47" s="3198">
        <f>H50</f>
        <v>127.29007042246495</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127.29007042246495</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127.29007042246495</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14357.155159378397</v>
      </c>
      <c r="I52" s="3192">
        <f>IF(SUM(I53,I62:I67)=0,"IE",SUM(I53,I62:I67))</f>
        <v>2.898988941649618</v>
      </c>
      <c r="J52" s="1909">
        <f>J67</f>
        <v>9.3606910625872897E-2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1876.9999999999995</v>
      </c>
      <c r="E63" s="4130">
        <f>IF(SUM($D63)=0,"NA",H63/$D63)</f>
        <v>1.6358097480183458</v>
      </c>
      <c r="F63" s="1892"/>
      <c r="G63" s="2107"/>
      <c r="H63" s="691">
        <v>3070.4148970304341</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11286.740262347963</v>
      </c>
      <c r="I67" s="3199">
        <f t="shared" ref="I67:N67" si="8">IF(SUM(I69:I70)=0,I70,SUM(I69:I70))</f>
        <v>2.898988941649618</v>
      </c>
      <c r="J67" s="3199">
        <f t="shared" si="8"/>
        <v>9.3606910625872897E-2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11286.740262347963</v>
      </c>
      <c r="I70" s="3095">
        <f t="shared" si="9"/>
        <v>2.898988941649618</v>
      </c>
      <c r="J70" s="3095">
        <f t="shared" si="9"/>
        <v>9.3606910625872897E-2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11286.740262347963</v>
      </c>
      <c r="I71" s="3123">
        <v>2.898988941649618</v>
      </c>
      <c r="J71" s="3123">
        <v>9.3606910625872897E-2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331.19102349999997</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618.55600000000004</v>
      </c>
      <c r="E73" s="4130">
        <f t="shared" ref="E73:G74" si="11">IF(SUM($D73)=0,"NA",H73/$D73)</f>
        <v>0.53542609480790737</v>
      </c>
      <c r="F73" s="276" t="s">
        <v>2147</v>
      </c>
      <c r="G73" s="276" t="s">
        <v>2147</v>
      </c>
      <c r="H73" s="3122">
        <v>331.19102349999997</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321.500454545455</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165.00635080543125</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165.00635080543125</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215.77187297064793</v>
      </c>
      <c r="H22" s="2611" t="str">
        <f>H23</f>
        <v>NO</v>
      </c>
    </row>
    <row r="23" spans="2:8" ht="18" customHeight="1" x14ac:dyDescent="0.2">
      <c r="B23" s="169" t="s">
        <v>636</v>
      </c>
      <c r="C23" s="2507"/>
      <c r="D23" s="76"/>
      <c r="E23" s="76"/>
      <c r="F23" s="4322"/>
      <c r="G23" s="3188">
        <f>IF(SUM(G24,G27)=0,"NO",SUM(G24,G27))</f>
        <v>215.77187297064793</v>
      </c>
      <c r="H23" s="2611" t="str">
        <f>H24</f>
        <v>NO</v>
      </c>
    </row>
    <row r="24" spans="2:8" ht="18" customHeight="1" x14ac:dyDescent="0.2">
      <c r="B24" s="171" t="s">
        <v>637</v>
      </c>
      <c r="C24" s="2507"/>
      <c r="D24" s="76"/>
      <c r="E24" s="76"/>
      <c r="F24" s="4322"/>
      <c r="G24" s="3188">
        <f>IF(SUM(G25:G26)=0,"NO",SUM(G25:G26))</f>
        <v>215.77187297064793</v>
      </c>
      <c r="H24" s="2611" t="str">
        <f>H25</f>
        <v>NO</v>
      </c>
    </row>
    <row r="25" spans="2:8" ht="18" customHeight="1" x14ac:dyDescent="0.25">
      <c r="B25" s="2609" t="s">
        <v>1741</v>
      </c>
      <c r="C25" s="2620" t="s">
        <v>1741</v>
      </c>
      <c r="D25" s="73" t="s">
        <v>638</v>
      </c>
      <c r="E25" s="691">
        <v>1876999.9999999995</v>
      </c>
      <c r="F25" s="4320">
        <f t="shared" ref="F25:F28" si="2">IF(SUM(E25)=0,"NA",G25*1000/E25)</f>
        <v>0.101742412499</v>
      </c>
      <c r="G25" s="691">
        <v>190.97050826062295</v>
      </c>
      <c r="H25" s="2610" t="s">
        <v>2146</v>
      </c>
    </row>
    <row r="26" spans="2:8" ht="18" customHeight="1" x14ac:dyDescent="0.25">
      <c r="B26" s="2609" t="s">
        <v>1742</v>
      </c>
      <c r="C26" s="2620" t="s">
        <v>1742</v>
      </c>
      <c r="D26" s="73" t="s">
        <v>638</v>
      </c>
      <c r="E26" s="691">
        <v>1876999.9999999995</v>
      </c>
      <c r="F26" s="4320">
        <f t="shared" si="2"/>
        <v>1.3213300325E-2</v>
      </c>
      <c r="G26" s="691">
        <v>24.801364710024995</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48.384228763710723</v>
      </c>
      <c r="K10" s="3224">
        <f>IF(SUM(K11,K90,K117,K130,K146,K159)=0,"NO",SUM(K11,K90,K117,K130,K146,K159))</f>
        <v>1383.2420335566553</v>
      </c>
      <c r="L10" s="3225">
        <f>IF(SUM(L11,L90,L117,L130,L146,L159)=0,"NO",SUM(L11,L90,L117,L130,L146,L159))</f>
        <v>351.68631787427552</v>
      </c>
      <c r="M10" s="3498">
        <f>IF(SUM(M11,M90,M117,M130,M146,M159)=0,"NO",SUM(M11,M90,M117,M130,M146,M159))</f>
        <v>-205.96921302424343</v>
      </c>
    </row>
    <row r="11" spans="1:13" ht="18" customHeight="1" x14ac:dyDescent="0.2">
      <c r="B11" s="147" t="s">
        <v>667</v>
      </c>
      <c r="C11" s="2508"/>
      <c r="D11" s="2108"/>
      <c r="E11" s="2108"/>
      <c r="F11" s="2108"/>
      <c r="G11" s="2108"/>
      <c r="H11" s="2108"/>
      <c r="I11" s="2108"/>
      <c r="J11" s="3103">
        <f>IF(SUM(J12,J25,J38,J51,J64,J77)=0,"NO",SUM(J12,J25,J38,J51,J64,J77))</f>
        <v>27.646924507380227</v>
      </c>
      <c r="K11" s="3103">
        <f t="shared" ref="K11:M11" si="0">IF(SUM(K12,K25,K38,K51,K64,K77)=0,"NO",SUM(K12,K25,K38,K51,K64,K77))</f>
        <v>1301.5280194434449</v>
      </c>
      <c r="L11" s="3103">
        <f t="shared" si="0"/>
        <v>336.73525269891138</v>
      </c>
      <c r="M11" s="3226">
        <f t="shared" si="0"/>
        <v>-202.26181631991378</v>
      </c>
    </row>
    <row r="12" spans="1:13" ht="18" customHeight="1" x14ac:dyDescent="0.2">
      <c r="B12" s="104" t="s">
        <v>668</v>
      </c>
      <c r="C12" s="2508"/>
      <c r="D12" s="2108"/>
      <c r="E12" s="2108"/>
      <c r="F12" s="2108"/>
      <c r="G12" s="2108"/>
      <c r="H12" s="2108"/>
      <c r="I12" s="2108"/>
      <c r="J12" s="3103">
        <f>IF(SUM(J13:J24)=0,"NO",SUM(J13:J24))</f>
        <v>17.293268654697233</v>
      </c>
      <c r="K12" s="3103">
        <f>IF(SUM(K13:K24)=0,"NO",SUM(K13:K24))</f>
        <v>670.13146726242019</v>
      </c>
      <c r="L12" s="3103">
        <f>IF(SUM(L13:L24)=0,"NO",SUM(L13:L24))</f>
        <v>52.65597075024634</v>
      </c>
      <c r="M12" s="3226">
        <f>IF(SUM(M13:M24)=0,"NO",SUM(M13:M24))</f>
        <v>-18.306526674032661</v>
      </c>
    </row>
    <row r="13" spans="1:13" ht="18" customHeight="1" x14ac:dyDescent="0.2">
      <c r="B13" s="2616" t="s">
        <v>559</v>
      </c>
      <c r="C13" s="2618" t="s">
        <v>559</v>
      </c>
      <c r="D13" s="3227">
        <v>8.6328382919730481E-2</v>
      </c>
      <c r="E13" s="3227">
        <v>0.44836276508068718</v>
      </c>
      <c r="F13" s="3227">
        <v>6.199311479272749E-3</v>
      </c>
      <c r="G13" s="3103">
        <f>IF(SUM(D13)=0,"NA",J13/D13)</f>
        <v>1.7500000000000002E-2</v>
      </c>
      <c r="H13" s="3103">
        <f>IF(SUM(E13)=0,"NA",K13/E13)</f>
        <v>0.13057049149437644</v>
      </c>
      <c r="I13" s="3103">
        <f>IF(SUM(F13)=0,"NA",(SUM(L13:M13))/F13)</f>
        <v>0.48405066511175743</v>
      </c>
      <c r="J13" s="3227">
        <v>1.5107467010952837E-3</v>
      </c>
      <c r="K13" s="3227">
        <v>5.8542946604362961E-2</v>
      </c>
      <c r="L13" s="3227">
        <v>4.6000461620248345E-3</v>
      </c>
      <c r="M13" s="3497">
        <v>-1.5992653172479075E-3</v>
      </c>
    </row>
    <row r="14" spans="1:13" ht="18" customHeight="1" x14ac:dyDescent="0.2">
      <c r="B14" s="2616" t="s">
        <v>560</v>
      </c>
      <c r="C14" s="2618" t="s">
        <v>560</v>
      </c>
      <c r="D14" s="3227">
        <v>13.492981191171163</v>
      </c>
      <c r="E14" s="3227">
        <v>70.078346789842698</v>
      </c>
      <c r="F14" s="3227">
        <v>0.96894196739229066</v>
      </c>
      <c r="G14" s="3103">
        <f t="shared" ref="G14:G24" si="1">IF(SUM(D14)=0,"NA",J14/D14)</f>
        <v>1.7499999999999998E-2</v>
      </c>
      <c r="H14" s="3103">
        <f t="shared" ref="H14:H24" si="2">IF(SUM(E14)=0,"NA",K14/E14)</f>
        <v>0.13057049149437644</v>
      </c>
      <c r="I14" s="3103">
        <f t="shared" ref="I14:I78" si="3">IF(SUM(F14)=0,"NA",(SUM(L14:M14))/F14)</f>
        <v>0.48405066511175576</v>
      </c>
      <c r="J14" s="3227">
        <v>0.23612717084549534</v>
      </c>
      <c r="K14" s="3227">
        <v>9.1501641834631187</v>
      </c>
      <c r="L14" s="3227">
        <v>0.71897948558160962</v>
      </c>
      <c r="M14" s="3497">
        <v>-0.24996248181067818</v>
      </c>
    </row>
    <row r="15" spans="1:13" ht="18" customHeight="1" x14ac:dyDescent="0.2">
      <c r="B15" s="2616" t="s">
        <v>562</v>
      </c>
      <c r="C15" s="2618" t="s">
        <v>562</v>
      </c>
      <c r="D15" s="3227">
        <v>0.2003109558898013</v>
      </c>
      <c r="E15" s="3227">
        <v>1.0403527903704104</v>
      </c>
      <c r="F15" s="3227">
        <v>1.438449286634245E-2</v>
      </c>
      <c r="G15" s="3103">
        <f t="shared" ref="G15" si="4">IF(SUM(D15)=0,"NA",J15/D15)</f>
        <v>1.7500000000000002E-2</v>
      </c>
      <c r="H15" s="3103">
        <f t="shared" ref="H15" si="5">IF(SUM(E15)=0,"NA",K15/E15)</f>
        <v>0.13057049149437641</v>
      </c>
      <c r="I15" s="3103">
        <f t="shared" si="3"/>
        <v>0.48405066511175748</v>
      </c>
      <c r="J15" s="3227">
        <v>3.505441728071523E-3</v>
      </c>
      <c r="K15" s="3227">
        <v>0.13583937516621045</v>
      </c>
      <c r="L15" s="3227">
        <v>1.0673658102795414E-2</v>
      </c>
      <c r="M15" s="3497">
        <v>-3.71083476354702E-3</v>
      </c>
    </row>
    <row r="16" spans="1:13" ht="18" customHeight="1" x14ac:dyDescent="0.2">
      <c r="B16" s="2616" t="s">
        <v>563</v>
      </c>
      <c r="C16" s="2618" t="s">
        <v>563</v>
      </c>
      <c r="D16" s="3227">
        <v>244.19867860393995</v>
      </c>
      <c r="E16" s="3227">
        <v>1268.2919691628854</v>
      </c>
      <c r="F16" s="3227">
        <v>17.536105974558289</v>
      </c>
      <c r="G16" s="3103">
        <f t="shared" si="1"/>
        <v>1.7500000000000002E-2</v>
      </c>
      <c r="H16" s="3103">
        <f t="shared" si="2"/>
        <v>0.13057049149437641</v>
      </c>
      <c r="I16" s="3103">
        <f t="shared" si="3"/>
        <v>0.48405066511175648</v>
      </c>
      <c r="J16" s="3227">
        <v>4.2734768755689494</v>
      </c>
      <c r="K16" s="3227">
        <v>165.60150577196845</v>
      </c>
      <c r="L16" s="3227">
        <v>13.01223486750672</v>
      </c>
      <c r="M16" s="3497">
        <v>-4.5238711070515327</v>
      </c>
    </row>
    <row r="17" spans="2:13" ht="18" customHeight="1" x14ac:dyDescent="0.2">
      <c r="B17" s="2616" t="s">
        <v>564</v>
      </c>
      <c r="C17" s="2618" t="s">
        <v>564</v>
      </c>
      <c r="D17" s="3227">
        <v>0.27340566814279116</v>
      </c>
      <c r="E17" s="3227">
        <v>1.4199839868565132</v>
      </c>
      <c r="F17" s="3227">
        <v>1.9633483678152656E-2</v>
      </c>
      <c r="G17" s="3103">
        <f t="shared" si="1"/>
        <v>1.7500000000000002E-2</v>
      </c>
      <c r="H17" s="3103">
        <f t="shared" si="2"/>
        <v>0.13057049149437638</v>
      </c>
      <c r="I17" s="3103">
        <f t="shared" si="3"/>
        <v>0.48405066511175882</v>
      </c>
      <c r="J17" s="3227">
        <v>4.7845991924988455E-3</v>
      </c>
      <c r="K17" s="3227">
        <v>0.18540800707799904</v>
      </c>
      <c r="L17" s="3227">
        <v>1.4568542255511657E-2</v>
      </c>
      <c r="M17" s="3497">
        <v>-5.0649414226410037E-3</v>
      </c>
    </row>
    <row r="18" spans="2:13" ht="18" customHeight="1" x14ac:dyDescent="0.2">
      <c r="B18" s="2616" t="s">
        <v>565</v>
      </c>
      <c r="C18" s="2618" t="s">
        <v>565</v>
      </c>
      <c r="D18" s="3227">
        <v>698.26709554082049</v>
      </c>
      <c r="E18" s="3227">
        <v>3626.5820710744306</v>
      </c>
      <c r="F18" s="3227">
        <v>50.143128766927262</v>
      </c>
      <c r="G18" s="3103">
        <f t="shared" si="1"/>
        <v>1.7500000000000002E-2</v>
      </c>
      <c r="H18" s="3103">
        <f t="shared" si="2"/>
        <v>0.13057049149437641</v>
      </c>
      <c r="I18" s="3103">
        <f t="shared" si="3"/>
        <v>0.4840506651117582</v>
      </c>
      <c r="J18" s="3227">
        <v>12.21967417196436</v>
      </c>
      <c r="K18" s="3227">
        <v>473.52460346488192</v>
      </c>
      <c r="L18" s="3227">
        <v>37.207471798671463</v>
      </c>
      <c r="M18" s="3497">
        <v>-12.935656968255783</v>
      </c>
    </row>
    <row r="19" spans="2:13" ht="18" customHeight="1" x14ac:dyDescent="0.2">
      <c r="B19" s="2616" t="s">
        <v>567</v>
      </c>
      <c r="C19" s="2618" t="s">
        <v>567</v>
      </c>
      <c r="D19" s="3227">
        <v>23.374186116888758</v>
      </c>
      <c r="E19" s="3227">
        <v>121.3982512405385</v>
      </c>
      <c r="F19" s="3227">
        <v>1.6785193399002982</v>
      </c>
      <c r="G19" s="3103">
        <f t="shared" si="1"/>
        <v>1.7499999999999998E-2</v>
      </c>
      <c r="H19" s="3103">
        <f t="shared" si="2"/>
        <v>0.13057049149437644</v>
      </c>
      <c r="I19" s="3103">
        <f t="shared" si="3"/>
        <v>0.48405066511175682</v>
      </c>
      <c r="J19" s="3227">
        <v>0.40904825704555325</v>
      </c>
      <c r="K19" s="3227">
        <v>15.851029331034905</v>
      </c>
      <c r="L19" s="3227">
        <v>1.2455038713909907</v>
      </c>
      <c r="M19" s="3497">
        <v>-0.43301546850930439</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v>8.2929055511089018</v>
      </c>
      <c r="E21" s="3227">
        <v>43.070771601333448</v>
      </c>
      <c r="F21" s="3227">
        <v>0.59552030098045783</v>
      </c>
      <c r="G21" s="3103">
        <f t="shared" si="1"/>
        <v>1.7500000000000002E-2</v>
      </c>
      <c r="H21" s="3103">
        <f t="shared" si="2"/>
        <v>0.13057049149437644</v>
      </c>
      <c r="I21" s="3103">
        <f t="shared" si="3"/>
        <v>0.48405066511175759</v>
      </c>
      <c r="J21" s="3227">
        <v>0.1451258471444058</v>
      </c>
      <c r="K21" s="3227">
        <v>5.623771817028139</v>
      </c>
      <c r="L21" s="3227">
        <v>0.44189114937880092</v>
      </c>
      <c r="M21" s="3497">
        <v>-0.15362915160165627</v>
      </c>
    </row>
    <row r="22" spans="2:13" ht="18" customHeight="1" x14ac:dyDescent="0.2">
      <c r="B22" s="2616" t="s">
        <v>574</v>
      </c>
      <c r="C22" s="2618" t="s">
        <v>574</v>
      </c>
      <c r="D22" s="3227">
        <v>8.8825753132810645E-4</v>
      </c>
      <c r="E22" s="3227">
        <v>1.6455284699052251</v>
      </c>
      <c r="F22" s="3227">
        <v>6.3786496680158091E-5</v>
      </c>
      <c r="G22" s="3103">
        <f t="shared" si="1"/>
        <v>1.7500000000000005E-2</v>
      </c>
      <c r="H22" s="3103">
        <f t="shared" si="2"/>
        <v>3.6606184955273105E-4</v>
      </c>
      <c r="I22" s="3103">
        <f t="shared" si="3"/>
        <v>0.48405066511175848</v>
      </c>
      <c r="J22" s="3227">
        <v>1.5544506798241867E-5</v>
      </c>
      <c r="K22" s="3227">
        <v>6.0236519518518225E-4</v>
      </c>
      <c r="L22" s="3227">
        <v>4.7331196411668787E-5</v>
      </c>
      <c r="M22" s="3497">
        <v>-1.645530026848929E-5</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f>IF(SUM(J26:J37)=0,"NO",SUM(J26:J37))</f>
        <v>7.506781067265926E-2</v>
      </c>
      <c r="K25" s="3103">
        <f>IF(SUM(K26:K37)=0,"NO",SUM(K26:K37))</f>
        <v>9.7333579140896358</v>
      </c>
      <c r="L25" s="3103">
        <f>IF(SUM(L26:L37)=0,"NO",SUM(L26:L37))</f>
        <v>15.154174494751382</v>
      </c>
      <c r="M25" s="3226">
        <f>IF(SUM(M26:M37)=0,"NO",SUM(M26:M37))</f>
        <v>-4.3231856219860978</v>
      </c>
    </row>
    <row r="26" spans="2:13" ht="18" customHeight="1" x14ac:dyDescent="0.2">
      <c r="B26" s="2616" t="s">
        <v>559</v>
      </c>
      <c r="C26" s="2618" t="s">
        <v>559</v>
      </c>
      <c r="D26" s="3227">
        <v>1.0929922078993541E-3</v>
      </c>
      <c r="E26" s="3227">
        <v>5.1215894886884383E-2</v>
      </c>
      <c r="F26" s="3227">
        <v>1.7015497839047004E-3</v>
      </c>
      <c r="G26" s="3103">
        <f>IF(SUM(D26)=0,"NA",J26/D26)</f>
        <v>6.0000000000000019E-3</v>
      </c>
      <c r="H26" s="3103">
        <f>IF(SUM(E26)=0,"NA",K26/E26)</f>
        <v>1.6602461974516321E-2</v>
      </c>
      <c r="I26" s="3103">
        <f t="shared" si="3"/>
        <v>0.55608094771826355</v>
      </c>
      <c r="J26" s="3227">
        <v>6.557953247396126E-6</v>
      </c>
      <c r="K26" s="3227">
        <v>8.503099473503228E-4</v>
      </c>
      <c r="L26" s="3227">
        <v>1.3238746001641164E-3</v>
      </c>
      <c r="M26" s="3497">
        <v>-3.7767518374058411E-4</v>
      </c>
    </row>
    <row r="27" spans="2:13" ht="18" customHeight="1" x14ac:dyDescent="0.2">
      <c r="B27" s="2616" t="s">
        <v>560</v>
      </c>
      <c r="C27" s="2618" t="s">
        <v>560</v>
      </c>
      <c r="D27" s="3227">
        <v>0.17083284551959343</v>
      </c>
      <c r="E27" s="3227">
        <v>8.0049583118020919</v>
      </c>
      <c r="F27" s="3227">
        <v>0.26594937207864888</v>
      </c>
      <c r="G27" s="3103">
        <f t="shared" ref="G27:G37" si="6">IF(SUM(D27)=0,"NA",J27/D27)</f>
        <v>6.000000000000001E-3</v>
      </c>
      <c r="H27" s="3103">
        <f t="shared" ref="H27:H37" si="7">IF(SUM(E27)=0,"NA",K27/E27)</f>
        <v>1.6602461974516321E-2</v>
      </c>
      <c r="I27" s="3103">
        <f t="shared" si="3"/>
        <v>0.55608094771826366</v>
      </c>
      <c r="J27" s="3227">
        <v>1.0249970731175608E-3</v>
      </c>
      <c r="K27" s="3227">
        <v>0.13290201597928258</v>
      </c>
      <c r="L27" s="3227">
        <v>0.20691937547461053</v>
      </c>
      <c r="M27" s="3497">
        <v>-5.9029996604038362E-2</v>
      </c>
    </row>
    <row r="28" spans="2:13" ht="18" customHeight="1" x14ac:dyDescent="0.2">
      <c r="B28" s="2616" t="s">
        <v>562</v>
      </c>
      <c r="C28" s="2618" t="s">
        <v>562</v>
      </c>
      <c r="D28" s="3227">
        <v>2.5361104487268854E-3</v>
      </c>
      <c r="E28" s="3227">
        <v>0.1188381447047662</v>
      </c>
      <c r="F28" s="3227">
        <v>3.9481692136519343E-3</v>
      </c>
      <c r="G28" s="3103">
        <f t="shared" si="6"/>
        <v>6.0000000000000001E-3</v>
      </c>
      <c r="H28" s="3103">
        <f t="shared" si="7"/>
        <v>1.6602461974516321E-2</v>
      </c>
      <c r="I28" s="3103">
        <f t="shared" si="3"/>
        <v>0.55608094771826333</v>
      </c>
      <c r="J28" s="3227">
        <v>1.5216662692361313E-5</v>
      </c>
      <c r="K28" s="3227">
        <v>1.9730057785829489E-3</v>
      </c>
      <c r="L28" s="3227">
        <v>3.0718354458657863E-3</v>
      </c>
      <c r="M28" s="3497">
        <v>-8.7633376778614778E-4</v>
      </c>
    </row>
    <row r="29" spans="2:13" ht="18" customHeight="1" x14ac:dyDescent="0.2">
      <c r="B29" s="2616" t="s">
        <v>563</v>
      </c>
      <c r="C29" s="2618" t="s">
        <v>563</v>
      </c>
      <c r="D29" s="3227">
        <v>3.0917670859374229</v>
      </c>
      <c r="E29" s="3227">
        <v>144.87534032143896</v>
      </c>
      <c r="F29" s="3227">
        <v>4.813205052093946</v>
      </c>
      <c r="G29" s="3103">
        <f t="shared" si="6"/>
        <v>6.0000000000000001E-3</v>
      </c>
      <c r="H29" s="3103">
        <f t="shared" si="7"/>
        <v>1.6602461974516321E-2</v>
      </c>
      <c r="I29" s="3103">
        <f t="shared" si="3"/>
        <v>0.55608094771826333</v>
      </c>
      <c r="J29" s="3227">
        <v>1.8550602515624539E-2</v>
      </c>
      <c r="K29" s="3227">
        <v>2.4052873287318013</v>
      </c>
      <c r="L29" s="3227">
        <v>3.7448683395123399</v>
      </c>
      <c r="M29" s="3497">
        <v>-1.0683367125816052</v>
      </c>
    </row>
    <row r="30" spans="2:13" ht="18" customHeight="1" x14ac:dyDescent="0.2">
      <c r="B30" s="2616" t="s">
        <v>564</v>
      </c>
      <c r="C30" s="2618" t="s">
        <v>564</v>
      </c>
      <c r="D30" s="3227">
        <v>3.4615529072685699E-3</v>
      </c>
      <c r="E30" s="3227">
        <v>0.16220292199958775</v>
      </c>
      <c r="F30" s="3227">
        <v>5.3888806880495995E-3</v>
      </c>
      <c r="G30" s="3103">
        <f t="shared" si="6"/>
        <v>6.0000000000000001E-3</v>
      </c>
      <c r="H30" s="3103">
        <f t="shared" si="7"/>
        <v>1.6602461974516321E-2</v>
      </c>
      <c r="I30" s="3103">
        <f t="shared" si="3"/>
        <v>0.55608094771826355</v>
      </c>
      <c r="J30" s="3227">
        <v>2.076931744361142E-5</v>
      </c>
      <c r="K30" s="3227">
        <v>2.6929678446535924E-3</v>
      </c>
      <c r="L30" s="3227">
        <v>4.192767284100435E-3</v>
      </c>
      <c r="M30" s="3497">
        <v>-1.1961134039491653E-3</v>
      </c>
    </row>
    <row r="31" spans="2:13" ht="18" customHeight="1" x14ac:dyDescent="0.2">
      <c r="B31" s="2616" t="s">
        <v>565</v>
      </c>
      <c r="C31" s="2618" t="s">
        <v>565</v>
      </c>
      <c r="D31" s="3227">
        <v>8.8406670974975476</v>
      </c>
      <c r="E31" s="3227">
        <v>414.25974816927993</v>
      </c>
      <c r="F31" s="3227">
        <v>13.762984841613378</v>
      </c>
      <c r="G31" s="3103">
        <f t="shared" si="6"/>
        <v>6.000000000000001E-3</v>
      </c>
      <c r="H31" s="3103">
        <f t="shared" si="7"/>
        <v>1.6602461974516321E-2</v>
      </c>
      <c r="I31" s="3103">
        <f t="shared" si="3"/>
        <v>0.55608094771826333</v>
      </c>
      <c r="J31" s="3227">
        <v>5.3044002584985296E-2</v>
      </c>
      <c r="K31" s="3227">
        <v>6.8777317165531775</v>
      </c>
      <c r="L31" s="3227">
        <v>10.708159247884918</v>
      </c>
      <c r="M31" s="3497">
        <v>-3.0548255937284585</v>
      </c>
    </row>
    <row r="32" spans="2:13" ht="18" customHeight="1" x14ac:dyDescent="0.2">
      <c r="B32" s="2616" t="s">
        <v>567</v>
      </c>
      <c r="C32" s="2618" t="s">
        <v>567</v>
      </c>
      <c r="D32" s="3227">
        <v>0.10994777870548783</v>
      </c>
      <c r="E32" s="3227">
        <v>13.867164178693784</v>
      </c>
      <c r="F32" s="3227">
        <v>0.46070990780774013</v>
      </c>
      <c r="G32" s="3103">
        <f t="shared" si="6"/>
        <v>1.6149710755105257E-2</v>
      </c>
      <c r="H32" s="3103">
        <f t="shared" si="7"/>
        <v>1.6602461974516324E-2</v>
      </c>
      <c r="I32" s="3103">
        <f t="shared" si="3"/>
        <v>0.55608094771826344</v>
      </c>
      <c r="J32" s="3227">
        <v>1.7756248242599495E-3</v>
      </c>
      <c r="K32" s="3227">
        <v>0.23022906597113843</v>
      </c>
      <c r="L32" s="3227">
        <v>0.35845095498233098</v>
      </c>
      <c r="M32" s="3497">
        <v>-0.10225895282540907</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v>0.10499537743728221</v>
      </c>
      <c r="E34" s="3227">
        <v>4.9199181618793091</v>
      </c>
      <c r="F34" s="3227">
        <v>0.16345483572363315</v>
      </c>
      <c r="G34" s="3103">
        <f t="shared" si="6"/>
        <v>5.9999999999999993E-3</v>
      </c>
      <c r="H34" s="3103">
        <f t="shared" si="7"/>
        <v>1.6602461974516321E-2</v>
      </c>
      <c r="I34" s="3103">
        <f t="shared" si="3"/>
        <v>0.55608094771826388</v>
      </c>
      <c r="J34" s="3227">
        <v>6.299722646236932E-4</v>
      </c>
      <c r="K34" s="3227">
        <v>8.1682754200333454E-2</v>
      </c>
      <c r="L34" s="3227">
        <v>0.12717447784098213</v>
      </c>
      <c r="M34" s="3497">
        <v>-3.6280357882651076E-2</v>
      </c>
    </row>
    <row r="35" spans="2:13" ht="18" customHeight="1" x14ac:dyDescent="0.2">
      <c r="B35" s="2616" t="s">
        <v>574</v>
      </c>
      <c r="C35" s="2618" t="s">
        <v>574</v>
      </c>
      <c r="D35" s="3227">
        <v>1.1246110809839412E-5</v>
      </c>
      <c r="E35" s="3227">
        <v>5.2697505522933006E-4</v>
      </c>
      <c r="F35" s="3227">
        <v>1.7507734529076025E-5</v>
      </c>
      <c r="G35" s="3103">
        <f t="shared" si="6"/>
        <v>6.000000000000001E-3</v>
      </c>
      <c r="H35" s="3103">
        <f t="shared" si="7"/>
        <v>1.6602461974516321E-2</v>
      </c>
      <c r="I35" s="3103">
        <f t="shared" si="3"/>
        <v>0.55608094771826333</v>
      </c>
      <c r="J35" s="3227">
        <v>6.7476664859036478E-8</v>
      </c>
      <c r="K35" s="3227">
        <v>8.7490833159635901E-6</v>
      </c>
      <c r="L35" s="3227">
        <v>1.3621726069202192E-5</v>
      </c>
      <c r="M35" s="3497">
        <v>-3.8860084598738322E-6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IE</v>
      </c>
      <c r="E41" s="3227" t="str">
        <f t="shared" si="11"/>
        <v>IE</v>
      </c>
      <c r="F41" s="3227" t="str">
        <f t="shared" si="11"/>
        <v>IE</v>
      </c>
      <c r="G41" s="3103" t="str">
        <f t="shared" si="12"/>
        <v>NA</v>
      </c>
      <c r="H41" s="3103" t="str">
        <f t="shared" si="13"/>
        <v>NA</v>
      </c>
      <c r="I41" s="3103" t="str">
        <f t="shared" si="3"/>
        <v>NA</v>
      </c>
      <c r="J41" s="3227" t="str">
        <f t="shared" ref="J41:L41" si="16">IF(J15="NO","NO","IE")</f>
        <v>IE</v>
      </c>
      <c r="K41" s="3227" t="str">
        <f t="shared" si="16"/>
        <v>IE</v>
      </c>
      <c r="L41" s="3227" t="str">
        <f t="shared" si="16"/>
        <v>IE</v>
      </c>
      <c r="M41" s="3497" t="str">
        <f t="shared" ref="M41" si="17">IF(M15="NO","NO","IE")</f>
        <v>IE</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f>IF(SUM(J52:J63)=0,"NO",SUM(J52:J63))</f>
        <v>4.1696666026157887</v>
      </c>
      <c r="K51" s="3103">
        <f>IF(SUM(K52:K63)=0,"NO",SUM(K52:K63))</f>
        <v>70.413624566817518</v>
      </c>
      <c r="L51" s="3103">
        <f>IF(SUM(L52:L63)=0,"NO",SUM(L52:L63))</f>
        <v>19.097127059113514</v>
      </c>
      <c r="M51" s="3226">
        <f>IF(SUM(M52:M63)=0,"NO",SUM(M52:M63))</f>
        <v>-6.3560371441168444</v>
      </c>
    </row>
    <row r="52" spans="2:13" ht="18" customHeight="1" x14ac:dyDescent="0.2">
      <c r="B52" s="2616" t="s">
        <v>559</v>
      </c>
      <c r="C52" s="2618" t="s">
        <v>559</v>
      </c>
      <c r="D52" s="3227">
        <v>7.1424255347730366E-3</v>
      </c>
      <c r="E52" s="3227">
        <v>3.0243272671012265E-2</v>
      </c>
      <c r="F52" s="3227">
        <v>2.2235983618991572E-3</v>
      </c>
      <c r="G52" s="3103">
        <f>IF(SUM(D52)=0,"NA",J52/D52)</f>
        <v>5.1000000000000004E-2</v>
      </c>
      <c r="H52" s="3103">
        <f>IF(SUM(E52)=0,"NA",K52/E52)</f>
        <v>0.20339603451900387</v>
      </c>
      <c r="I52" s="3103">
        <f t="shared" si="3"/>
        <v>0.50056998074053394</v>
      </c>
      <c r="J52" s="3227">
        <v>3.6426370227342488E-4</v>
      </c>
      <c r="K52" s="3227">
        <v>6.1513617321608573E-3</v>
      </c>
      <c r="L52" s="3227">
        <v>1.6683324755448507E-3</v>
      </c>
      <c r="M52" s="3497">
        <v>-5.5526588635430689E-4</v>
      </c>
    </row>
    <row r="53" spans="2:13" ht="18" customHeight="1" x14ac:dyDescent="0.2">
      <c r="B53" s="2616" t="s">
        <v>560</v>
      </c>
      <c r="C53" s="2618" t="s">
        <v>560</v>
      </c>
      <c r="D53" s="3227">
        <v>1.1163491095349487</v>
      </c>
      <c r="E53" s="3227">
        <v>4.7269727001473099</v>
      </c>
      <c r="F53" s="3227">
        <v>0.34754468761127588</v>
      </c>
      <c r="G53" s="3103">
        <f t="shared" ref="G53:G63" si="36">IF(SUM(D53)=0,"NA",J53/D53)</f>
        <v>5.1000000000000011E-2</v>
      </c>
      <c r="H53" s="3103">
        <f t="shared" ref="H53:H63" si="37">IF(SUM(E53)=0,"NA",K53/E53)</f>
        <v>0.2033960345190039</v>
      </c>
      <c r="I53" s="3103">
        <f t="shared" si="3"/>
        <v>0.50056998074053449</v>
      </c>
      <c r="J53" s="3227">
        <v>5.6933804586282395E-2</v>
      </c>
      <c r="K53" s="3227">
        <v>0.96144750248955124</v>
      </c>
      <c r="L53" s="3227">
        <v>0.26075756259766381</v>
      </c>
      <c r="M53" s="3497">
        <v>-8.6787125013612368E-2</v>
      </c>
    </row>
    <row r="54" spans="2:13" ht="18" customHeight="1" x14ac:dyDescent="0.2">
      <c r="B54" s="2616" t="s">
        <v>562</v>
      </c>
      <c r="C54" s="2618" t="s">
        <v>562</v>
      </c>
      <c r="D54" s="3227">
        <v>1.6572835466782756E-2</v>
      </c>
      <c r="E54" s="3227">
        <v>7.0174589782357577E-2</v>
      </c>
      <c r="F54" s="3227">
        <v>5.1594979347773361E-3</v>
      </c>
      <c r="G54" s="3103">
        <f t="shared" si="36"/>
        <v>5.1000000000000004E-2</v>
      </c>
      <c r="H54" s="3103">
        <f t="shared" si="37"/>
        <v>0.2033960345190039</v>
      </c>
      <c r="I54" s="3103">
        <f t="shared" si="3"/>
        <v>0.50056998074053427</v>
      </c>
      <c r="J54" s="3227">
        <v>8.4521460880592066E-4</v>
      </c>
      <c r="K54" s="3227">
        <v>1.4273233285729339E-2</v>
      </c>
      <c r="L54" s="3227">
        <v>3.8710938583098285E-3</v>
      </c>
      <c r="M54" s="3497">
        <v>-1.2884040764675111E-3</v>
      </c>
    </row>
    <row r="55" spans="2:13" ht="18" customHeight="1" x14ac:dyDescent="0.2">
      <c r="B55" s="2616" t="s">
        <v>563</v>
      </c>
      <c r="C55" s="2618" t="s">
        <v>563</v>
      </c>
      <c r="D55" s="3227">
        <v>20.203909984510805</v>
      </c>
      <c r="E55" s="3227">
        <v>85.549699567370297</v>
      </c>
      <c r="F55" s="3227">
        <v>6.2899334304286647</v>
      </c>
      <c r="G55" s="3103">
        <f t="shared" si="36"/>
        <v>5.0999999999999997E-2</v>
      </c>
      <c r="H55" s="3103">
        <f t="shared" si="37"/>
        <v>0.20339603451900393</v>
      </c>
      <c r="I55" s="3103">
        <f t="shared" si="3"/>
        <v>0.50056998074053416</v>
      </c>
      <c r="J55" s="3227">
        <v>1.030399409210051</v>
      </c>
      <c r="K55" s="3227">
        <v>17.400469646295264</v>
      </c>
      <c r="L55" s="3227">
        <v>4.7192426432787933</v>
      </c>
      <c r="M55" s="3497">
        <v>-1.5706907871498748</v>
      </c>
    </row>
    <row r="56" spans="2:13" ht="18" customHeight="1" x14ac:dyDescent="0.2">
      <c r="B56" s="2616" t="s">
        <v>564</v>
      </c>
      <c r="C56" s="2618" t="s">
        <v>564</v>
      </c>
      <c r="D56" s="3227">
        <v>2.2620366088757626E-2</v>
      </c>
      <c r="E56" s="3227">
        <v>9.5781733559530222E-2</v>
      </c>
      <c r="F56" s="3227">
        <v>7.0422307849960716E-3</v>
      </c>
      <c r="G56" s="3103">
        <f t="shared" si="36"/>
        <v>5.1000000000000004E-2</v>
      </c>
      <c r="H56" s="3103">
        <f t="shared" si="37"/>
        <v>0.2033960345190039</v>
      </c>
      <c r="I56" s="3103">
        <f t="shared" si="3"/>
        <v>0.50056998074053327</v>
      </c>
      <c r="J56" s="3227">
        <v>1.153638670526639E-3</v>
      </c>
      <c r="K56" s="3227">
        <v>1.9481624785364242E-2</v>
      </c>
      <c r="L56" s="3227">
        <v>5.2836800567059722E-3</v>
      </c>
      <c r="M56" s="3497">
        <v>-1.7585507282900975E-3</v>
      </c>
    </row>
    <row r="57" spans="2:13" ht="18" customHeight="1" x14ac:dyDescent="0.2">
      <c r="B57" s="2616" t="s">
        <v>565</v>
      </c>
      <c r="C57" s="2618" t="s">
        <v>565</v>
      </c>
      <c r="D57" s="3227">
        <v>57.771506480317726</v>
      </c>
      <c r="E57" s="3227">
        <v>244.6227005928346</v>
      </c>
      <c r="F57" s="3227">
        <v>17.985574585085697</v>
      </c>
      <c r="G57" s="3103">
        <f t="shared" si="36"/>
        <v>5.1000000000000004E-2</v>
      </c>
      <c r="H57" s="3103">
        <f t="shared" si="37"/>
        <v>0.20339603451900387</v>
      </c>
      <c r="I57" s="3103">
        <f t="shared" si="3"/>
        <v>0.50056998074053449</v>
      </c>
      <c r="J57" s="3227">
        <v>2.9463468304962044</v>
      </c>
      <c r="K57" s="3227">
        <v>49.755287253912137</v>
      </c>
      <c r="L57" s="3227">
        <v>13.494306654374753</v>
      </c>
      <c r="M57" s="3497">
        <v>-4.4912679307109595</v>
      </c>
    </row>
    <row r="58" spans="2:13" ht="18" customHeight="1" x14ac:dyDescent="0.2">
      <c r="B58" s="2616" t="s">
        <v>567</v>
      </c>
      <c r="C58" s="2618" t="s">
        <v>567</v>
      </c>
      <c r="D58" s="3227">
        <v>1.9338759528373761</v>
      </c>
      <c r="E58" s="3227">
        <v>8.1886380850357643</v>
      </c>
      <c r="F58" s="3227">
        <v>0.60205925562820828</v>
      </c>
      <c r="G58" s="3103">
        <f t="shared" si="36"/>
        <v>5.1000000000000004E-2</v>
      </c>
      <c r="H58" s="3103">
        <f t="shared" si="37"/>
        <v>0.2033960345190039</v>
      </c>
      <c r="I58" s="3103">
        <f t="shared" si="3"/>
        <v>0.50056998074053427</v>
      </c>
      <c r="J58" s="3227">
        <v>9.8627673594706186E-2</v>
      </c>
      <c r="K58" s="3227">
        <v>1.6655365146075642</v>
      </c>
      <c r="L58" s="3227">
        <v>0.4517160228113406</v>
      </c>
      <c r="M58" s="3497">
        <v>-0.15034323281686804</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v>0.6861180339816586</v>
      </c>
      <c r="E60" s="3227">
        <v>2.9052392195315404</v>
      </c>
      <c r="F60" s="3227">
        <v>0.21360403815250512</v>
      </c>
      <c r="G60" s="3103">
        <f t="shared" si="36"/>
        <v>5.1000000000000011E-2</v>
      </c>
      <c r="H60" s="3103">
        <f t="shared" si="37"/>
        <v>0.2033960345190039</v>
      </c>
      <c r="I60" s="3103">
        <f t="shared" si="3"/>
        <v>0.50056998074053383</v>
      </c>
      <c r="J60" s="3227">
        <v>3.4992019733064594E-2</v>
      </c>
      <c r="K60" s="3227">
        <v>0.59091413658180114</v>
      </c>
      <c r="L60" s="3227">
        <v>0.16026390370830246</v>
      </c>
      <c r="M60" s="3497">
        <v>-5.3340134444202707E-2</v>
      </c>
    </row>
    <row r="61" spans="2:13" ht="18" customHeight="1" x14ac:dyDescent="0.2">
      <c r="B61" s="2616" t="s">
        <v>574</v>
      </c>
      <c r="C61" s="2618" t="s">
        <v>574</v>
      </c>
      <c r="D61" s="3227">
        <v>7.3490468124618675E-5</v>
      </c>
      <c r="E61" s="3227">
        <v>3.1118172046631009E-4</v>
      </c>
      <c r="F61" s="3227">
        <v>2.2879242316426485E-5</v>
      </c>
      <c r="G61" s="3103">
        <f t="shared" si="36"/>
        <v>5.0999999999999997E-2</v>
      </c>
      <c r="H61" s="3103">
        <f t="shared" si="37"/>
        <v>0.20339603451900387</v>
      </c>
      <c r="I61" s="3103">
        <f t="shared" si="3"/>
        <v>0.50056998074053427</v>
      </c>
      <c r="J61" s="3227">
        <v>3.7480138743555523E-6</v>
      </c>
      <c r="K61" s="3227">
        <v>6.3293127957648619E-5</v>
      </c>
      <c r="L61" s="3227">
        <v>1.716595210105906E-5</v>
      </c>
      <c r="M61" s="3497">
        <v>-5.7132902153674393E-6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f>IF(SUM(J65:J76)=0,"NO",SUM(J65:J76))</f>
        <v>0.8222543361020711</v>
      </c>
      <c r="K64" s="3103">
        <f>IF(SUM(K65:K76)=0,"NO",SUM(K65:K76))</f>
        <v>311.31399510955242</v>
      </c>
      <c r="L64" s="3103">
        <f>IF(SUM(L65:L76)=0,"NO",SUM(L65:L76))</f>
        <v>16.148584302209912</v>
      </c>
      <c r="M64" s="3226">
        <f>IF(SUM(M65:M76)=0,"NO",SUM(M65:M76))</f>
        <v>-8.6836934736863132</v>
      </c>
    </row>
    <row r="65" spans="2:13" ht="18" customHeight="1" x14ac:dyDescent="0.2">
      <c r="B65" s="2616" t="s">
        <v>559</v>
      </c>
      <c r="C65" s="2618" t="s">
        <v>559</v>
      </c>
      <c r="D65" s="3227">
        <v>2.052355994745609E-2</v>
      </c>
      <c r="E65" s="3227">
        <v>0.27124266447723111</v>
      </c>
      <c r="F65" s="3227">
        <v>2.3384565068747852E-3</v>
      </c>
      <c r="G65" s="3103">
        <f>IF(SUM(D65)=0,"NA",J65/D65)</f>
        <v>3.5000000000000001E-3</v>
      </c>
      <c r="H65" s="3103">
        <f>IF(SUM(E65)=0,"NA",K65/E65)</f>
        <v>0.10026635081354145</v>
      </c>
      <c r="I65" s="3103">
        <f t="shared" si="3"/>
        <v>0.27887445210616973</v>
      </c>
      <c r="J65" s="3227">
        <v>7.1832459816096317E-5</v>
      </c>
      <c r="K65" s="3227">
        <v>2.7196512152073769E-2</v>
      </c>
      <c r="L65" s="3227">
        <v>1.4107466291686833E-3</v>
      </c>
      <c r="M65" s="3497">
        <v>-7.5861085203987003E-4</v>
      </c>
    </row>
    <row r="66" spans="2:13" ht="18" customHeight="1" x14ac:dyDescent="0.2">
      <c r="B66" s="2616" t="s">
        <v>560</v>
      </c>
      <c r="C66" s="2618" t="s">
        <v>560</v>
      </c>
      <c r="D66" s="3227">
        <v>3.207797933669013</v>
      </c>
      <c r="E66" s="3227">
        <v>42.394772683712119</v>
      </c>
      <c r="F66" s="3227">
        <v>0.36549682267269556</v>
      </c>
      <c r="G66" s="3103">
        <f t="shared" ref="G66:G76" si="38">IF(SUM(D66)=0,"NA",J66/D66)</f>
        <v>3.5000000000000009E-3</v>
      </c>
      <c r="H66" s="3103">
        <f t="shared" ref="H66:H76" si="39">IF(SUM(E66)=0,"NA",K66/E66)</f>
        <v>0.10026635081354142</v>
      </c>
      <c r="I66" s="3103">
        <f t="shared" si="3"/>
        <v>0.27887445210616923</v>
      </c>
      <c r="J66" s="3227">
        <v>1.1227292767841549E-2</v>
      </c>
      <c r="K66" s="3227">
        <v>4.2507691505654224</v>
      </c>
      <c r="L66" s="3227">
        <v>0.2204973276353428</v>
      </c>
      <c r="M66" s="3497">
        <v>-0.11856960146594914</v>
      </c>
    </row>
    <row r="67" spans="2:13" ht="18" customHeight="1" x14ac:dyDescent="0.2">
      <c r="B67" s="2616" t="s">
        <v>562</v>
      </c>
      <c r="C67" s="2618" t="s">
        <v>562</v>
      </c>
      <c r="D67" s="3227">
        <v>4.7621579048447257E-2</v>
      </c>
      <c r="E67" s="3227">
        <v>0.62937443702670071</v>
      </c>
      <c r="F67" s="3227">
        <v>5.4260075580745779E-3</v>
      </c>
      <c r="G67" s="3103">
        <f t="shared" si="38"/>
        <v>3.5000000000000001E-3</v>
      </c>
      <c r="H67" s="3103">
        <f t="shared" si="39"/>
        <v>0.10026635081354142</v>
      </c>
      <c r="I67" s="3103">
        <f t="shared" si="3"/>
        <v>0.27887445210617706</v>
      </c>
      <c r="J67" s="3227">
        <v>1.6667552666956541E-4</v>
      </c>
      <c r="K67" s="3227">
        <v>6.3105078095994305E-2</v>
      </c>
      <c r="L67" s="3227">
        <v>3.2734078439747016E-3</v>
      </c>
      <c r="M67" s="3497">
        <v>-1.7602329590926779E-3</v>
      </c>
    </row>
    <row r="68" spans="2:13" ht="18" customHeight="1" x14ac:dyDescent="0.2">
      <c r="B68" s="2616" t="s">
        <v>563</v>
      </c>
      <c r="C68" s="2618" t="s">
        <v>563</v>
      </c>
      <c r="D68" s="3227">
        <v>58.055370087003716</v>
      </c>
      <c r="E68" s="3227">
        <v>767.26909512413783</v>
      </c>
      <c r="F68" s="3227">
        <v>6.6148347697254719</v>
      </c>
      <c r="G68" s="3103">
        <f t="shared" si="38"/>
        <v>3.5000000000000005E-3</v>
      </c>
      <c r="H68" s="3103">
        <f t="shared" si="39"/>
        <v>0.10026635081354142</v>
      </c>
      <c r="I68" s="3103">
        <f t="shared" si="3"/>
        <v>0.27887445210617451</v>
      </c>
      <c r="J68" s="3227">
        <v>0.20319379530451304</v>
      </c>
      <c r="K68" s="3227">
        <v>76.931272260105288</v>
      </c>
      <c r="L68" s="3227">
        <v>3.9906048397579923</v>
      </c>
      <c r="M68" s="3497">
        <v>-2.1458964175779283</v>
      </c>
    </row>
    <row r="69" spans="2:13" ht="18" customHeight="1" x14ac:dyDescent="0.2">
      <c r="B69" s="2616" t="s">
        <v>564</v>
      </c>
      <c r="C69" s="2618" t="s">
        <v>564</v>
      </c>
      <c r="D69" s="3227">
        <v>6.4998989096324164E-2</v>
      </c>
      <c r="E69" s="3227">
        <v>0.85903707913980965</v>
      </c>
      <c r="F69" s="3227">
        <v>7.405991425548113E-3</v>
      </c>
      <c r="G69" s="3103">
        <f t="shared" si="38"/>
        <v>3.5000000000000005E-3</v>
      </c>
      <c r="H69" s="3103">
        <f t="shared" si="39"/>
        <v>0.1002663508135414</v>
      </c>
      <c r="I69" s="3103">
        <f t="shared" si="3"/>
        <v>0.27887445210617307</v>
      </c>
      <c r="J69" s="3227">
        <v>2.2749646183713461E-4</v>
      </c>
      <c r="K69" s="3227">
        <v>8.6132513138872088E-2</v>
      </c>
      <c r="L69" s="3227">
        <v>4.4678947025648813E-3</v>
      </c>
      <c r="M69" s="3497">
        <v>-2.4025529014621355E-3</v>
      </c>
    </row>
    <row r="70" spans="2:13" ht="18" customHeight="1" x14ac:dyDescent="0.2">
      <c r="B70" s="2616" t="s">
        <v>565</v>
      </c>
      <c r="C70" s="2618" t="s">
        <v>565</v>
      </c>
      <c r="D70" s="3227">
        <v>166.00480757288369</v>
      </c>
      <c r="E70" s="3227">
        <v>2193.9461982900393</v>
      </c>
      <c r="F70" s="3227">
        <v>18.914604651198612</v>
      </c>
      <c r="G70" s="3103">
        <f t="shared" si="38"/>
        <v>3.4999999999999996E-3</v>
      </c>
      <c r="H70" s="3103">
        <f t="shared" si="39"/>
        <v>0.10026635081354143</v>
      </c>
      <c r="I70" s="3103">
        <f t="shared" si="3"/>
        <v>0.27887445210617301</v>
      </c>
      <c r="J70" s="3227">
        <v>0.5810168265050929</v>
      </c>
      <c r="K70" s="3227">
        <v>219.97897918378462</v>
      </c>
      <c r="L70" s="3227">
        <v>11.410823624595935</v>
      </c>
      <c r="M70" s="3497">
        <v>-6.1360236156880505</v>
      </c>
    </row>
    <row r="71" spans="2:13" ht="18" customHeight="1" x14ac:dyDescent="0.2">
      <c r="B71" s="2616" t="s">
        <v>567</v>
      </c>
      <c r="C71" s="2618" t="s">
        <v>567</v>
      </c>
      <c r="D71" s="3227">
        <v>5.5569384455980719</v>
      </c>
      <c r="E71" s="3227">
        <v>73.44139097597504</v>
      </c>
      <c r="F71" s="3227">
        <v>0.63315813141969868</v>
      </c>
      <c r="G71" s="3103">
        <f t="shared" si="38"/>
        <v>3.5000000000000005E-3</v>
      </c>
      <c r="H71" s="3103">
        <f t="shared" si="39"/>
        <v>0.1002663508135414</v>
      </c>
      <c r="I71" s="3103">
        <f t="shared" si="3"/>
        <v>0.27887445210617273</v>
      </c>
      <c r="J71" s="3227">
        <v>1.9449284559593254E-2</v>
      </c>
      <c r="K71" s="3227">
        <v>7.3637002718315676</v>
      </c>
      <c r="L71" s="3227">
        <v>0.38197233816626852</v>
      </c>
      <c r="M71" s="3497">
        <v>-0.20540071117003195</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v>1.9715409748266632</v>
      </c>
      <c r="E73" s="3227">
        <v>26.05620216507841</v>
      </c>
      <c r="F73" s="3227">
        <v>0.22463757910211507</v>
      </c>
      <c r="G73" s="3103">
        <f t="shared" si="38"/>
        <v>3.5000000000000001E-3</v>
      </c>
      <c r="H73" s="3103">
        <f t="shared" si="39"/>
        <v>0.1002663508135414</v>
      </c>
      <c r="I73" s="3103">
        <f t="shared" si="3"/>
        <v>0.27887445210617384</v>
      </c>
      <c r="J73" s="3227">
        <v>6.9003934118933219E-3</v>
      </c>
      <c r="K73" s="3227">
        <v>2.6125603071523091</v>
      </c>
      <c r="L73" s="3227">
        <v>0.13551960730133583</v>
      </c>
      <c r="M73" s="3497">
        <v>-7.287392550677621E-2</v>
      </c>
    </row>
    <row r="74" spans="2:13" ht="18" customHeight="1" x14ac:dyDescent="0.2">
      <c r="B74" s="2616" t="s">
        <v>574</v>
      </c>
      <c r="C74" s="2618" t="s">
        <v>574</v>
      </c>
      <c r="D74" s="3227">
        <v>2.1117280408162502E-4</v>
      </c>
      <c r="E74" s="3227">
        <v>2.7908936944113379E-3</v>
      </c>
      <c r="F74" s="3227">
        <v>2.406105076526353E-5</v>
      </c>
      <c r="G74" s="3103">
        <f t="shared" si="38"/>
        <v>3.5000000000000005E-3</v>
      </c>
      <c r="H74" s="3103">
        <f t="shared" si="39"/>
        <v>0.10026635081354142</v>
      </c>
      <c r="I74" s="3103">
        <f t="shared" si="3"/>
        <v>0.27887445210617268</v>
      </c>
      <c r="J74" s="3227">
        <v>7.3910481428568763E-7</v>
      </c>
      <c r="K74" s="3227">
        <v>2.7983272624714786E-4</v>
      </c>
      <c r="L74" s="3227">
        <v>1.4515577331269914E-5</v>
      </c>
      <c r="M74" s="3497">
        <v>-7.8055649820082405E-6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f>IF(SUM(J78:J89)=0,"NO",SUM(J78:J89))</f>
        <v>5.2866671032924764</v>
      </c>
      <c r="K77" s="3103">
        <f>IF(SUM(K78:K89)=0,"NO",SUM(K78:K89))</f>
        <v>239.93557459056518</v>
      </c>
      <c r="L77" s="3103">
        <f>IF(SUM(L78:L89)=0,"NO",SUM(L78:L89))</f>
        <v>233.67939609259025</v>
      </c>
      <c r="M77" s="3226">
        <f>IF(SUM(M78:M89)=0,"NO",SUM(M78:M89))</f>
        <v>-164.59237340609187</v>
      </c>
    </row>
    <row r="78" spans="2:13" ht="18" customHeight="1" x14ac:dyDescent="0.2">
      <c r="B78" s="2616" t="s">
        <v>559</v>
      </c>
      <c r="C78" s="2618" t="s">
        <v>559</v>
      </c>
      <c r="D78" s="3227">
        <v>7.1498903359107038E-2</v>
      </c>
      <c r="E78" s="3227">
        <v>0.53765523860498488</v>
      </c>
      <c r="F78" s="3227">
        <v>8.6973590916108786E-3</v>
      </c>
      <c r="G78" s="3103">
        <f>IF(SUM(D78)=0,"NA",J78/D78)</f>
        <v>6.459473927568034E-3</v>
      </c>
      <c r="H78" s="3103">
        <f>IF(SUM(E78)=0,"NA",K78/E78)</f>
        <v>3.8985699317751428E-2</v>
      </c>
      <c r="I78" s="3103">
        <f t="shared" si="3"/>
        <v>0.69394274864452721</v>
      </c>
      <c r="J78" s="3227">
        <v>4.6184530209785845E-4</v>
      </c>
      <c r="K78" s="3227">
        <v>2.0960865468867839E-2</v>
      </c>
      <c r="L78" s="3227">
        <v>7.3541372246585281E-3</v>
      </c>
      <c r="M78" s="3497">
        <v>-1.3186679506776073E-3</v>
      </c>
    </row>
    <row r="79" spans="2:13" ht="18" customHeight="1" x14ac:dyDescent="0.2">
      <c r="B79" s="2616" t="s">
        <v>560</v>
      </c>
      <c r="C79" s="2618" t="s">
        <v>560</v>
      </c>
      <c r="D79" s="3227">
        <v>11.175158454095225</v>
      </c>
      <c r="E79" s="3227">
        <v>84.034610361891325</v>
      </c>
      <c r="F79" s="3227">
        <v>1.3593826116850127</v>
      </c>
      <c r="G79" s="3103">
        <f t="shared" ref="G79:G89" si="40">IF(SUM(D79)=0,"NA",J79/D79)</f>
        <v>6.4594739275680331E-3</v>
      </c>
      <c r="H79" s="3103">
        <f t="shared" ref="H79:H89" si="41">IF(SUM(E79)=0,"NA",K79/E79)</f>
        <v>3.8985699317751414E-2</v>
      </c>
      <c r="I79" s="3103">
        <f t="shared" ref="I79:I89" si="42">IF(SUM(F79)=0,"NA",(SUM(L79:M79))/F79)</f>
        <v>0.6939427486445231</v>
      </c>
      <c r="J79" s="3227">
        <v>7.2185644670669596E-2</v>
      </c>
      <c r="K79" s="3227">
        <v>3.2761480518530925</v>
      </c>
      <c r="L79" s="3227">
        <v>70.543714155373635</v>
      </c>
      <c r="M79" s="3497">
        <v>-69.600380449361367</v>
      </c>
    </row>
    <row r="80" spans="2:13" ht="18" customHeight="1" x14ac:dyDescent="0.2">
      <c r="B80" s="2616" t="s">
        <v>562</v>
      </c>
      <c r="C80" s="2618" t="s">
        <v>562</v>
      </c>
      <c r="D80" s="3227">
        <v>0.16590156322344293</v>
      </c>
      <c r="E80" s="3227">
        <v>1.2475414358712511</v>
      </c>
      <c r="F80" s="3227">
        <v>2.0180805598748817E-2</v>
      </c>
      <c r="G80" s="3103">
        <f t="shared" si="40"/>
        <v>6.4594739275680322E-3</v>
      </c>
      <c r="H80" s="3103">
        <f t="shared" si="41"/>
        <v>3.8985699317751407E-2</v>
      </c>
      <c r="I80" s="3103">
        <f t="shared" si="42"/>
        <v>0.69394274864448335</v>
      </c>
      <c r="J80" s="3227">
        <v>1.0716368221846092E-3</v>
      </c>
      <c r="K80" s="3227">
        <v>4.8636275305312449E-2</v>
      </c>
      <c r="L80" s="3227">
        <v>69.411338942423257</v>
      </c>
      <c r="M80" s="3497">
        <v>-69.397334618716201</v>
      </c>
    </row>
    <row r="81" spans="2:13" ht="18" customHeight="1" x14ac:dyDescent="0.2">
      <c r="B81" s="2616" t="s">
        <v>563</v>
      </c>
      <c r="C81" s="2618" t="s">
        <v>563</v>
      </c>
      <c r="D81" s="3227">
        <v>202.25025804270277</v>
      </c>
      <c r="E81" s="3227">
        <v>1520.8752251725055</v>
      </c>
      <c r="F81" s="3227">
        <v>24.602379028576973</v>
      </c>
      <c r="G81" s="3103">
        <f t="shared" si="40"/>
        <v>6.4594739275680331E-3</v>
      </c>
      <c r="H81" s="3103">
        <f t="shared" si="41"/>
        <v>3.8985699317751414E-2</v>
      </c>
      <c r="I81" s="3103">
        <f t="shared" si="42"/>
        <v>0.69394274864452699</v>
      </c>
      <c r="J81" s="3227">
        <v>1.3064302686707454</v>
      </c>
      <c r="K81" s="3227">
        <v>59.292384228392777</v>
      </c>
      <c r="L81" s="3227">
        <v>20.802782720990933</v>
      </c>
      <c r="M81" s="3497">
        <v>-3.7301401947057631</v>
      </c>
    </row>
    <row r="82" spans="2:13" ht="18" customHeight="1" x14ac:dyDescent="0.2">
      <c r="B82" s="2616" t="s">
        <v>564</v>
      </c>
      <c r="C82" s="2618" t="s">
        <v>564</v>
      </c>
      <c r="D82" s="3227">
        <v>0.2264400743212085</v>
      </c>
      <c r="E82" s="3227">
        <v>1.7027770562776419</v>
      </c>
      <c r="F82" s="3227">
        <v>2.7544906936698529E-2</v>
      </c>
      <c r="G82" s="3103">
        <f t="shared" si="40"/>
        <v>6.4594739275680348E-3</v>
      </c>
      <c r="H82" s="3103">
        <f t="shared" si="41"/>
        <v>3.8985699317751414E-2</v>
      </c>
      <c r="I82" s="3103">
        <f t="shared" si="42"/>
        <v>0.6939427486445271</v>
      </c>
      <c r="J82" s="3227">
        <v>1.4626837562344143E-3</v>
      </c>
      <c r="K82" s="3227">
        <v>6.6383954321206029E-2</v>
      </c>
      <c r="L82" s="3227">
        <v>2.329086603407228E-2</v>
      </c>
      <c r="M82" s="3497">
        <v>-4.1762776032620019E-3</v>
      </c>
    </row>
    <row r="83" spans="2:13" ht="18" customHeight="1" x14ac:dyDescent="0.2">
      <c r="B83" s="2616" t="s">
        <v>565</v>
      </c>
      <c r="C83" s="2618" t="s">
        <v>565</v>
      </c>
      <c r="D83" s="3227">
        <v>578.31885521751133</v>
      </c>
      <c r="E83" s="3227">
        <v>4348.8242124503558</v>
      </c>
      <c r="F83" s="3227">
        <v>70.348586019751167</v>
      </c>
      <c r="G83" s="3103">
        <f t="shared" si="40"/>
        <v>6.459473927568034E-3</v>
      </c>
      <c r="H83" s="3103">
        <f t="shared" si="41"/>
        <v>3.8985699317751421E-2</v>
      </c>
      <c r="I83" s="3103">
        <f t="shared" si="42"/>
        <v>0.69394274864452687</v>
      </c>
      <c r="J83" s="3227">
        <v>3.7356355670985071</v>
      </c>
      <c r="K83" s="3227">
        <v>169.54195313234669</v>
      </c>
      <c r="L83" s="3227">
        <v>64.583936411106947</v>
      </c>
      <c r="M83" s="3497">
        <v>-15.766045265304889</v>
      </c>
    </row>
    <row r="84" spans="2:13" ht="18" customHeight="1" x14ac:dyDescent="0.2">
      <c r="B84" s="2616" t="s">
        <v>567</v>
      </c>
      <c r="C84" s="2618" t="s">
        <v>567</v>
      </c>
      <c r="D84" s="3227">
        <v>19.358971148841579</v>
      </c>
      <c r="E84" s="3227">
        <v>145.57499154777852</v>
      </c>
      <c r="F84" s="3227">
        <v>2.3548881984938017</v>
      </c>
      <c r="G84" s="3103">
        <f t="shared" si="40"/>
        <v>6.4594739275680348E-3</v>
      </c>
      <c r="H84" s="3103">
        <f t="shared" si="41"/>
        <v>3.8985699317751407E-2</v>
      </c>
      <c r="I84" s="3103">
        <f t="shared" si="42"/>
        <v>0.69394274864452754</v>
      </c>
      <c r="J84" s="3227">
        <v>0.12504876940048398</v>
      </c>
      <c r="K84" s="3227">
        <v>5.6753428486658963</v>
      </c>
      <c r="L84" s="3227">
        <v>7.5576233926541567</v>
      </c>
      <c r="M84" s="3497">
        <v>-5.9234658034408083</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v>6.8683512016697561</v>
      </c>
      <c r="E86" s="3227">
        <v>51.64841460028105</v>
      </c>
      <c r="F86" s="3227">
        <v>0.83548857341474347</v>
      </c>
      <c r="G86" s="3103">
        <f t="shared" si="40"/>
        <v>6.4594739275680331E-3</v>
      </c>
      <c r="H86" s="3103">
        <f t="shared" si="41"/>
        <v>3.8985699317751414E-2</v>
      </c>
      <c r="I86" s="3103">
        <f t="shared" si="42"/>
        <v>0.69394274864452687</v>
      </c>
      <c r="J86" s="3227">
        <v>4.436593551256636E-2</v>
      </c>
      <c r="K86" s="3227">
        <v>2.0135495618451191</v>
      </c>
      <c r="L86" s="3227">
        <v>0.70646306366980594</v>
      </c>
      <c r="M86" s="3497">
        <v>-0.12668182657328433</v>
      </c>
    </row>
    <row r="87" spans="2:13" ht="18" customHeight="1" x14ac:dyDescent="0.2">
      <c r="B87" s="2616" t="s">
        <v>574</v>
      </c>
      <c r="C87" s="2618" t="s">
        <v>574</v>
      </c>
      <c r="D87" s="3227">
        <v>7.356727560792999E-4</v>
      </c>
      <c r="E87" s="3227">
        <v>5.5320892016817481E-3</v>
      </c>
      <c r="F87" s="3227">
        <v>8.9489626175108953E-5</v>
      </c>
      <c r="G87" s="3103">
        <f t="shared" si="40"/>
        <v>6.4594739275680348E-3</v>
      </c>
      <c r="H87" s="3103">
        <f t="shared" si="41"/>
        <v>3.8985699317751414E-2</v>
      </c>
      <c r="I87" s="3103">
        <f t="shared" si="42"/>
        <v>0.69394274864453032</v>
      </c>
      <c r="J87" s="3227">
        <v>4.7520589871163563E-6</v>
      </c>
      <c r="K87" s="3227">
        <v>2.156723662157441E-4</v>
      </c>
      <c r="L87" s="3227">
        <v>4.2892403112787379E-2</v>
      </c>
      <c r="M87" s="3497">
        <v>-4.2830302435624253E-2</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f>IF(SUM(J91,J104)=0,"NO",SUM(J91,J104))</f>
        <v>20.620145225896007</v>
      </c>
      <c r="K90" s="3103">
        <f t="shared" ref="K90:M90" si="43">IF(SUM(K91,K104)=0,"NO",SUM(K91,K104))</f>
        <v>1.6248765900819255</v>
      </c>
      <c r="L90" s="3103">
        <f t="shared" si="43"/>
        <v>0.62329883615789206</v>
      </c>
      <c r="M90" s="3226" t="str">
        <f t="shared" si="43"/>
        <v>NO</v>
      </c>
    </row>
    <row r="91" spans="2:13" ht="18" customHeight="1" x14ac:dyDescent="0.2">
      <c r="B91" s="104" t="s">
        <v>674</v>
      </c>
      <c r="C91" s="2508"/>
      <c r="D91" s="2108"/>
      <c r="E91" s="2108"/>
      <c r="F91" s="2108"/>
      <c r="G91" s="2108"/>
      <c r="H91" s="2108"/>
      <c r="I91" s="2108"/>
      <c r="J91" s="3103">
        <f>IF(SUM(J92:J103)=0,"NO",SUM(J92:J103))</f>
        <v>20.620145225896007</v>
      </c>
      <c r="K91" s="3103">
        <f>IF(SUM(K92:K103)=0,"NO",SUM(K92:K103))</f>
        <v>1.6248765900819255</v>
      </c>
      <c r="L91" s="3103">
        <f>IF(SUM(L92:L103)=0,"NO",SUM(L92:L103))</f>
        <v>0.62329883615789206</v>
      </c>
      <c r="M91" s="3226" t="str">
        <f>IF(SUM(M92:M103)=0,"NO",SUM(M92:M103))</f>
        <v>NO</v>
      </c>
    </row>
    <row r="92" spans="2:13" ht="18" customHeight="1" x14ac:dyDescent="0.2">
      <c r="B92" s="2616" t="s">
        <v>559</v>
      </c>
      <c r="C92" s="2618" t="s">
        <v>559</v>
      </c>
      <c r="D92" s="3227">
        <v>3.0023065619876844E-3</v>
      </c>
      <c r="E92" s="3227">
        <v>5.8122502285709119E-3</v>
      </c>
      <c r="F92" s="3227">
        <v>5.445162966726284E-5</v>
      </c>
      <c r="G92" s="3103">
        <f>IF(SUM(D92)=0,"NA",J92/D92)</f>
        <v>0.6</v>
      </c>
      <c r="H92" s="3103">
        <f>IF(SUM(E92)=0,"NA",K92/E92)</f>
        <v>2.4422529604061206E-2</v>
      </c>
      <c r="I92" s="3103">
        <f t="shared" ref="I92:I103" si="44">IF(SUM(F92)=0,"NA",(SUM(L92:M92))/F92)</f>
        <v>1.000000000000008</v>
      </c>
      <c r="J92" s="3227">
        <v>1.8013839371926106E-3</v>
      </c>
      <c r="K92" s="3227">
        <v>1.419498532734846E-4</v>
      </c>
      <c r="L92" s="3227">
        <v>5.4451629667263274E-5</v>
      </c>
      <c r="M92" s="3497" t="s">
        <v>2146</v>
      </c>
    </row>
    <row r="93" spans="2:13" ht="18" customHeight="1" x14ac:dyDescent="0.2">
      <c r="B93" s="2616" t="s">
        <v>560</v>
      </c>
      <c r="C93" s="2618" t="s">
        <v>560</v>
      </c>
      <c r="D93" s="3227">
        <v>0.46925547080728353</v>
      </c>
      <c r="E93" s="3227">
        <v>0.90844494429379075</v>
      </c>
      <c r="F93" s="3227">
        <v>8.5106982209100894E-3</v>
      </c>
      <c r="G93" s="3103">
        <f t="shared" ref="G93:G103" si="45">IF(SUM(D93)=0,"NA",J93/D93)</f>
        <v>0.6</v>
      </c>
      <c r="H93" s="3103">
        <f t="shared" ref="H93:H103" si="46">IF(SUM(E93)=0,"NA",K93/E93)</f>
        <v>2.4422529604061209E-2</v>
      </c>
      <c r="I93" s="3103">
        <f t="shared" si="44"/>
        <v>1.000000000000002</v>
      </c>
      <c r="J93" s="3227">
        <v>0.28155328248437012</v>
      </c>
      <c r="K93" s="3227">
        <v>2.2186523545674842E-2</v>
      </c>
      <c r="L93" s="3227">
        <v>8.5106982209101067E-3</v>
      </c>
      <c r="M93" s="3497" t="s">
        <v>2146</v>
      </c>
    </row>
    <row r="94" spans="2:13" ht="18" customHeight="1" x14ac:dyDescent="0.2">
      <c r="B94" s="2616" t="s">
        <v>562</v>
      </c>
      <c r="C94" s="2618" t="s">
        <v>562</v>
      </c>
      <c r="D94" s="3227">
        <v>6.9663635176065164E-3</v>
      </c>
      <c r="E94" s="3227">
        <v>1.3486380258486953E-2</v>
      </c>
      <c r="F94" s="3227">
        <v>1.2634614039450532E-4</v>
      </c>
      <c r="G94" s="3103">
        <f t="shared" si="45"/>
        <v>0.60000000000000009</v>
      </c>
      <c r="H94" s="3103">
        <f t="shared" si="46"/>
        <v>2.4422529604061209E-2</v>
      </c>
      <c r="I94" s="3103">
        <f t="shared" si="44"/>
        <v>1.0000000000000069</v>
      </c>
      <c r="J94" s="3227">
        <v>4.1798181105639105E-3</v>
      </c>
      <c r="K94" s="3227">
        <v>3.2937152111452427E-4</v>
      </c>
      <c r="L94" s="3227">
        <v>1.2634614039450619E-4</v>
      </c>
      <c r="M94" s="3497" t="s">
        <v>2146</v>
      </c>
    </row>
    <row r="95" spans="2:13" ht="18" customHeight="1" x14ac:dyDescent="0.2">
      <c r="B95" s="2616" t="s">
        <v>563</v>
      </c>
      <c r="C95" s="2618" t="s">
        <v>563</v>
      </c>
      <c r="D95" s="3227">
        <v>8.4926795846857654</v>
      </c>
      <c r="E95" s="3227">
        <v>16.441218722377705</v>
      </c>
      <c r="F95" s="3227">
        <v>0.15402832258471075</v>
      </c>
      <c r="G95" s="3103">
        <f t="shared" si="45"/>
        <v>0.6</v>
      </c>
      <c r="H95" s="3103">
        <f t="shared" si="46"/>
        <v>2.4422529604061209E-2</v>
      </c>
      <c r="I95" s="3103">
        <f t="shared" si="44"/>
        <v>1.0000000000000031</v>
      </c>
      <c r="J95" s="3227">
        <v>5.0956077508114594</v>
      </c>
      <c r="K95" s="3227">
        <v>0.40153615097411494</v>
      </c>
      <c r="L95" s="3227">
        <v>0.15402832258471122</v>
      </c>
      <c r="M95" s="3497" t="s">
        <v>2146</v>
      </c>
    </row>
    <row r="96" spans="2:13" ht="18" customHeight="1" x14ac:dyDescent="0.2">
      <c r="B96" s="2616" t="s">
        <v>564</v>
      </c>
      <c r="C96" s="2618" t="s">
        <v>564</v>
      </c>
      <c r="D96" s="3227">
        <v>9.5084328443052896E-3</v>
      </c>
      <c r="E96" s="3227">
        <v>1.8407644200089949E-2</v>
      </c>
      <c r="F96" s="3227">
        <v>1.7245063196057265E-4</v>
      </c>
      <c r="G96" s="3103">
        <f t="shared" si="45"/>
        <v>0.60000000000000009</v>
      </c>
      <c r="H96" s="3103">
        <f t="shared" si="46"/>
        <v>2.4422529604061206E-2</v>
      </c>
      <c r="I96" s="3103">
        <f t="shared" si="44"/>
        <v>1.0000000000000049</v>
      </c>
      <c r="J96" s="3227">
        <v>5.7050597065831741E-3</v>
      </c>
      <c r="K96" s="3227">
        <v>4.4956123541772233E-4</v>
      </c>
      <c r="L96" s="3227">
        <v>1.7245063196057349E-4</v>
      </c>
      <c r="M96" s="3497" t="s">
        <v>2146</v>
      </c>
    </row>
    <row r="97" spans="2:13" ht="18" customHeight="1" x14ac:dyDescent="0.2">
      <c r="B97" s="2616" t="s">
        <v>565</v>
      </c>
      <c r="C97" s="2618" t="s">
        <v>565</v>
      </c>
      <c r="D97" s="3227">
        <v>24.284155593549855</v>
      </c>
      <c r="E97" s="3227">
        <v>47.012383973812433</v>
      </c>
      <c r="F97" s="3227">
        <v>0.44043198782696141</v>
      </c>
      <c r="G97" s="3103">
        <f t="shared" si="45"/>
        <v>0.6</v>
      </c>
      <c r="H97" s="3103">
        <f t="shared" si="46"/>
        <v>2.4422529604061213E-2</v>
      </c>
      <c r="I97" s="3103">
        <f t="shared" si="44"/>
        <v>1.0000000000000089</v>
      </c>
      <c r="J97" s="3227">
        <v>14.570493356129912</v>
      </c>
      <c r="K97" s="3227">
        <v>1.1481613393579271</v>
      </c>
      <c r="L97" s="3227">
        <v>0.44043198782696535</v>
      </c>
      <c r="M97" s="3497" t="s">
        <v>2146</v>
      </c>
    </row>
    <row r="98" spans="2:13" ht="18" customHeight="1" x14ac:dyDescent="0.2">
      <c r="B98" s="2616" t="s">
        <v>567</v>
      </c>
      <c r="C98" s="2618" t="s">
        <v>567</v>
      </c>
      <c r="D98" s="3227">
        <v>0.81290150453886945</v>
      </c>
      <c r="E98" s="3227">
        <v>1.5737190250264201</v>
      </c>
      <c r="F98" s="3227">
        <v>1.4743268472825886E-2</v>
      </c>
      <c r="G98" s="3103">
        <f t="shared" si="45"/>
        <v>0.59999999999999987</v>
      </c>
      <c r="H98" s="3103">
        <f t="shared" si="46"/>
        <v>2.4422529604061209E-2</v>
      </c>
      <c r="I98" s="3103">
        <f t="shared" si="44"/>
        <v>1.00000000000001</v>
      </c>
      <c r="J98" s="3227">
        <v>0.4877409027233216</v>
      </c>
      <c r="K98" s="3227">
        <v>3.8434199477182088E-2</v>
      </c>
      <c r="L98" s="3227">
        <v>1.4743268472826032E-2</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v>0.28840856172631851</v>
      </c>
      <c r="E100" s="3227">
        <v>0.55833829564220194</v>
      </c>
      <c r="F100" s="3227">
        <v>5.2307503819970774E-3</v>
      </c>
      <c r="G100" s="3103">
        <f t="shared" si="45"/>
        <v>0.6</v>
      </c>
      <c r="H100" s="3103">
        <f t="shared" si="46"/>
        <v>2.4422529604061209E-2</v>
      </c>
      <c r="I100" s="3103">
        <f t="shared" si="44"/>
        <v>0.999999999999995</v>
      </c>
      <c r="J100" s="3227">
        <v>0.17304513703579111</v>
      </c>
      <c r="K100" s="3227">
        <v>1.3636033554402757E-2</v>
      </c>
      <c r="L100" s="3227">
        <v>5.2307503819970513E-3</v>
      </c>
      <c r="M100" s="3497" t="s">
        <v>2146</v>
      </c>
    </row>
    <row r="101" spans="2:13" ht="18" customHeight="1" x14ac:dyDescent="0.2">
      <c r="B101" s="2616" t="s">
        <v>574</v>
      </c>
      <c r="C101" s="2618" t="s">
        <v>574</v>
      </c>
      <c r="D101" s="3227">
        <v>3.089159468585215E-5</v>
      </c>
      <c r="E101" s="3227">
        <v>5.980391228099399E-5</v>
      </c>
      <c r="F101" s="3227">
        <v>5.6026845991089234E-7</v>
      </c>
      <c r="G101" s="3103">
        <f t="shared" si="45"/>
        <v>0.59999999999999987</v>
      </c>
      <c r="H101" s="3103">
        <f t="shared" si="46"/>
        <v>2.4422529604061209E-2</v>
      </c>
      <c r="I101" s="3103">
        <f t="shared" si="44"/>
        <v>1.0000000000000056</v>
      </c>
      <c r="J101" s="3227">
        <v>1.8534956811511287E-5</v>
      </c>
      <c r="K101" s="3227">
        <v>1.4605628181212554E-6</v>
      </c>
      <c r="L101" s="3227">
        <v>5.6026845991089542E-7</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IE</v>
      </c>
      <c r="E107" s="3227" t="str">
        <f t="shared" si="47"/>
        <v>IE</v>
      </c>
      <c r="F107" s="2108"/>
      <c r="G107" s="3103" t="str">
        <f t="shared" si="48"/>
        <v>NA</v>
      </c>
      <c r="H107" s="3103" t="str">
        <f t="shared" si="49"/>
        <v>NA</v>
      </c>
      <c r="I107" s="2108"/>
      <c r="J107" s="3227" t="str">
        <f t="shared" ref="J107:K107" si="52">IF(J94="NO","NO","IE")</f>
        <v>IE</v>
      </c>
      <c r="K107" s="3227" t="str">
        <f t="shared" si="52"/>
        <v>IE</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0.11715903043449112</v>
      </c>
      <c r="K117" s="3103">
        <f>IF(SUM(K118:K129)=0,"NO",SUM(K118:K129))</f>
        <v>7.7576078103109181</v>
      </c>
      <c r="L117" s="3103">
        <f>IF(SUM(L118:L129)=0,"NO",SUM(L118:L129))</f>
        <v>4.5866942322200934</v>
      </c>
      <c r="M117" s="3226">
        <f>IF(SUM(M118:M129)=0,"NO",SUM(M118:M129))</f>
        <v>-3.7073967043296672</v>
      </c>
    </row>
    <row r="118" spans="2:13" ht="18" customHeight="1" x14ac:dyDescent="0.2">
      <c r="B118" s="2616" t="s">
        <v>559</v>
      </c>
      <c r="C118" s="2618" t="s">
        <v>559</v>
      </c>
      <c r="D118" s="3227">
        <v>2.9243024681473058E-3</v>
      </c>
      <c r="E118" s="3227">
        <v>1.4618815317529576E-2</v>
      </c>
      <c r="F118" s="3227">
        <v>7.2457502229188739E-4</v>
      </c>
      <c r="G118" s="3103">
        <f>IF(SUM(D118)=0,"NA",J118/D118)</f>
        <v>3.5000000000000005E-3</v>
      </c>
      <c r="H118" s="3103">
        <f>IF(SUM(E118)=0,"NA",K118/E118)</f>
        <v>4.6358588723944411E-2</v>
      </c>
      <c r="I118" s="3103">
        <f t="shared" ref="I118:I129" si="72">IF(SUM(F118)=0,"NA",(SUM(L118:M118))/F118)</f>
        <v>0.10601493697345488</v>
      </c>
      <c r="J118" s="3227">
        <v>1.0235058638515572E-5</v>
      </c>
      <c r="K118" s="3227">
        <v>6.7770764693665241E-4</v>
      </c>
      <c r="L118" s="3227">
        <v>4.0069539880635069E-4</v>
      </c>
      <c r="M118" s="3497">
        <v>-3.2387962348553659E-4</v>
      </c>
    </row>
    <row r="119" spans="2:13" ht="18" customHeight="1" x14ac:dyDescent="0.2">
      <c r="B119" s="2616" t="s">
        <v>560</v>
      </c>
      <c r="C119" s="2618" t="s">
        <v>560</v>
      </c>
      <c r="D119" s="3227">
        <v>0.4570635620117578</v>
      </c>
      <c r="E119" s="3227">
        <v>2.2848962698634003</v>
      </c>
      <c r="F119" s="3227">
        <v>0.11324985846737537</v>
      </c>
      <c r="G119" s="3103">
        <f t="shared" ref="G119:G129" si="73">IF(SUM(D119)=0,"NA",J119/D119)</f>
        <v>3.5000000000000001E-3</v>
      </c>
      <c r="H119" s="3103">
        <f t="shared" ref="H119:H129" si="74">IF(SUM(E119)=0,"NA",K119/E119)</f>
        <v>4.6358588723944404E-2</v>
      </c>
      <c r="I119" s="3103">
        <f t="shared" si="72"/>
        <v>0.10601493697345486</v>
      </c>
      <c r="J119" s="3227">
        <v>1.5997224670411523E-3</v>
      </c>
      <c r="K119" s="3227">
        <v>0.10592456645147205</v>
      </c>
      <c r="L119" s="3227">
        <v>6.2628017537523423E-2</v>
      </c>
      <c r="M119" s="3497">
        <v>-5.062184092985194E-2</v>
      </c>
    </row>
    <row r="120" spans="2:13" ht="18" customHeight="1" x14ac:dyDescent="0.2">
      <c r="B120" s="2616" t="s">
        <v>562</v>
      </c>
      <c r="C120" s="2618" t="s">
        <v>562</v>
      </c>
      <c r="D120" s="3227">
        <v>6.7853677190982519E-3</v>
      </c>
      <c r="E120" s="3227">
        <v>3.3920580592290334E-2</v>
      </c>
      <c r="F120" s="3227">
        <v>1.6812583581475844E-3</v>
      </c>
      <c r="G120" s="3103">
        <f t="shared" si="73"/>
        <v>3.4999999999999996E-3</v>
      </c>
      <c r="H120" s="3103">
        <f t="shared" si="74"/>
        <v>4.6358588723944417E-2</v>
      </c>
      <c r="I120" s="3103">
        <f t="shared" si="72"/>
        <v>0.10601493697345471</v>
      </c>
      <c r="J120" s="3227">
        <v>2.374878701684388E-5</v>
      </c>
      <c r="K120" s="3227">
        <v>1.5725102449553985E-3</v>
      </c>
      <c r="L120" s="3227">
        <v>9.2974842851134716E-4</v>
      </c>
      <c r="M120" s="3497">
        <v>-7.5150992963623705E-4</v>
      </c>
    </row>
    <row r="121" spans="2:13" ht="18" customHeight="1" x14ac:dyDescent="0.2">
      <c r="B121" s="2616" t="s">
        <v>563</v>
      </c>
      <c r="C121" s="2618" t="s">
        <v>563</v>
      </c>
      <c r="D121" s="3227">
        <v>8.2720279751307757</v>
      </c>
      <c r="E121" s="3227">
        <v>41.352510756689441</v>
      </c>
      <c r="F121" s="3227">
        <v>2.0496186423139782</v>
      </c>
      <c r="G121" s="3103">
        <f t="shared" si="73"/>
        <v>3.4999999999999996E-3</v>
      </c>
      <c r="H121" s="3103">
        <f t="shared" si="74"/>
        <v>4.6358588723944397E-2</v>
      </c>
      <c r="I121" s="3103">
        <f t="shared" si="72"/>
        <v>0.10601493697345513</v>
      </c>
      <c r="J121" s="3227">
        <v>2.8952097912957712E-2</v>
      </c>
      <c r="K121" s="3227">
        <v>1.9170440388718526</v>
      </c>
      <c r="L121" s="3227">
        <v>1.1334544167492571</v>
      </c>
      <c r="M121" s="3497">
        <v>-0.91616422556472199</v>
      </c>
    </row>
    <row r="122" spans="2:13" ht="18" customHeight="1" x14ac:dyDescent="0.2">
      <c r="B122" s="2616" t="s">
        <v>564</v>
      </c>
      <c r="C122" s="2618" t="s">
        <v>564</v>
      </c>
      <c r="D122" s="3227">
        <v>9.2613905544696087E-3</v>
      </c>
      <c r="E122" s="3227">
        <v>4.6298411184900738E-2</v>
      </c>
      <c r="F122" s="3227">
        <v>2.294759977995772E-3</v>
      </c>
      <c r="G122" s="3103">
        <f t="shared" si="73"/>
        <v>3.5000000000000005E-3</v>
      </c>
      <c r="H122" s="3103">
        <f t="shared" si="74"/>
        <v>4.6358588723944404E-2</v>
      </c>
      <c r="I122" s="3103">
        <f t="shared" si="72"/>
        <v>0.10601493697345502</v>
      </c>
      <c r="J122" s="3227">
        <v>3.2414866940643634E-5</v>
      </c>
      <c r="K122" s="3227">
        <v>2.1463290026928808E-3</v>
      </c>
      <c r="L122" s="3227">
        <v>1.2690194062161004E-3</v>
      </c>
      <c r="M122" s="3497">
        <v>-1.0257405717796716E-3</v>
      </c>
    </row>
    <row r="123" spans="2:13" ht="18" customHeight="1" x14ac:dyDescent="0.2">
      <c r="B123" s="2616" t="s">
        <v>565</v>
      </c>
      <c r="C123" s="2618" t="s">
        <v>565</v>
      </c>
      <c r="D123" s="3227">
        <v>23.653219507363001</v>
      </c>
      <c r="E123" s="3227">
        <v>118.24428266553362</v>
      </c>
      <c r="F123" s="3227">
        <v>5.8607248184831517</v>
      </c>
      <c r="G123" s="3103">
        <f t="shared" si="73"/>
        <v>3.5000000000000005E-3</v>
      </c>
      <c r="H123" s="3103">
        <f t="shared" si="74"/>
        <v>4.6358588723944404E-2</v>
      </c>
      <c r="I123" s="3103">
        <f t="shared" si="72"/>
        <v>0.10601493697345474</v>
      </c>
      <c r="J123" s="3227">
        <v>8.2786268275770514E-2</v>
      </c>
      <c r="K123" s="3227">
        <v>5.4816380690493016</v>
      </c>
      <c r="L123" s="3227">
        <v>3.2410245953667021</v>
      </c>
      <c r="M123" s="3497">
        <v>-2.6197002231164488</v>
      </c>
    </row>
    <row r="124" spans="2:13" ht="18" customHeight="1" x14ac:dyDescent="0.2">
      <c r="B124" s="2616" t="s">
        <v>567</v>
      </c>
      <c r="C124" s="2618" t="s">
        <v>567</v>
      </c>
      <c r="D124" s="3227">
        <v>0.79178119455924689</v>
      </c>
      <c r="E124" s="3227">
        <v>3.9581757295058035</v>
      </c>
      <c r="F124" s="3227">
        <v>0.19618520414597695</v>
      </c>
      <c r="G124" s="3103">
        <f t="shared" si="73"/>
        <v>3.5000000000000005E-3</v>
      </c>
      <c r="H124" s="3103">
        <f t="shared" si="74"/>
        <v>4.6358588723944404E-2</v>
      </c>
      <c r="I124" s="3103">
        <f t="shared" si="72"/>
        <v>0.10601493697345499</v>
      </c>
      <c r="J124" s="3227">
        <v>2.7712341809573646E-3</v>
      </c>
      <c r="K124" s="3227">
        <v>0.18349544074125815</v>
      </c>
      <c r="L124" s="3227">
        <v>0.10849188309931856</v>
      </c>
      <c r="M124" s="3497">
        <v>-8.7693321046658418E-2</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v>0.2809153067742412</v>
      </c>
      <c r="E126" s="3227">
        <v>1.4043174515396721</v>
      </c>
      <c r="F126" s="3227">
        <v>6.9604364420289874E-2</v>
      </c>
      <c r="G126" s="3103">
        <f t="shared" si="73"/>
        <v>3.5000000000000005E-3</v>
      </c>
      <c r="H126" s="3103">
        <f t="shared" si="74"/>
        <v>4.6358588723944404E-2</v>
      </c>
      <c r="I126" s="3103">
        <f t="shared" si="72"/>
        <v>0.1060149369734547</v>
      </c>
      <c r="J126" s="3227">
        <v>9.8320357370984437E-4</v>
      </c>
      <c r="K126" s="3227">
        <v>6.5102175173785387E-2</v>
      </c>
      <c r="L126" s="3227">
        <v>3.8491733363692132E-2</v>
      </c>
      <c r="M126" s="3497">
        <v>-3.1112631056597728E-2</v>
      </c>
    </row>
    <row r="127" spans="2:13" ht="18" customHeight="1" x14ac:dyDescent="0.2">
      <c r="B127" s="2616" t="s">
        <v>574</v>
      </c>
      <c r="C127" s="2618" t="s">
        <v>574</v>
      </c>
      <c r="D127" s="3227">
        <v>3.0088988156171578E-5</v>
      </c>
      <c r="E127" s="3227">
        <v>1.504171903343104E-4</v>
      </c>
      <c r="F127" s="3227">
        <v>7.4553605522929564E-6</v>
      </c>
      <c r="G127" s="3103">
        <f t="shared" si="73"/>
        <v>3.4999999999999992E-3</v>
      </c>
      <c r="H127" s="3103">
        <f t="shared" si="74"/>
        <v>4.6358588723944411E-2</v>
      </c>
      <c r="I127" s="3103">
        <f t="shared" si="72"/>
        <v>0.10601493697345497</v>
      </c>
      <c r="J127" s="3227">
        <v>1.053114585466005E-7</v>
      </c>
      <c r="K127" s="3227">
        <v>6.9731286637195618E-6</v>
      </c>
      <c r="L127" s="3227">
        <v>4.1228700656793383E-6</v>
      </c>
      <c r="M127" s="3497">
        <v>-3.3324904866136181E-6</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45.7242410536075</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45.7242410536075</v>
      </c>
      <c r="L131" s="3229"/>
      <c r="M131" s="3226" t="str">
        <f>IF(SUM(M132:M143)=0,"NO",SUM(M132:M143))</f>
        <v>NO</v>
      </c>
    </row>
    <row r="132" spans="2:13" ht="18" customHeight="1" x14ac:dyDescent="0.2">
      <c r="B132" s="2616" t="s">
        <v>559</v>
      </c>
      <c r="C132" s="2618" t="s">
        <v>559</v>
      </c>
      <c r="D132" s="3227" t="s">
        <v>2146</v>
      </c>
      <c r="E132" s="3227">
        <v>5.7879747233701654E-3</v>
      </c>
      <c r="F132" s="3229"/>
      <c r="G132" s="3103" t="str">
        <f>IF(SUM(D132)=0,"NA",J132/D132)</f>
        <v>NA</v>
      </c>
      <c r="H132" s="3103">
        <f>IF(SUM(E132)=0,"NA",K132/E132)</f>
        <v>0.69013562436597442</v>
      </c>
      <c r="I132" s="4327"/>
      <c r="J132" s="3227" t="s">
        <v>2146</v>
      </c>
      <c r="K132" s="3227">
        <v>3.9944875495275473E-3</v>
      </c>
      <c r="L132" s="3229"/>
      <c r="M132" s="3497" t="s">
        <v>2146</v>
      </c>
    </row>
    <row r="133" spans="2:13" ht="18" customHeight="1" x14ac:dyDescent="0.2">
      <c r="B133" s="2616" t="s">
        <v>560</v>
      </c>
      <c r="C133" s="2618" t="s">
        <v>560</v>
      </c>
      <c r="D133" s="3227" t="s">
        <v>2146</v>
      </c>
      <c r="E133" s="3227">
        <v>0.90465072362149557</v>
      </c>
      <c r="F133" s="3229"/>
      <c r="G133" s="3103" t="str">
        <f t="shared" ref="G133:G143" si="75">IF(SUM(D133)=0,"NA",J133/D133)</f>
        <v>NA</v>
      </c>
      <c r="H133" s="3103">
        <f t="shared" ref="H133:H143" si="76">IF(SUM(E133)=0,"NA",K133/E133)</f>
        <v>0.69013562436597442</v>
      </c>
      <c r="I133" s="4327"/>
      <c r="J133" s="3227" t="s">
        <v>2146</v>
      </c>
      <c r="K133" s="3227">
        <v>0.62433169197965144</v>
      </c>
      <c r="L133" s="3229"/>
      <c r="M133" s="3497" t="s">
        <v>2146</v>
      </c>
    </row>
    <row r="134" spans="2:13" ht="18" customHeight="1" x14ac:dyDescent="0.2">
      <c r="B134" s="2616" t="s">
        <v>562</v>
      </c>
      <c r="C134" s="2618" t="s">
        <v>562</v>
      </c>
      <c r="D134" s="3227" t="s">
        <v>2146</v>
      </c>
      <c r="E134" s="3227">
        <v>1.3430052901399878E-2</v>
      </c>
      <c r="F134" s="3229"/>
      <c r="G134" s="3103" t="str">
        <f t="shared" si="75"/>
        <v>NA</v>
      </c>
      <c r="H134" s="3103">
        <f t="shared" si="76"/>
        <v>0.69013562436597442</v>
      </c>
      <c r="I134" s="4327"/>
      <c r="J134" s="3227" t="s">
        <v>2146</v>
      </c>
      <c r="K134" s="3227">
        <v>9.2685579443756716E-3</v>
      </c>
      <c r="L134" s="3229"/>
      <c r="M134" s="3497" t="s">
        <v>2146</v>
      </c>
    </row>
    <row r="135" spans="2:13" ht="18" customHeight="1" x14ac:dyDescent="0.2">
      <c r="B135" s="2616" t="s">
        <v>563</v>
      </c>
      <c r="C135" s="2618" t="s">
        <v>563</v>
      </c>
      <c r="D135" s="3227" t="s">
        <v>2146</v>
      </c>
      <c r="E135" s="3227">
        <v>16.372550156003918</v>
      </c>
      <c r="F135" s="3229"/>
      <c r="G135" s="3103" t="str">
        <f t="shared" si="75"/>
        <v>NA</v>
      </c>
      <c r="H135" s="3103">
        <f t="shared" si="76"/>
        <v>0.69013562436597442</v>
      </c>
      <c r="I135" s="4327"/>
      <c r="J135" s="3227" t="s">
        <v>2146</v>
      </c>
      <c r="K135" s="3227">
        <v>11.299280124376995</v>
      </c>
      <c r="L135" s="3229"/>
      <c r="M135" s="3497" t="s">
        <v>2146</v>
      </c>
    </row>
    <row r="136" spans="2:13" ht="18" customHeight="1" x14ac:dyDescent="0.2">
      <c r="B136" s="2616" t="s">
        <v>564</v>
      </c>
      <c r="C136" s="2618" t="s">
        <v>564</v>
      </c>
      <c r="D136" s="3227" t="s">
        <v>2146</v>
      </c>
      <c r="E136" s="3227">
        <v>1.8330762640463315E-2</v>
      </c>
      <c r="F136" s="3229"/>
      <c r="G136" s="3103" t="str">
        <f t="shared" si="75"/>
        <v>NA</v>
      </c>
      <c r="H136" s="3103">
        <f t="shared" si="76"/>
        <v>0.69013562436597442</v>
      </c>
      <c r="I136" s="4327"/>
      <c r="J136" s="3227" t="s">
        <v>2146</v>
      </c>
      <c r="K136" s="3227">
        <v>1.2650712319980627E-2</v>
      </c>
      <c r="L136" s="3229"/>
      <c r="M136" s="3497" t="s">
        <v>2146</v>
      </c>
    </row>
    <row r="137" spans="2:13" ht="18" customHeight="1" x14ac:dyDescent="0.2">
      <c r="B137" s="2616" t="s">
        <v>565</v>
      </c>
      <c r="C137" s="2618" t="s">
        <v>565</v>
      </c>
      <c r="D137" s="3227" t="s">
        <v>2146</v>
      </c>
      <c r="E137" s="3227">
        <v>46.816031558349351</v>
      </c>
      <c r="F137" s="3229"/>
      <c r="G137" s="3103" t="str">
        <f t="shared" si="75"/>
        <v>NA</v>
      </c>
      <c r="H137" s="3103">
        <f t="shared" si="76"/>
        <v>0.69013562436597442</v>
      </c>
      <c r="I137" s="4327"/>
      <c r="J137" s="3227" t="s">
        <v>2146</v>
      </c>
      <c r="K137" s="3227">
        <v>32.309411169858592</v>
      </c>
      <c r="L137" s="3229"/>
      <c r="M137" s="3497" t="s">
        <v>2146</v>
      </c>
    </row>
    <row r="138" spans="2:13" ht="18" customHeight="1" x14ac:dyDescent="0.2">
      <c r="B138" s="2616" t="s">
        <v>567</v>
      </c>
      <c r="C138" s="2618" t="s">
        <v>567</v>
      </c>
      <c r="D138" s="3227" t="s">
        <v>2146</v>
      </c>
      <c r="E138" s="3227">
        <v>1.5671462136583287</v>
      </c>
      <c r="F138" s="3229"/>
      <c r="G138" s="3103" t="str">
        <f t="shared" si="75"/>
        <v>NA</v>
      </c>
      <c r="H138" s="3103">
        <f t="shared" si="76"/>
        <v>0.69013562436597431</v>
      </c>
      <c r="I138" s="4327"/>
      <c r="J138" s="3227" t="s">
        <v>2146</v>
      </c>
      <c r="K138" s="3227">
        <v>1.0815434306358633</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v>0.55600633406680178</v>
      </c>
      <c r="F140" s="3229"/>
      <c r="G140" s="3103" t="str">
        <f t="shared" si="75"/>
        <v>NA</v>
      </c>
      <c r="H140" s="3103">
        <f t="shared" si="76"/>
        <v>0.69013562436597442</v>
      </c>
      <c r="I140" s="4327"/>
      <c r="J140" s="3227" t="s">
        <v>2146</v>
      </c>
      <c r="K140" s="3227">
        <v>0.38371977851262878</v>
      </c>
      <c r="L140" s="3229"/>
      <c r="M140" s="3497" t="s">
        <v>2146</v>
      </c>
    </row>
    <row r="141" spans="2:13" ht="18" customHeight="1" x14ac:dyDescent="0.2">
      <c r="B141" s="2616" t="s">
        <v>574</v>
      </c>
      <c r="C141" s="2618" t="s">
        <v>574</v>
      </c>
      <c r="D141" s="3227" t="s">
        <v>2146</v>
      </c>
      <c r="E141" s="3227">
        <v>5.9554134634383746E-5</v>
      </c>
      <c r="F141" s="3229"/>
      <c r="G141" s="3103" t="str">
        <f t="shared" si="75"/>
        <v>NA</v>
      </c>
      <c r="H141" s="3103">
        <f t="shared" si="76"/>
        <v>0.69013562436597442</v>
      </c>
      <c r="I141" s="4327"/>
      <c r="J141" s="3227" t="s">
        <v>2146</v>
      </c>
      <c r="K141" s="3227">
        <v>4.1100429889475732E-5</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26.607288659210003</v>
      </c>
      <c r="L146" s="3103">
        <f>IF(SUM(L147:L158)=0,"NO",SUM(L147:L158))</f>
        <v>9.7410721069861008</v>
      </c>
      <c r="M146" s="3226" t="str">
        <f>IF(SUM(M147:M158)=0,"NO",SUM(M147:M158))</f>
        <v>NO</v>
      </c>
    </row>
    <row r="147" spans="2:13" ht="18" customHeight="1" x14ac:dyDescent="0.2">
      <c r="B147" s="2616" t="s">
        <v>559</v>
      </c>
      <c r="C147" s="2618" t="s">
        <v>559</v>
      </c>
      <c r="D147" s="3227">
        <v>3.470506660480125E-3</v>
      </c>
      <c r="E147" s="3227">
        <v>6.3840995801447168E-3</v>
      </c>
      <c r="F147" s="3227">
        <v>8.509838622534372E-4</v>
      </c>
      <c r="G147" s="3103" t="str">
        <f>IFERROR(J147/D147,"NA")</f>
        <v>NA</v>
      </c>
      <c r="H147" s="3103">
        <f>IF(SUM(E147)=0,"NA",K147/E147)</f>
        <v>0.3640956873826891</v>
      </c>
      <c r="I147" s="3103">
        <f t="shared" ref="I147:I158" si="77">IF(SUM(F147)=0,"NA",(SUM(L147:M147))/F147)</f>
        <v>0.99999999999999933</v>
      </c>
      <c r="J147" s="3227" t="s">
        <v>2146</v>
      </c>
      <c r="K147" s="3227">
        <v>2.3244231249523275E-3</v>
      </c>
      <c r="L147" s="3227">
        <v>8.5098386225343665E-4</v>
      </c>
      <c r="M147" s="3497" t="s">
        <v>2146</v>
      </c>
    </row>
    <row r="148" spans="2:13" ht="18" customHeight="1" x14ac:dyDescent="0.2">
      <c r="B148" s="2616" t="s">
        <v>560</v>
      </c>
      <c r="C148" s="2618" t="s">
        <v>560</v>
      </c>
      <c r="D148" s="3227">
        <v>0.54243435947634411</v>
      </c>
      <c r="E148" s="3227">
        <v>0.99782403705570655</v>
      </c>
      <c r="F148" s="3227">
        <v>0.13300734774624767</v>
      </c>
      <c r="G148" s="3103" t="str">
        <f t="shared" ref="G148:G158" si="78">IFERROR(J148/D148,"NA")</f>
        <v>NA</v>
      </c>
      <c r="H148" s="3103">
        <f t="shared" ref="H148:H158" si="79">IF(SUM(E148)=0,"NA",K148/E148)</f>
        <v>0.3640956873826891</v>
      </c>
      <c r="I148" s="3103">
        <f t="shared" si="77"/>
        <v>0.99999999999999911</v>
      </c>
      <c r="J148" s="3227" t="s">
        <v>2146</v>
      </c>
      <c r="K148" s="3227">
        <v>0.3633034286587673</v>
      </c>
      <c r="L148" s="3227">
        <v>0.13300734774624756</v>
      </c>
      <c r="M148" s="3497" t="s">
        <v>2146</v>
      </c>
    </row>
    <row r="149" spans="2:13" ht="18" customHeight="1" x14ac:dyDescent="0.2">
      <c r="B149" s="2616" t="s">
        <v>562</v>
      </c>
      <c r="C149" s="2618" t="s">
        <v>562</v>
      </c>
      <c r="D149" s="3227">
        <v>8.0527456100861518E-3</v>
      </c>
      <c r="E149" s="3227">
        <v>1.4813263565744316E-2</v>
      </c>
      <c r="F149" s="3227">
        <v>1.9745694883834294E-3</v>
      </c>
      <c r="G149" s="3103" t="str">
        <f t="shared" si="78"/>
        <v>NA</v>
      </c>
      <c r="H149" s="3103">
        <f t="shared" si="79"/>
        <v>0.36409568738268905</v>
      </c>
      <c r="I149" s="3103">
        <f t="shared" si="77"/>
        <v>0.99999999999999933</v>
      </c>
      <c r="J149" s="3227" t="s">
        <v>2146</v>
      </c>
      <c r="K149" s="3227">
        <v>5.3934453803506201E-3</v>
      </c>
      <c r="L149" s="3227">
        <v>1.9745694883834281E-3</v>
      </c>
      <c r="M149" s="3497" t="s">
        <v>2146</v>
      </c>
    </row>
    <row r="150" spans="2:13" ht="18" customHeight="1" x14ac:dyDescent="0.2">
      <c r="B150" s="2616" t="s">
        <v>563</v>
      </c>
      <c r="C150" s="2618" t="s">
        <v>563</v>
      </c>
      <c r="D150" s="3227">
        <v>9.8170857823600368</v>
      </c>
      <c r="E150" s="3227">
        <v>18.058819461461248</v>
      </c>
      <c r="F150" s="3227">
        <v>2.4071936441667265</v>
      </c>
      <c r="G150" s="3103" t="str">
        <f t="shared" si="78"/>
        <v>NA</v>
      </c>
      <c r="H150" s="3103">
        <f t="shared" si="79"/>
        <v>0.3640956873826891</v>
      </c>
      <c r="I150" s="3103">
        <f t="shared" si="77"/>
        <v>0.99999999999999889</v>
      </c>
      <c r="J150" s="3227" t="s">
        <v>2146</v>
      </c>
      <c r="K150" s="3227">
        <v>6.5751382851406168</v>
      </c>
      <c r="L150" s="3227">
        <v>2.4071936441667239</v>
      </c>
      <c r="M150" s="3497" t="s">
        <v>2146</v>
      </c>
    </row>
    <row r="151" spans="2:13" ht="18" customHeight="1" x14ac:dyDescent="0.2">
      <c r="B151" s="2616" t="s">
        <v>564</v>
      </c>
      <c r="C151" s="2618" t="s">
        <v>564</v>
      </c>
      <c r="D151" s="3227">
        <v>1.0991242511571625E-2</v>
      </c>
      <c r="E151" s="3227">
        <v>2.0218715469540596E-2</v>
      </c>
      <c r="F151" s="3227">
        <v>2.6951021618749479E-3</v>
      </c>
      <c r="G151" s="3103" t="str">
        <f t="shared" si="78"/>
        <v>NA</v>
      </c>
      <c r="H151" s="3103">
        <f t="shared" si="79"/>
        <v>0.36409568738268916</v>
      </c>
      <c r="I151" s="3103">
        <f t="shared" si="77"/>
        <v>0.999999999999999</v>
      </c>
      <c r="J151" s="3227" t="s">
        <v>2146</v>
      </c>
      <c r="K151" s="3227">
        <v>7.3615471068773936E-3</v>
      </c>
      <c r="L151" s="3227">
        <v>2.6951021618749453E-3</v>
      </c>
      <c r="M151" s="3497" t="s">
        <v>2146</v>
      </c>
    </row>
    <row r="152" spans="2:13" ht="18" customHeight="1" x14ac:dyDescent="0.2">
      <c r="B152" s="2616" t="s">
        <v>565</v>
      </c>
      <c r="C152" s="2618" t="s">
        <v>565</v>
      </c>
      <c r="D152" s="3227">
        <v>28.071191929099271</v>
      </c>
      <c r="E152" s="3227">
        <v>51.637787257244966</v>
      </c>
      <c r="F152" s="3227">
        <v>6.8831826770151254</v>
      </c>
      <c r="G152" s="3103" t="str">
        <f t="shared" si="78"/>
        <v>NA</v>
      </c>
      <c r="H152" s="3103">
        <f t="shared" si="79"/>
        <v>0.36409568738268916</v>
      </c>
      <c r="I152" s="3103">
        <f t="shared" si="77"/>
        <v>0.99999999999999889</v>
      </c>
      <c r="J152" s="3227" t="s">
        <v>2146</v>
      </c>
      <c r="K152" s="3227">
        <v>18.801095646347672</v>
      </c>
      <c r="L152" s="3227">
        <v>6.8831826770151174</v>
      </c>
      <c r="M152" s="3497" t="s">
        <v>2146</v>
      </c>
    </row>
    <row r="153" spans="2:13" ht="18" customHeight="1" x14ac:dyDescent="0.2">
      <c r="B153" s="2616" t="s">
        <v>567</v>
      </c>
      <c r="C153" s="2618" t="s">
        <v>567</v>
      </c>
      <c r="D153" s="3227">
        <v>0.93967089221851208</v>
      </c>
      <c r="E153" s="3227">
        <v>1.7285523802039018</v>
      </c>
      <c r="F153" s="3227">
        <v>0.23041153449237767</v>
      </c>
      <c r="G153" s="3103" t="str">
        <f t="shared" si="78"/>
        <v>NA</v>
      </c>
      <c r="H153" s="3103">
        <f t="shared" si="79"/>
        <v>0.3640956873826891</v>
      </c>
      <c r="I153" s="3103">
        <f t="shared" si="77"/>
        <v>0.99999999999999922</v>
      </c>
      <c r="J153" s="3227" t="s">
        <v>2146</v>
      </c>
      <c r="K153" s="3227">
        <v>0.62935846704732301</v>
      </c>
      <c r="L153" s="3227">
        <v>0.2304115344923775</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v>0.33338495378300659</v>
      </c>
      <c r="E155" s="3227">
        <v>0.61327147638385782</v>
      </c>
      <c r="F155" s="3227">
        <v>8.17474920357011E-2</v>
      </c>
      <c r="G155" s="3103" t="str">
        <f t="shared" si="78"/>
        <v>NA</v>
      </c>
      <c r="H155" s="3103">
        <f t="shared" si="79"/>
        <v>0.36409568738268916</v>
      </c>
      <c r="I155" s="3103">
        <f t="shared" si="77"/>
        <v>0.99999999999999878</v>
      </c>
      <c r="J155" s="3227" t="s">
        <v>2146</v>
      </c>
      <c r="K155" s="3227">
        <v>0.22328949974617732</v>
      </c>
      <c r="L155" s="3227">
        <v>8.1747492035701003E-2</v>
      </c>
      <c r="M155" s="3497" t="s">
        <v>2146</v>
      </c>
    </row>
    <row r="156" spans="2:13" ht="18" customHeight="1" x14ac:dyDescent="0.2">
      <c r="B156" s="2616" t="s">
        <v>574</v>
      </c>
      <c r="C156" s="2618" t="s">
        <v>574</v>
      </c>
      <c r="D156" s="3227">
        <v>3.5709039998608273E-5</v>
      </c>
      <c r="E156" s="3227">
        <v>6.5687834533920074E-5</v>
      </c>
      <c r="F156" s="3227">
        <v>8.7560174199965828E-6</v>
      </c>
      <c r="G156" s="3103" t="str">
        <f t="shared" si="78"/>
        <v>NA</v>
      </c>
      <c r="H156" s="3103">
        <f t="shared" si="79"/>
        <v>0.3640956873826891</v>
      </c>
      <c r="I156" s="3103">
        <f t="shared" si="77"/>
        <v>0.99999999999999922</v>
      </c>
      <c r="J156" s="3227" t="s">
        <v>2146</v>
      </c>
      <c r="K156" s="3227">
        <v>2.3916657267307972E-5</v>
      </c>
      <c r="L156" s="3227">
        <v>8.7560174199965761E-6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2.0342681776360738</v>
      </c>
      <c r="K162" s="3233">
        <f t="shared" ref="K162:M162" si="85">IF(SUM(K163,K165,K175)=0,"NO",SUM(K163,K165,K175))</f>
        <v>7.6266004672326577</v>
      </c>
      <c r="L162" s="3233">
        <f t="shared" si="85"/>
        <v>0.45600000000000002</v>
      </c>
      <c r="M162" s="3234" t="str">
        <f t="shared" si="85"/>
        <v>NO</v>
      </c>
    </row>
    <row r="163" spans="2:13" ht="18" customHeight="1" x14ac:dyDescent="0.2">
      <c r="B163" s="88" t="s">
        <v>681</v>
      </c>
      <c r="C163" s="2508"/>
      <c r="D163" s="4326"/>
      <c r="E163" s="4326"/>
      <c r="F163" s="4326"/>
      <c r="G163" s="4327"/>
      <c r="H163" s="4327"/>
      <c r="I163" s="4327"/>
      <c r="J163" s="3230">
        <f>J164</f>
        <v>2.0342681776360738</v>
      </c>
      <c r="K163" s="3230">
        <f t="shared" ref="K163:M163" si="86">K164</f>
        <v>6.9357803022705973</v>
      </c>
      <c r="L163" s="3230">
        <f t="shared" si="86"/>
        <v>0.45600000000000002</v>
      </c>
      <c r="M163" s="3226" t="str">
        <f t="shared" si="86"/>
        <v>NO</v>
      </c>
    </row>
    <row r="164" spans="2:13" ht="18" customHeight="1" x14ac:dyDescent="0.2">
      <c r="B164" s="2616" t="s">
        <v>1621</v>
      </c>
      <c r="C164" s="2618" t="s">
        <v>1621</v>
      </c>
      <c r="D164" s="3235">
        <v>23.932566795718515</v>
      </c>
      <c r="E164" s="3235">
        <v>490.10701248599958</v>
      </c>
      <c r="F164" s="3235">
        <v>0.45600000000000002</v>
      </c>
      <c r="G164" s="3103">
        <f t="shared" ref="G164" si="87">IF(SUM(D164)=0,"NA",J164/D164)</f>
        <v>8.5000000000000006E-2</v>
      </c>
      <c r="H164" s="3103">
        <f t="shared" ref="H164" si="88">IF(SUM(E164)=0,"NA",K164/E164)</f>
        <v>1.4151563078213913E-2</v>
      </c>
      <c r="I164" s="3103">
        <f t="shared" ref="I164" si="89">IF(SUM(F164)=0,"NA",(SUM(L164:M164))/F164)</f>
        <v>1</v>
      </c>
      <c r="J164" s="3142">
        <v>2.0342681776360738</v>
      </c>
      <c r="K164" s="3142">
        <v>6.9357803022705973</v>
      </c>
      <c r="L164" s="3142">
        <v>0.45600000000000002</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0.69082016496206045</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0.69082016496206045</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0.69082016496206045</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0.69082016496206045</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2035.0700679623124</v>
      </c>
      <c r="D10" s="2500">
        <f t="shared" ref="D10:I10" si="0">IF(SUM(D11,D20,D31:D32,D42:D47)=0,"NO",SUM(D11,D20,D31:D32,D42:D47))</f>
        <v>2535.1097905504412</v>
      </c>
      <c r="E10" s="2500">
        <f t="shared" si="0"/>
        <v>46.16080833168958</v>
      </c>
      <c r="F10" s="2500">
        <f t="shared" si="0"/>
        <v>32.81647333971091</v>
      </c>
      <c r="G10" s="2500">
        <f t="shared" si="0"/>
        <v>536.80407194155293</v>
      </c>
      <c r="H10" s="2915">
        <f t="shared" si="0"/>
        <v>31.313570863257247</v>
      </c>
      <c r="I10" s="2924" t="str">
        <f t="shared" si="0"/>
        <v>NO</v>
      </c>
      <c r="J10" s="2925">
        <f>IF(SUM(C10:E10)=0,"NO",SUM(C10)+28*SUM(D10)+265*SUM(E10))</f>
        <v>85250.7584112724</v>
      </c>
    </row>
    <row r="11" spans="1:10" ht="18" customHeight="1" x14ac:dyDescent="0.2">
      <c r="B11" s="234" t="s">
        <v>694</v>
      </c>
      <c r="C11" s="2926"/>
      <c r="D11" s="2137">
        <f>SUM(D16:D19)</f>
        <v>2271.8294666536513</v>
      </c>
      <c r="E11" s="1929"/>
      <c r="F11" s="1929"/>
      <c r="G11" s="1929"/>
      <c r="H11" s="2927"/>
      <c r="I11" s="2928"/>
      <c r="J11" s="1880">
        <f>IF(SUM(C11:E11)=0,"NO",SUM(C11)+28*SUM(D11)+265*SUM(E11))</f>
        <v>63611.225066302235</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1574.7726159385936</v>
      </c>
      <c r="E16" s="628"/>
      <c r="F16" s="628"/>
      <c r="G16" s="628"/>
      <c r="H16" s="2930"/>
      <c r="I16" s="2931"/>
      <c r="J16" s="2934">
        <f>IF(SUM(C16:E16)=0,"NO",SUM(C16)+28*SUM(D16)+265*SUM(E16))</f>
        <v>44093.633246280624</v>
      </c>
    </row>
    <row r="17" spans="2:10" ht="18" customHeight="1" x14ac:dyDescent="0.2">
      <c r="B17" s="228" t="s">
        <v>699</v>
      </c>
      <c r="C17" s="2936"/>
      <c r="D17" s="2920">
        <f>Table3.A!G24</f>
        <v>683.10639401654544</v>
      </c>
      <c r="E17" s="628"/>
      <c r="F17" s="628"/>
      <c r="G17" s="628"/>
      <c r="H17" s="2930"/>
      <c r="I17" s="2931"/>
      <c r="J17" s="2934">
        <f t="shared" ref="J17:J21" si="1">IF(SUM(C17:E17)=0,"NO",SUM(C17)+28*SUM(D17)+265*SUM(E17))</f>
        <v>19126.97903246327</v>
      </c>
    </row>
    <row r="18" spans="2:10" ht="18" customHeight="1" x14ac:dyDescent="0.2">
      <c r="B18" s="228" t="s">
        <v>700</v>
      </c>
      <c r="C18" s="2936"/>
      <c r="D18" s="2920">
        <f>Table3.A!G27</f>
        <v>4.1849996082609699</v>
      </c>
      <c r="E18" s="628"/>
      <c r="F18" s="628"/>
      <c r="G18" s="628"/>
      <c r="H18" s="2930"/>
      <c r="I18" s="2931"/>
      <c r="J18" s="2934">
        <f t="shared" si="1"/>
        <v>117.17998903130716</v>
      </c>
    </row>
    <row r="19" spans="2:10" ht="18" customHeight="1" thickBot="1" x14ac:dyDescent="0.25">
      <c r="B19" s="1297" t="s">
        <v>701</v>
      </c>
      <c r="C19" s="2937"/>
      <c r="D19" s="2500">
        <f>Table3.A!G30</f>
        <v>9.7654570902513687</v>
      </c>
      <c r="E19" s="1923"/>
      <c r="F19" s="1923"/>
      <c r="G19" s="1923"/>
      <c r="H19" s="2938"/>
      <c r="I19" s="2939"/>
      <c r="J19" s="2934">
        <f t="shared" si="1"/>
        <v>273.4327985270383</v>
      </c>
    </row>
    <row r="20" spans="2:10" ht="18" customHeight="1" x14ac:dyDescent="0.2">
      <c r="B20" s="1456" t="s">
        <v>702</v>
      </c>
      <c r="C20" s="2940"/>
      <c r="D20" s="2920">
        <f>IF(SUM(D26:D30)=0,"NO",SUM(D26:D30))</f>
        <v>238.9162633939296</v>
      </c>
      <c r="E20" s="2920">
        <f>IF(SUM(E26:E30)=0,"NO",SUM(E26:E30))</f>
        <v>1.4839846739407445</v>
      </c>
      <c r="F20" s="2134"/>
      <c r="G20" s="2134"/>
      <c r="H20" s="2920" t="str">
        <f>IF(SUM(H26:H30)=0,"NE",SUM(H26:H30))</f>
        <v>NE</v>
      </c>
      <c r="I20" s="2931"/>
      <c r="J20" s="2941">
        <f t="shared" si="1"/>
        <v>7082.9113136243268</v>
      </c>
    </row>
    <row r="21" spans="2:10" ht="18" customHeight="1" x14ac:dyDescent="0.2">
      <c r="B21" s="228" t="s">
        <v>2019</v>
      </c>
      <c r="C21" s="2936"/>
      <c r="D21" s="2920">
        <f>D26</f>
        <v>146.0568333719722</v>
      </c>
      <c r="E21" s="2920">
        <f>E26</f>
        <v>0.62047198455911501</v>
      </c>
      <c r="F21" s="2942"/>
      <c r="G21" s="2942"/>
      <c r="H21" s="2920" t="str">
        <f>H26</f>
        <v>NE</v>
      </c>
      <c r="I21" s="2931"/>
      <c r="J21" s="2934">
        <f t="shared" si="1"/>
        <v>4254.0164103233874</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146.0568333719722</v>
      </c>
      <c r="E26" s="2920">
        <f>'Table3.B(b)'!X15</f>
        <v>0.62047198455911501</v>
      </c>
      <c r="F26" s="628"/>
      <c r="G26" s="628"/>
      <c r="H26" s="2944" t="s">
        <v>2154</v>
      </c>
      <c r="I26" s="2931"/>
      <c r="J26" s="2934">
        <f t="shared" ref="J26:J48" si="2">IF(SUM(C26:E26)=0,"NO",SUM(C26)+28*SUM(D26)+265*SUM(E26))</f>
        <v>4254.0164103233874</v>
      </c>
    </row>
    <row r="27" spans="2:10" ht="18" customHeight="1" x14ac:dyDescent="0.2">
      <c r="B27" s="228" t="s">
        <v>705</v>
      </c>
      <c r="C27" s="2936"/>
      <c r="D27" s="2920">
        <f>'Table3.B(a)'!K24</f>
        <v>34.681133497569455</v>
      </c>
      <c r="E27" s="2920" t="str">
        <f>'Table3.B(b)'!X24</f>
        <v>NA</v>
      </c>
      <c r="F27" s="2942"/>
      <c r="G27" s="2942"/>
      <c r="H27" s="2944" t="s">
        <v>2154</v>
      </c>
      <c r="I27" s="2931"/>
      <c r="J27" s="2934">
        <f t="shared" si="2"/>
        <v>971.07173793194477</v>
      </c>
    </row>
    <row r="28" spans="2:10" ht="18" customHeight="1" x14ac:dyDescent="0.2">
      <c r="B28" s="228" t="s">
        <v>706</v>
      </c>
      <c r="C28" s="2936"/>
      <c r="D28" s="2920">
        <f>'Table3.B(a)'!K27</f>
        <v>54.806490747934753</v>
      </c>
      <c r="E28" s="2920">
        <f>'Table3.B(b)'!X27</f>
        <v>0.29319637387816633</v>
      </c>
      <c r="F28" s="2942"/>
      <c r="G28" s="2942"/>
      <c r="H28" s="2944" t="s">
        <v>2154</v>
      </c>
      <c r="I28" s="2931"/>
      <c r="J28" s="2934">
        <f t="shared" si="2"/>
        <v>1612.2787800198873</v>
      </c>
    </row>
    <row r="29" spans="2:10" ht="18" customHeight="1" x14ac:dyDescent="0.2">
      <c r="B29" s="228" t="s">
        <v>707</v>
      </c>
      <c r="C29" s="2936"/>
      <c r="D29" s="2920">
        <f>'Table3.B(a)'!K30</f>
        <v>3.3718057764531846</v>
      </c>
      <c r="E29" s="2920">
        <f>'Table3.B(b)'!X30</f>
        <v>0.27761802003959873</v>
      </c>
      <c r="F29" s="2942"/>
      <c r="G29" s="2942"/>
      <c r="H29" s="2944" t="s">
        <v>2154</v>
      </c>
      <c r="I29" s="2931"/>
      <c r="J29" s="2934">
        <f t="shared" si="2"/>
        <v>167.97933705118282</v>
      </c>
    </row>
    <row r="30" spans="2:10" ht="18" customHeight="1" thickBot="1" x14ac:dyDescent="0.25">
      <c r="B30" s="1297" t="s">
        <v>708</v>
      </c>
      <c r="C30" s="2945"/>
      <c r="D30" s="2946"/>
      <c r="E30" s="2947">
        <f>SUM('Table3.B(b)'!Y46:Z46)</f>
        <v>0.29269829546386428</v>
      </c>
      <c r="F30" s="2948"/>
      <c r="G30" s="2948"/>
      <c r="H30" s="2949"/>
      <c r="I30" s="2950"/>
      <c r="J30" s="2934">
        <f t="shared" si="2"/>
        <v>77.565048297924037</v>
      </c>
    </row>
    <row r="31" spans="2:10" ht="18" customHeight="1" thickBot="1" x14ac:dyDescent="0.25">
      <c r="B31" s="2639" t="s">
        <v>709</v>
      </c>
      <c r="C31" s="2951"/>
      <c r="D31" s="2952">
        <f>Table3.C!G11</f>
        <v>10.599853529999999</v>
      </c>
      <c r="E31" s="2953"/>
      <c r="F31" s="2953"/>
      <c r="G31" s="2953"/>
      <c r="H31" s="2954" t="s">
        <v>2154</v>
      </c>
      <c r="I31" s="2955"/>
      <c r="J31" s="2956">
        <f t="shared" si="2"/>
        <v>296.79589883999995</v>
      </c>
    </row>
    <row r="32" spans="2:10" ht="18" customHeight="1" x14ac:dyDescent="0.2">
      <c r="B32" s="2638" t="s">
        <v>2020</v>
      </c>
      <c r="C32" s="2957"/>
      <c r="D32" s="2958" t="s">
        <v>2154</v>
      </c>
      <c r="E32" s="2958">
        <f>IF(SUM(E33,E41)=0,"NO",SUM(E33,E41))</f>
        <v>44.108820102634994</v>
      </c>
      <c r="F32" s="2958" t="str">
        <f>IF(SUM(F33,F41)=0,"NO",SUM(F33,F41))</f>
        <v>NO</v>
      </c>
      <c r="G32" s="2958" t="str">
        <f>IF(SUM(G33,G41)=0,"NO",SUM(G33,G41))</f>
        <v>NO</v>
      </c>
      <c r="H32" s="2958" t="str">
        <f>IF(SUM(H33,H41)=0,"NO",SUM(H33,H41))</f>
        <v>NO</v>
      </c>
      <c r="I32" s="2959"/>
      <c r="J32" s="2960">
        <f t="shared" si="2"/>
        <v>11688.837327198273</v>
      </c>
    </row>
    <row r="33" spans="2:10" ht="18" customHeight="1" x14ac:dyDescent="0.2">
      <c r="B33" s="228" t="s">
        <v>710</v>
      </c>
      <c r="C33" s="2961"/>
      <c r="D33" s="2962" t="s">
        <v>2154</v>
      </c>
      <c r="E33" s="2962">
        <f>IF(SUM(E34:E40)=0,"NO",SUM(E34:E40))</f>
        <v>33.466285003753534</v>
      </c>
      <c r="F33" s="2962" t="str">
        <f>IF(SUM(F34:F40)=0,"NO",SUM(F34:F40))</f>
        <v>NO</v>
      </c>
      <c r="G33" s="2962" t="str">
        <f>IF(SUM(G34:G40)=0,"NO",SUM(G34:G40))</f>
        <v>NO</v>
      </c>
      <c r="H33" s="2962" t="str">
        <f>IF(SUM(H34:H40)=0,"NO",SUM(H34:H40))</f>
        <v>NO</v>
      </c>
      <c r="I33" s="2931"/>
      <c r="J33" s="2963">
        <f t="shared" si="2"/>
        <v>8868.5655259946871</v>
      </c>
    </row>
    <row r="34" spans="2:10" ht="18" customHeight="1" x14ac:dyDescent="0.2">
      <c r="B34" s="232" t="s">
        <v>711</v>
      </c>
      <c r="C34" s="2961"/>
      <c r="D34" s="2905" t="s">
        <v>2154</v>
      </c>
      <c r="E34" s="2962">
        <f>Table3.D!F11</f>
        <v>7.0841294742700294</v>
      </c>
      <c r="F34" s="2964" t="s">
        <v>2147</v>
      </c>
      <c r="G34" s="2964" t="s">
        <v>2147</v>
      </c>
      <c r="H34" s="2964" t="s">
        <v>2147</v>
      </c>
      <c r="I34" s="2931"/>
      <c r="J34" s="2963">
        <f t="shared" si="2"/>
        <v>1877.2943106815578</v>
      </c>
    </row>
    <row r="35" spans="2:10" ht="18" customHeight="1" x14ac:dyDescent="0.2">
      <c r="B35" s="232" t="s">
        <v>712</v>
      </c>
      <c r="C35" s="2961"/>
      <c r="D35" s="2905" t="s">
        <v>2154</v>
      </c>
      <c r="E35" s="2962">
        <f>Table3.D!F12</f>
        <v>1.2957228016832809</v>
      </c>
      <c r="F35" s="2964" t="s">
        <v>2147</v>
      </c>
      <c r="G35" s="2964" t="s">
        <v>2147</v>
      </c>
      <c r="H35" s="2965" t="s">
        <v>2147</v>
      </c>
      <c r="I35" s="2931"/>
      <c r="J35" s="2963">
        <f t="shared" si="2"/>
        <v>343.36654244606945</v>
      </c>
    </row>
    <row r="36" spans="2:10" ht="18" customHeight="1" x14ac:dyDescent="0.2">
      <c r="B36" s="232" t="s">
        <v>713</v>
      </c>
      <c r="C36" s="2961"/>
      <c r="D36" s="2905" t="s">
        <v>2154</v>
      </c>
      <c r="E36" s="2962">
        <f>Table3.D!F16</f>
        <v>12.101890256186582</v>
      </c>
      <c r="F36" s="2964" t="s">
        <v>2147</v>
      </c>
      <c r="G36" s="2964" t="s">
        <v>2147</v>
      </c>
      <c r="H36" s="2965" t="s">
        <v>2147</v>
      </c>
      <c r="I36" s="2931"/>
      <c r="J36" s="2963">
        <f t="shared" si="2"/>
        <v>3207.0009178894443</v>
      </c>
    </row>
    <row r="37" spans="2:10" ht="18" customHeight="1" x14ac:dyDescent="0.2">
      <c r="B37" s="232" t="s">
        <v>714</v>
      </c>
      <c r="C37" s="2961"/>
      <c r="D37" s="2905" t="s">
        <v>2154</v>
      </c>
      <c r="E37" s="2962">
        <f>Table3.D!F17</f>
        <v>12.644098052359372</v>
      </c>
      <c r="F37" s="2964" t="s">
        <v>2147</v>
      </c>
      <c r="G37" s="2964" t="s">
        <v>2147</v>
      </c>
      <c r="H37" s="2965" t="s">
        <v>2147</v>
      </c>
      <c r="I37" s="2931"/>
      <c r="J37" s="2963">
        <f t="shared" si="2"/>
        <v>3350.6859838752334</v>
      </c>
    </row>
    <row r="38" spans="2:10" ht="18" customHeight="1" x14ac:dyDescent="0.2">
      <c r="B38" s="1705" t="s">
        <v>715</v>
      </c>
      <c r="C38" s="2961"/>
      <c r="D38" s="2905" t="s">
        <v>2154</v>
      </c>
      <c r="E38" s="2962">
        <f>Table3.D!F18</f>
        <v>0.25244441925427774</v>
      </c>
      <c r="F38" s="2964" t="s">
        <v>2147</v>
      </c>
      <c r="G38" s="2964" t="s">
        <v>2147</v>
      </c>
      <c r="H38" s="2965" t="s">
        <v>2147</v>
      </c>
      <c r="I38" s="2931"/>
      <c r="J38" s="2963">
        <f t="shared" si="2"/>
        <v>66.897771102383601</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10.642535098881456</v>
      </c>
      <c r="F41" s="2969" t="s">
        <v>2147</v>
      </c>
      <c r="G41" s="2969" t="s">
        <v>2147</v>
      </c>
      <c r="H41" s="2970" t="s">
        <v>2147</v>
      </c>
      <c r="I41" s="2971"/>
      <c r="J41" s="2972">
        <f t="shared" si="2"/>
        <v>2820.2718012035862</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13.764206972860329</v>
      </c>
      <c r="E43" s="2979">
        <f>SUM(Table3.F!J10,Table3.F!J20,Table3.F!J23,Table3.F!J26:J27)</f>
        <v>0.56800355511383682</v>
      </c>
      <c r="F43" s="2909">
        <v>32.81647333971091</v>
      </c>
      <c r="G43" s="2909">
        <v>536.80407194155293</v>
      </c>
      <c r="H43" s="2910">
        <v>31.313570863257247</v>
      </c>
      <c r="I43" s="2980" t="s">
        <v>2146</v>
      </c>
      <c r="J43" s="2981">
        <f t="shared" si="2"/>
        <v>535.91873734525598</v>
      </c>
    </row>
    <row r="44" spans="2:10" ht="18" customHeight="1" thickBot="1" x14ac:dyDescent="0.25">
      <c r="B44" s="2641" t="s">
        <v>721</v>
      </c>
      <c r="C44" s="2982">
        <f>'Table3.G-J'!E10</f>
        <v>1079.5133123531791</v>
      </c>
      <c r="D44" s="2983"/>
      <c r="E44" s="2983"/>
      <c r="F44" s="2983"/>
      <c r="G44" s="2983"/>
      <c r="H44" s="2984"/>
      <c r="I44" s="2985"/>
      <c r="J44" s="2981">
        <f t="shared" si="2"/>
        <v>1079.5133123531791</v>
      </c>
    </row>
    <row r="45" spans="2:10" ht="18" customHeight="1" thickBot="1" x14ac:dyDescent="0.25">
      <c r="B45" s="2641" t="s">
        <v>722</v>
      </c>
      <c r="C45" s="2982">
        <f>'Table3.G-J'!E13</f>
        <v>955.55675560913323</v>
      </c>
      <c r="D45" s="2983"/>
      <c r="E45" s="2983"/>
      <c r="F45" s="2983"/>
      <c r="G45" s="2983"/>
      <c r="H45" s="2984"/>
      <c r="I45" s="2985"/>
      <c r="J45" s="2981">
        <f t="shared" si="2"/>
        <v>955.55675560913323</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27836.294000000002</v>
      </c>
      <c r="D10" s="3241"/>
      <c r="E10" s="3241"/>
      <c r="F10" s="3131">
        <f>IF(SUM(C10)=0,"NA",G10*1000/C10)</f>
        <v>56.572639157302817</v>
      </c>
      <c r="G10" s="3242">
        <f>G15</f>
        <v>1574.7726159385936</v>
      </c>
      <c r="I10" s="275" t="s">
        <v>738</v>
      </c>
      <c r="J10" s="276" t="s">
        <v>739</v>
      </c>
      <c r="K10" s="691">
        <v>459.55683297599597</v>
      </c>
      <c r="L10" s="691">
        <v>365.192737206</v>
      </c>
      <c r="M10" s="3147">
        <v>524.43046762699998</v>
      </c>
      <c r="N10" s="3147">
        <v>44.513916791242202</v>
      </c>
      <c r="O10" s="2911">
        <v>54.164820292456902</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13.9242747021665</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27836.294000000002</v>
      </c>
      <c r="D15" s="3248"/>
      <c r="E15" s="3248"/>
      <c r="F15" s="3131">
        <f>IF(SUM(C15)=0,"NA",G15*1000/C15)</f>
        <v>56.572639157302817</v>
      </c>
      <c r="G15" s="3249">
        <f>G20</f>
        <v>1574.7726159385936</v>
      </c>
      <c r="I15" s="1777" t="s">
        <v>748</v>
      </c>
      <c r="J15" s="1849" t="s">
        <v>297</v>
      </c>
      <c r="K15" s="3445">
        <v>75</v>
      </c>
      <c r="L15" s="3445">
        <v>58.019296107664601</v>
      </c>
      <c r="M15" s="1560">
        <v>80.631405420311594</v>
      </c>
      <c r="N15" s="1560">
        <v>66.710885197667096</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1574.7726159385936</v>
      </c>
      <c r="I20" s="72"/>
      <c r="J20" s="288"/>
      <c r="K20" s="288"/>
      <c r="L20" s="288"/>
      <c r="M20" s="288"/>
      <c r="N20" s="288"/>
      <c r="O20" s="288"/>
    </row>
    <row r="21" spans="2:15" ht="18" customHeight="1" x14ac:dyDescent="0.2">
      <c r="B21" s="2633" t="s">
        <v>2196</v>
      </c>
      <c r="C21" s="3272">
        <v>3067.7109999999998</v>
      </c>
      <c r="D21" s="3257">
        <v>229.004366299574</v>
      </c>
      <c r="E21" s="3257">
        <v>6.1513144144542702</v>
      </c>
      <c r="F21" s="3131">
        <f t="shared" ref="F21:F30" si="0">IF(SUM(C21)=0,"NA",G21*1000/C21)</f>
        <v>93.112529843269002</v>
      </c>
      <c r="G21" s="3239">
        <v>285.64233203802456</v>
      </c>
      <c r="I21" s="72"/>
      <c r="J21" s="288"/>
      <c r="K21" s="288"/>
      <c r="L21" s="288"/>
      <c r="M21" s="288"/>
      <c r="N21" s="288"/>
      <c r="O21" s="288"/>
    </row>
    <row r="22" spans="2:15" ht="18" customHeight="1" x14ac:dyDescent="0.2">
      <c r="B22" s="2633" t="s">
        <v>2197</v>
      </c>
      <c r="C22" s="3272">
        <v>24084.004000000001</v>
      </c>
      <c r="D22" s="3257">
        <v>125.732514787131</v>
      </c>
      <c r="E22" s="3257">
        <v>6.21225</v>
      </c>
      <c r="F22" s="3131">
        <f t="shared" si="0"/>
        <v>51.628914651328984</v>
      </c>
      <c r="G22" s="3239">
        <v>1243.430986978266</v>
      </c>
      <c r="I22" s="72"/>
      <c r="J22" s="288"/>
      <c r="K22" s="288"/>
      <c r="L22" s="288"/>
      <c r="M22" s="288"/>
      <c r="N22" s="288"/>
      <c r="O22" s="288"/>
    </row>
    <row r="23" spans="2:15" ht="18" customHeight="1" x14ac:dyDescent="0.2">
      <c r="B23" s="2633" t="s">
        <v>2198</v>
      </c>
      <c r="C23" s="3272">
        <v>684.57899999999995</v>
      </c>
      <c r="D23" s="3257">
        <v>202.51155996359299</v>
      </c>
      <c r="E23" s="3257">
        <v>4.9870012523213099</v>
      </c>
      <c r="F23" s="3131">
        <f t="shared" si="0"/>
        <v>66.755329804599825</v>
      </c>
      <c r="G23" s="3239">
        <v>45.699296922303141</v>
      </c>
      <c r="I23" s="72"/>
      <c r="J23" s="288"/>
      <c r="K23" s="288"/>
      <c r="L23" s="288"/>
      <c r="M23" s="288"/>
      <c r="N23" s="288"/>
      <c r="O23" s="288"/>
    </row>
    <row r="24" spans="2:15" ht="18" customHeight="1" x14ac:dyDescent="0.2">
      <c r="B24" s="287" t="s">
        <v>753</v>
      </c>
      <c r="C24" s="2635">
        <f>C25</f>
        <v>100973.052</v>
      </c>
      <c r="D24" s="3258"/>
      <c r="E24" s="3258"/>
      <c r="F24" s="3131">
        <f t="shared" si="0"/>
        <v>6.7652346887221491</v>
      </c>
      <c r="G24" s="3128">
        <f>G25</f>
        <v>683.10639401654544</v>
      </c>
      <c r="I24" s="72"/>
    </row>
    <row r="25" spans="2:15" ht="18" customHeight="1" x14ac:dyDescent="0.2">
      <c r="B25" s="282" t="s">
        <v>754</v>
      </c>
      <c r="C25" s="2635">
        <f>C26</f>
        <v>100973.052</v>
      </c>
      <c r="D25" s="3258"/>
      <c r="E25" s="3258"/>
      <c r="F25" s="3131">
        <f t="shared" si="0"/>
        <v>6.7652346887221491</v>
      </c>
      <c r="G25" s="3128">
        <f>G26</f>
        <v>683.10639401654544</v>
      </c>
    </row>
    <row r="26" spans="2:15" ht="18" customHeight="1" x14ac:dyDescent="0.2">
      <c r="B26" s="2634" t="s">
        <v>2201</v>
      </c>
      <c r="C26" s="289">
        <v>100973.052</v>
      </c>
      <c r="D26" s="3259">
        <v>16.594147266597901</v>
      </c>
      <c r="E26" s="3259">
        <v>6.1678168042311601</v>
      </c>
      <c r="F26" s="3131">
        <f t="shared" si="0"/>
        <v>6.7652346887221491</v>
      </c>
      <c r="G26" s="3240">
        <v>683.10639401654544</v>
      </c>
    </row>
    <row r="27" spans="2:15" ht="18" customHeight="1" x14ac:dyDescent="0.2">
      <c r="B27" s="287" t="s">
        <v>755</v>
      </c>
      <c r="C27" s="2635">
        <f>C28</f>
        <v>2651.1179999999999</v>
      </c>
      <c r="D27" s="3258"/>
      <c r="E27" s="3258"/>
      <c r="F27" s="3131">
        <f t="shared" si="0"/>
        <v>1.578579153497117</v>
      </c>
      <c r="G27" s="3128">
        <f>G28</f>
        <v>4.1849996082609699</v>
      </c>
    </row>
    <row r="28" spans="2:15" ht="18" customHeight="1" x14ac:dyDescent="0.2">
      <c r="B28" s="282" t="s">
        <v>756</v>
      </c>
      <c r="C28" s="2635">
        <f>C29</f>
        <v>2651.1179999999999</v>
      </c>
      <c r="D28" s="3258"/>
      <c r="E28" s="3258"/>
      <c r="F28" s="3131">
        <f t="shared" si="0"/>
        <v>1.578579153497117</v>
      </c>
      <c r="G28" s="3128">
        <f>G29</f>
        <v>4.1849996082609699</v>
      </c>
    </row>
    <row r="29" spans="2:15" ht="18" customHeight="1" x14ac:dyDescent="0.2">
      <c r="B29" s="2634" t="s">
        <v>817</v>
      </c>
      <c r="C29" s="289">
        <v>2651.1179999999999</v>
      </c>
      <c r="D29" s="3259">
        <v>34.117084340296401</v>
      </c>
      <c r="E29" s="3259">
        <v>0.7</v>
      </c>
      <c r="F29" s="3131">
        <f t="shared" si="0"/>
        <v>1.578579153497117</v>
      </c>
      <c r="G29" s="3240">
        <v>4.1849996082609699</v>
      </c>
    </row>
    <row r="30" spans="2:15" ht="18" customHeight="1" x14ac:dyDescent="0.2">
      <c r="B30" s="287" t="s">
        <v>757</v>
      </c>
      <c r="C30" s="2635">
        <f>SUM(C32:C39)</f>
        <v>62453.851999999999</v>
      </c>
      <c r="D30" s="3258"/>
      <c r="E30" s="3258"/>
      <c r="F30" s="3131">
        <f t="shared" si="0"/>
        <v>0.15636276670735005</v>
      </c>
      <c r="G30" s="3128">
        <f>SUM(G32:G39)</f>
        <v>9.7654570902513687</v>
      </c>
    </row>
    <row r="31" spans="2:15" ht="18" customHeight="1" x14ac:dyDescent="0.2">
      <c r="B31" s="1305" t="s">
        <v>345</v>
      </c>
      <c r="C31" s="3273"/>
      <c r="D31" s="3261"/>
      <c r="E31" s="3261"/>
      <c r="F31" s="3261"/>
      <c r="G31" s="3262"/>
    </row>
    <row r="32" spans="2:15" ht="18" customHeight="1" x14ac:dyDescent="0.2">
      <c r="B32" s="286" t="s">
        <v>758</v>
      </c>
      <c r="C32" s="3267">
        <v>8.359</v>
      </c>
      <c r="D32" s="3263" t="s">
        <v>2147</v>
      </c>
      <c r="E32" s="3263" t="s">
        <v>2147</v>
      </c>
      <c r="F32" s="3131">
        <f t="shared" ref="F32:F40" si="1">IF(SUM(C32)=0,"NA",G32*1000/C32)</f>
        <v>76</v>
      </c>
      <c r="G32" s="3239">
        <v>0.63528399999999996</v>
      </c>
    </row>
    <row r="33" spans="2:7" ht="18" customHeight="1" x14ac:dyDescent="0.2">
      <c r="B33" s="286" t="s">
        <v>759</v>
      </c>
      <c r="C33" s="3267">
        <v>1.9730000000000001</v>
      </c>
      <c r="D33" s="3263" t="s">
        <v>2147</v>
      </c>
      <c r="E33" s="3263" t="s">
        <v>2147</v>
      </c>
      <c r="F33" s="3131">
        <f t="shared" si="1"/>
        <v>46.008602510660921</v>
      </c>
      <c r="G33" s="3239">
        <v>9.0774972753533995E-2</v>
      </c>
    </row>
    <row r="34" spans="2:7" ht="18" customHeight="1" x14ac:dyDescent="0.2">
      <c r="B34" s="286" t="s">
        <v>760</v>
      </c>
      <c r="C34" s="3267">
        <v>78.744</v>
      </c>
      <c r="D34" s="3263" t="s">
        <v>2147</v>
      </c>
      <c r="E34" s="3263" t="s">
        <v>2147</v>
      </c>
      <c r="F34" s="3131">
        <f t="shared" si="1"/>
        <v>19.99989840495784</v>
      </c>
      <c r="G34" s="3239">
        <v>1.574872</v>
      </c>
    </row>
    <row r="35" spans="2:7" ht="18" customHeight="1" x14ac:dyDescent="0.2">
      <c r="B35" s="286" t="s">
        <v>761</v>
      </c>
      <c r="C35" s="3267">
        <v>594.68600000000004</v>
      </c>
      <c r="D35" s="3263" t="s">
        <v>2147</v>
      </c>
      <c r="E35" s="3263" t="s">
        <v>2147</v>
      </c>
      <c r="F35" s="3131">
        <f t="shared" si="1"/>
        <v>4.9999999999999991</v>
      </c>
      <c r="G35" s="3239">
        <v>2.97343</v>
      </c>
    </row>
    <row r="36" spans="2:7" ht="18" customHeight="1" x14ac:dyDescent="0.2">
      <c r="B36" s="286" t="s">
        <v>762</v>
      </c>
      <c r="C36" s="3267">
        <v>219.148</v>
      </c>
      <c r="D36" s="3263" t="s">
        <v>2147</v>
      </c>
      <c r="E36" s="3263" t="s">
        <v>2147</v>
      </c>
      <c r="F36" s="3131">
        <f t="shared" si="1"/>
        <v>18.000008213627318</v>
      </c>
      <c r="G36" s="3239">
        <v>3.9446657999999997</v>
      </c>
    </row>
    <row r="37" spans="2:7" ht="18" customHeight="1" x14ac:dyDescent="0.2">
      <c r="B37" s="286" t="s">
        <v>763</v>
      </c>
      <c r="C37" s="3267">
        <v>0.27700000000000002</v>
      </c>
      <c r="D37" s="3263" t="s">
        <v>2147</v>
      </c>
      <c r="E37" s="3263" t="s">
        <v>2147</v>
      </c>
      <c r="F37" s="3131">
        <f t="shared" si="1"/>
        <v>10.005158485612297</v>
      </c>
      <c r="G37" s="3239">
        <v>2.7714289005146063E-3</v>
      </c>
    </row>
    <row r="38" spans="2:7" ht="18" customHeight="1" x14ac:dyDescent="0.2">
      <c r="B38" s="286" t="s">
        <v>764</v>
      </c>
      <c r="C38" s="3274">
        <v>61464.203000000001</v>
      </c>
      <c r="D38" s="3263" t="s">
        <v>2147</v>
      </c>
      <c r="E38" s="3263" t="s">
        <v>2147</v>
      </c>
      <c r="F38" s="3131" t="s">
        <v>2147</v>
      </c>
      <c r="G38" s="3264" t="s">
        <v>2154</v>
      </c>
    </row>
    <row r="39" spans="2:7" ht="18" customHeight="1" x14ac:dyDescent="0.2">
      <c r="B39" s="286" t="s">
        <v>765</v>
      </c>
      <c r="C39" s="2635">
        <f>SUM(C40:C44)</f>
        <v>86.461999999999989</v>
      </c>
      <c r="D39" s="3258"/>
      <c r="E39" s="3258"/>
      <c r="F39" s="3131">
        <f t="shared" si="1"/>
        <v>6.2878361430145082</v>
      </c>
      <c r="G39" s="3128">
        <f>SUM(G40:G44)</f>
        <v>0.54365888859732037</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49.345999999999997</v>
      </c>
      <c r="D42" s="2967" t="s">
        <v>2147</v>
      </c>
      <c r="E42" s="2967" t="s">
        <v>2147</v>
      </c>
      <c r="F42" s="3131">
        <f t="shared" si="2"/>
        <v>4.9999729799105648</v>
      </c>
      <c r="G42" s="3201">
        <v>0.24672866666666673</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37.116</v>
      </c>
      <c r="D44" s="3258"/>
      <c r="E44" s="3258"/>
      <c r="F44" s="3131">
        <f>IF(SUM(C44)=0,"NA",G44*1000/C44)</f>
        <v>8.0000598644965422</v>
      </c>
      <c r="G44" s="3128">
        <f>G45</f>
        <v>0.29693022193065366</v>
      </c>
    </row>
    <row r="45" spans="2:7" ht="18" customHeight="1" thickBot="1" x14ac:dyDescent="0.25">
      <c r="B45" s="2636" t="s">
        <v>2199</v>
      </c>
      <c r="C45" s="3276">
        <v>37.116</v>
      </c>
      <c r="D45" s="3137" t="s">
        <v>2147</v>
      </c>
      <c r="E45" s="3137" t="s">
        <v>2147</v>
      </c>
      <c r="F45" s="3265">
        <f>IF(SUM(C45)=0,"NA",G45*1000/C45)</f>
        <v>8.0000598644965422</v>
      </c>
      <c r="G45" s="3203">
        <v>0.29693022193065366</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27836.294000000002</v>
      </c>
      <c r="D10" s="2942"/>
      <c r="E10" s="2942"/>
      <c r="F10" s="2942"/>
      <c r="G10" s="2942"/>
      <c r="H10" s="2942"/>
      <c r="I10" s="3279"/>
      <c r="J10" s="3280">
        <f>IF(SUM(C10)=0,"NA",K10*1000/C10)</f>
        <v>5.2469927703728159</v>
      </c>
      <c r="K10" s="3281">
        <f>K15</f>
        <v>146.0568333719722</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27836.294000000002</v>
      </c>
      <c r="D15" s="3293"/>
      <c r="E15" s="3293"/>
      <c r="F15" s="3293"/>
      <c r="G15" s="3293"/>
      <c r="H15" s="3293"/>
      <c r="I15" s="3288"/>
      <c r="J15" s="3287">
        <f>IF(SUM(C15)=0,"NA",K15*1000/C15)</f>
        <v>5.2469927703728159</v>
      </c>
      <c r="K15" s="3281">
        <f>SUM(K17:K20)</f>
        <v>146.0568333719722</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27836.294000000002</v>
      </c>
      <c r="D20" s="3293"/>
      <c r="E20" s="3293"/>
      <c r="F20" s="3293"/>
      <c r="G20" s="3293"/>
      <c r="H20" s="3293"/>
      <c r="I20" s="3288"/>
      <c r="J20" s="3301">
        <f>IF(SUM(C20)=0,"NA",K20*1000/C20)</f>
        <v>5.2469927703728159</v>
      </c>
      <c r="K20" s="3281">
        <f>SUM(K21:K23)</f>
        <v>146.0568333719722</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3067.7109999999998</v>
      </c>
      <c r="D21" s="3325">
        <v>6.1752565851091301</v>
      </c>
      <c r="E21" s="3325">
        <v>93.786859440440935</v>
      </c>
      <c r="F21" s="3325">
        <v>3.7883974449940003E-2</v>
      </c>
      <c r="G21" s="3298">
        <f>Table3.A!K10</f>
        <v>459.55683297599597</v>
      </c>
      <c r="H21" s="3299">
        <v>3.2894470530156301</v>
      </c>
      <c r="I21" s="3300">
        <v>0.24</v>
      </c>
      <c r="J21" s="3301">
        <f>IF(SUM(C21)=0,"NA",K21*1000/C21)</f>
        <v>10.505849386278227</v>
      </c>
      <c r="K21" s="3277">
        <v>32.228909726628963</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24084.004000000001</v>
      </c>
      <c r="D22" s="3325" t="s">
        <v>2146</v>
      </c>
      <c r="E22" s="3325">
        <v>84.896962763670501</v>
      </c>
      <c r="F22" s="3325">
        <v>15.1030372363295</v>
      </c>
      <c r="G22" s="3298">
        <f>Table3.A!L10</f>
        <v>365.192737206</v>
      </c>
      <c r="H22" s="3299" t="s">
        <v>2147</v>
      </c>
      <c r="I22" s="3300" t="s">
        <v>2147</v>
      </c>
      <c r="J22" s="3301">
        <f t="shared" ref="J22:J45" si="0">IF(SUM(C22)=0,"NA",K22*1000/C22)</f>
        <v>4.6254980329085846</v>
      </c>
      <c r="K22" s="3277">
        <v>111.40051312656249</v>
      </c>
      <c r="M22" s="1594" t="s">
        <v>800</v>
      </c>
      <c r="N22" s="4486" t="s">
        <v>2196</v>
      </c>
      <c r="O22" s="1690" t="s">
        <v>802</v>
      </c>
      <c r="P22" s="1691" t="s">
        <v>791</v>
      </c>
      <c r="Q22" s="3774">
        <v>4.4056509913895399</v>
      </c>
      <c r="R22" s="300" t="s">
        <v>2146</v>
      </c>
      <c r="S22" s="3772">
        <v>5.3220781067081999</v>
      </c>
      <c r="T22" s="3772">
        <v>0.72589329554687854</v>
      </c>
      <c r="U22" s="3772" t="s">
        <v>2146</v>
      </c>
      <c r="V22" s="3772" t="s">
        <v>2153</v>
      </c>
      <c r="W22" s="3772" t="s">
        <v>2146</v>
      </c>
      <c r="X22" s="3772">
        <v>89.546377606355406</v>
      </c>
      <c r="Y22" s="301" t="s">
        <v>2146</v>
      </c>
      <c r="Z22" s="301" t="s">
        <v>2146</v>
      </c>
      <c r="AA22" s="301" t="s">
        <v>2146</v>
      </c>
      <c r="AB22" s="1306" t="s">
        <v>2146</v>
      </c>
    </row>
    <row r="23" spans="2:28" s="84" customFormat="1" ht="18" customHeight="1" x14ac:dyDescent="0.2">
      <c r="B23" s="2642" t="s">
        <v>2198</v>
      </c>
      <c r="C23" s="3325">
        <f>Table3.A!C23</f>
        <v>684.57899999999995</v>
      </c>
      <c r="D23" s="3325" t="s">
        <v>2146</v>
      </c>
      <c r="E23" s="3325">
        <v>100</v>
      </c>
      <c r="F23" s="3325" t="s">
        <v>2146</v>
      </c>
      <c r="G23" s="3298">
        <f>Table3.A!M10</f>
        <v>524.43046762699998</v>
      </c>
      <c r="H23" s="3299">
        <v>1.7160343824028601</v>
      </c>
      <c r="I23" s="3300">
        <v>0.19</v>
      </c>
      <c r="J23" s="3301">
        <f t="shared" si="0"/>
        <v>3.5458442616276078</v>
      </c>
      <c r="K23" s="3277">
        <v>2.427410518780766</v>
      </c>
      <c r="M23" s="1664" t="s">
        <v>813</v>
      </c>
      <c r="N23" s="4487"/>
      <c r="O23" s="1692" t="s">
        <v>794</v>
      </c>
      <c r="P23" s="1693" t="s">
        <v>792</v>
      </c>
      <c r="Q23" s="3776">
        <v>5.6745869338109296</v>
      </c>
      <c r="R23" s="277" t="s">
        <v>2146</v>
      </c>
      <c r="S23" s="691">
        <v>3.9869734381731501</v>
      </c>
      <c r="T23" s="3147">
        <v>1.1213977313605397</v>
      </c>
      <c r="U23" s="3147" t="s">
        <v>2146</v>
      </c>
      <c r="V23" s="3147" t="s">
        <v>2153</v>
      </c>
      <c r="W23" s="3147" t="s">
        <v>2146</v>
      </c>
      <c r="X23" s="3147">
        <v>89.217041896655402</v>
      </c>
      <c r="Y23" s="278" t="s">
        <v>2146</v>
      </c>
      <c r="Z23" s="278" t="s">
        <v>2146</v>
      </c>
      <c r="AA23" s="278" t="s">
        <v>2146</v>
      </c>
      <c r="AB23" s="279" t="s">
        <v>2146</v>
      </c>
    </row>
    <row r="24" spans="2:28" s="84" customFormat="1" ht="18" customHeight="1" thickBot="1" x14ac:dyDescent="0.25">
      <c r="B24" s="1643" t="s">
        <v>811</v>
      </c>
      <c r="C24" s="4184">
        <f>C25</f>
        <v>100973.052</v>
      </c>
      <c r="D24" s="3303"/>
      <c r="E24" s="3303"/>
      <c r="F24" s="3303"/>
      <c r="G24" s="3303"/>
      <c r="H24" s="3303"/>
      <c r="I24" s="3304"/>
      <c r="J24" s="3301">
        <f t="shared" si="0"/>
        <v>0.34346920104553696</v>
      </c>
      <c r="K24" s="3281">
        <f>K25</f>
        <v>34.681133497569455</v>
      </c>
      <c r="M24" s="1656"/>
      <c r="N24" s="4487"/>
      <c r="O24" s="1694"/>
      <c r="P24" s="1693" t="s">
        <v>793</v>
      </c>
      <c r="Q24" s="4208">
        <v>4.15257267012261</v>
      </c>
      <c r="R24" s="304" t="s">
        <v>2146</v>
      </c>
      <c r="S24" s="1559">
        <v>7.1673209786425396</v>
      </c>
      <c r="T24" s="1560">
        <v>2.0033488759842095</v>
      </c>
      <c r="U24" s="1560" t="s">
        <v>2146</v>
      </c>
      <c r="V24" s="1560" t="s">
        <v>2153</v>
      </c>
      <c r="W24" s="1560" t="s">
        <v>2146</v>
      </c>
      <c r="X24" s="1560">
        <v>86.676757475250696</v>
      </c>
      <c r="Y24" s="305" t="s">
        <v>2146</v>
      </c>
      <c r="Z24" s="305" t="s">
        <v>2146</v>
      </c>
      <c r="AA24" s="305" t="s">
        <v>2146</v>
      </c>
      <c r="AB24" s="442" t="s">
        <v>2146</v>
      </c>
    </row>
    <row r="25" spans="2:28" s="84" customFormat="1" ht="18" customHeight="1" x14ac:dyDescent="0.2">
      <c r="B25" s="1644" t="s">
        <v>812</v>
      </c>
      <c r="C25" s="4184">
        <f>C26</f>
        <v>100973.052</v>
      </c>
      <c r="D25" s="3250"/>
      <c r="E25" s="3250"/>
      <c r="F25" s="3250"/>
      <c r="G25" s="3250"/>
      <c r="H25" s="3250"/>
      <c r="I25" s="3260"/>
      <c r="J25" s="3301">
        <f t="shared" si="0"/>
        <v>0.34346920104553696</v>
      </c>
      <c r="K25" s="3281">
        <f>K26</f>
        <v>34.681133497569455</v>
      </c>
      <c r="M25" s="1656"/>
      <c r="N25" s="4487"/>
      <c r="O25" s="1695" t="s">
        <v>2026</v>
      </c>
      <c r="P25" s="1691" t="s">
        <v>791</v>
      </c>
      <c r="Q25" s="4209">
        <v>0.70001113211814003</v>
      </c>
      <c r="R25" s="1308" t="s">
        <v>2146</v>
      </c>
      <c r="S25" s="692">
        <v>2.8655391697000002E-2</v>
      </c>
      <c r="T25" s="3141">
        <v>1.9999999999999998</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100973.052</v>
      </c>
      <c r="D26" s="3325" t="s">
        <v>2146</v>
      </c>
      <c r="E26" s="3325">
        <v>100</v>
      </c>
      <c r="F26" s="3325" t="s">
        <v>2146</v>
      </c>
      <c r="G26" s="3305">
        <f>Table3.A!N10</f>
        <v>44.513916791242202</v>
      </c>
      <c r="H26" s="3033" t="s">
        <v>2147</v>
      </c>
      <c r="I26" s="3126" t="s">
        <v>2147</v>
      </c>
      <c r="J26" s="3301">
        <f t="shared" si="0"/>
        <v>0.34346920104553696</v>
      </c>
      <c r="K26" s="3277">
        <v>34.681133497569455</v>
      </c>
      <c r="M26" s="1656"/>
      <c r="N26" s="4487"/>
      <c r="O26" s="1696"/>
      <c r="P26" s="1693" t="s">
        <v>792</v>
      </c>
      <c r="Q26" s="3776">
        <v>0.74452583300081998</v>
      </c>
      <c r="R26" s="277" t="s">
        <v>2146</v>
      </c>
      <c r="S26" s="691">
        <v>7.4563180582480001E-2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2651.1179999999999</v>
      </c>
      <c r="D27" s="3250"/>
      <c r="E27" s="3250"/>
      <c r="F27" s="3250"/>
      <c r="G27" s="3250"/>
      <c r="H27" s="3250"/>
      <c r="I27" s="3260"/>
      <c r="J27" s="3301">
        <f t="shared" si="0"/>
        <v>20.672972967606405</v>
      </c>
      <c r="K27" s="3281">
        <f>K28</f>
        <v>54.806490747934753</v>
      </c>
      <c r="M27" s="1656"/>
      <c r="N27" s="4488"/>
      <c r="O27" s="1697"/>
      <c r="P27" s="1693" t="s">
        <v>793</v>
      </c>
      <c r="Q27" s="4208">
        <v>0.8</v>
      </c>
      <c r="R27" s="304" t="s">
        <v>2146</v>
      </c>
      <c r="S27" s="1559">
        <v>0.25865671641790999</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2651.1179999999999</v>
      </c>
      <c r="D28" s="3250"/>
      <c r="E28" s="3250"/>
      <c r="F28" s="3250"/>
      <c r="G28" s="3250"/>
      <c r="H28" s="3250"/>
      <c r="I28" s="3260"/>
      <c r="J28" s="3301">
        <f t="shared" si="0"/>
        <v>20.672972967606405</v>
      </c>
      <c r="K28" s="3281">
        <f>K29</f>
        <v>54.806490747934753</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2651.1179999999999</v>
      </c>
      <c r="D29" s="3325">
        <v>0.55637543358622998</v>
      </c>
      <c r="E29" s="3325">
        <v>99.443624566413774</v>
      </c>
      <c r="F29" s="3325" t="s">
        <v>2146</v>
      </c>
      <c r="G29" s="3305">
        <f>Table3.A!O10</f>
        <v>54.164820292456902</v>
      </c>
      <c r="H29" s="3033">
        <v>0.35287359128550999</v>
      </c>
      <c r="I29" s="3126">
        <v>0.45</v>
      </c>
      <c r="J29" s="3301">
        <f t="shared" si="0"/>
        <v>20.672972967606405</v>
      </c>
      <c r="K29" s="3277">
        <v>54.806490747934753</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62453.851999999999</v>
      </c>
      <c r="D30" s="3250"/>
      <c r="E30" s="3250"/>
      <c r="F30" s="3250"/>
      <c r="G30" s="3250"/>
      <c r="H30" s="3250"/>
      <c r="I30" s="3260"/>
      <c r="J30" s="3301">
        <f t="shared" si="0"/>
        <v>5.3988755993036021E-2</v>
      </c>
      <c r="K30" s="3281">
        <f>SUM(K32:K39)</f>
        <v>3.3718057764531846</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8.359</v>
      </c>
      <c r="D32" s="3325" t="s">
        <v>2146</v>
      </c>
      <c r="E32" s="3325" t="s">
        <v>2146</v>
      </c>
      <c r="F32" s="3325">
        <v>100</v>
      </c>
      <c r="G32" s="3307" t="s">
        <v>2147</v>
      </c>
      <c r="H32" s="3307" t="s">
        <v>2147</v>
      </c>
      <c r="I32" s="3307" t="s">
        <v>2147</v>
      </c>
      <c r="J32" s="3301">
        <f t="shared" si="0"/>
        <v>11.569996682399511</v>
      </c>
      <c r="K32" s="3277">
        <v>9.6713602268177504E-2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1.9730000000000001</v>
      </c>
      <c r="D33" s="3325" t="s">
        <v>2146</v>
      </c>
      <c r="E33" s="3325">
        <v>19.173757067149793</v>
      </c>
      <c r="F33" s="3325">
        <v>80.826242932850207</v>
      </c>
      <c r="G33" s="3307" t="s">
        <v>2147</v>
      </c>
      <c r="H33" s="3307" t="s">
        <v>2147</v>
      </c>
      <c r="I33" s="3307" t="s">
        <v>2147</v>
      </c>
      <c r="J33" s="3287">
        <f t="shared" si="0"/>
        <v>9.9285915686959534</v>
      </c>
      <c r="K33" s="3277">
        <v>1.9589111165037119E-2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78.744</v>
      </c>
      <c r="D34" s="3325" t="s">
        <v>2146</v>
      </c>
      <c r="E34" s="3325">
        <v>100</v>
      </c>
      <c r="F34" s="3325" t="e">
        <v>#VALUE!</v>
      </c>
      <c r="G34" s="3307" t="s">
        <v>2147</v>
      </c>
      <c r="H34" s="3307" t="s">
        <v>2147</v>
      </c>
      <c r="I34" s="3307" t="s">
        <v>2147</v>
      </c>
      <c r="J34" s="3287">
        <f t="shared" si="0"/>
        <v>0.99987117738013975</v>
      </c>
      <c r="K34" s="3277">
        <v>7.8733855991621721E-2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594.68600000000004</v>
      </c>
      <c r="D35" s="3325" t="s">
        <v>2146</v>
      </c>
      <c r="E35" s="3325">
        <v>99.961324127354601</v>
      </c>
      <c r="F35" s="3325">
        <v>3.8675872645399997E-2</v>
      </c>
      <c r="G35" s="3307" t="s">
        <v>2147</v>
      </c>
      <c r="H35" s="3307" t="s">
        <v>2147</v>
      </c>
      <c r="I35" s="3307" t="s">
        <v>2147</v>
      </c>
      <c r="J35" s="3287">
        <f t="shared" si="0"/>
        <v>0.35771739967218863</v>
      </c>
      <c r="K35" s="3277">
        <v>0.21272952954145519</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7.5</v>
      </c>
      <c r="Z35" s="278" t="s">
        <v>2146</v>
      </c>
      <c r="AA35" s="278" t="s">
        <v>2146</v>
      </c>
      <c r="AB35" s="279" t="s">
        <v>2146</v>
      </c>
    </row>
    <row r="36" spans="2:28" s="84" customFormat="1" ht="18" customHeight="1" thickBot="1" x14ac:dyDescent="0.25">
      <c r="B36" s="1644" t="s">
        <v>822</v>
      </c>
      <c r="C36" s="3307">
        <f>Table3.A!C36</f>
        <v>219.148</v>
      </c>
      <c r="D36" s="3325" t="s">
        <v>2146</v>
      </c>
      <c r="E36" s="3325">
        <v>98.177488191775325</v>
      </c>
      <c r="F36" s="3325">
        <v>1.8225118082246701</v>
      </c>
      <c r="G36" s="3307" t="s">
        <v>2147</v>
      </c>
      <c r="H36" s="3307" t="s">
        <v>2147</v>
      </c>
      <c r="I36" s="3307" t="s">
        <v>2147</v>
      </c>
      <c r="J36" s="3287">
        <f t="shared" si="0"/>
        <v>3.1558261767743576</v>
      </c>
      <c r="K36" s="3277">
        <v>0.69159299498774696</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0.27700000000000002</v>
      </c>
      <c r="D37" s="3325" t="s">
        <v>2146</v>
      </c>
      <c r="E37" s="3325">
        <v>90.260253427802354</v>
      </c>
      <c r="F37" s="3325">
        <v>9.7397465721976406</v>
      </c>
      <c r="G37" s="3307" t="s">
        <v>2147</v>
      </c>
      <c r="H37" s="3307" t="s">
        <v>2147</v>
      </c>
      <c r="I37" s="3307" t="s">
        <v>2147</v>
      </c>
      <c r="J37" s="3287">
        <f t="shared" si="0"/>
        <v>1.2787796113589307</v>
      </c>
      <c r="K37" s="3277">
        <v>3.5422195234642383E-4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61464.203000000001</v>
      </c>
      <c r="D38" s="3325">
        <v>1.2674301741302401</v>
      </c>
      <c r="E38" s="3325">
        <v>98.73256982586976</v>
      </c>
      <c r="F38" s="3325" t="s">
        <v>2146</v>
      </c>
      <c r="G38" s="3307" t="s">
        <v>2147</v>
      </c>
      <c r="H38" s="3307" t="s">
        <v>2147</v>
      </c>
      <c r="I38" s="3307" t="s">
        <v>2147</v>
      </c>
      <c r="J38" s="3287">
        <f t="shared" si="0"/>
        <v>3.6463462063080945E-2</v>
      </c>
      <c r="K38" s="3277">
        <v>2.2411976343280062</v>
      </c>
      <c r="M38" s="1656"/>
      <c r="N38" s="4487"/>
      <c r="O38" s="1696"/>
      <c r="P38" s="1693" t="s">
        <v>792</v>
      </c>
      <c r="Q38" s="3776">
        <v>0.76231696252886005</v>
      </c>
      <c r="R38" s="277" t="s">
        <v>2146</v>
      </c>
      <c r="S38" s="277" t="s">
        <v>2146</v>
      </c>
      <c r="T38" s="3147" t="s">
        <v>2153</v>
      </c>
      <c r="U38" s="3147" t="s">
        <v>2146</v>
      </c>
      <c r="V38" s="3147">
        <v>2.1376518270535282E-2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86.461999999999989</v>
      </c>
      <c r="D39" s="3294"/>
      <c r="E39" s="3294"/>
      <c r="F39" s="3294"/>
      <c r="G39" s="3294"/>
      <c r="H39" s="3294"/>
      <c r="I39" s="3295"/>
      <c r="J39" s="3287">
        <f t="shared" si="0"/>
        <v>0.3573225951145379</v>
      </c>
      <c r="K39" s="3281">
        <f>SUM(K40:K44)</f>
        <v>3.0894826218793171E-2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57.7</v>
      </c>
      <c r="R40" s="300" t="s">
        <v>2146</v>
      </c>
      <c r="S40" s="300" t="s">
        <v>2146</v>
      </c>
      <c r="T40" s="3773" t="s">
        <v>2153</v>
      </c>
      <c r="U40" s="3773" t="s">
        <v>2153</v>
      </c>
      <c r="V40" s="3773">
        <v>38.299999999999997</v>
      </c>
      <c r="W40" s="3773" t="s">
        <v>2153</v>
      </c>
      <c r="X40" s="301" t="s">
        <v>2146</v>
      </c>
      <c r="Y40" s="301" t="s">
        <v>2146</v>
      </c>
      <c r="Z40" s="3773" t="s">
        <v>2146</v>
      </c>
      <c r="AA40" s="301" t="s">
        <v>2146</v>
      </c>
      <c r="AB40" s="3775">
        <v>34.4</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67.143220579994207</v>
      </c>
      <c r="R41" s="277" t="s">
        <v>2146</v>
      </c>
      <c r="S41" s="277" t="s">
        <v>2146</v>
      </c>
      <c r="T41" s="3147" t="s">
        <v>2153</v>
      </c>
      <c r="U41" s="3147" t="s">
        <v>2153</v>
      </c>
      <c r="V41" s="3147">
        <v>29.615396725138115</v>
      </c>
      <c r="W41" s="3147" t="s">
        <v>2153</v>
      </c>
      <c r="X41" s="278" t="s">
        <v>2146</v>
      </c>
      <c r="Y41" s="278" t="s">
        <v>2146</v>
      </c>
      <c r="Z41" s="3147">
        <v>0.32181297252360003</v>
      </c>
      <c r="AA41" s="278" t="s">
        <v>2146</v>
      </c>
      <c r="AB41" s="2911">
        <v>25.0799171247264</v>
      </c>
    </row>
    <row r="42" spans="2:28" s="84" customFormat="1" ht="18" customHeight="1" thickBot="1" x14ac:dyDescent="0.25">
      <c r="B42" s="350" t="s">
        <v>828</v>
      </c>
      <c r="C42" s="3307">
        <f>Table3.A!C42</f>
        <v>49.345999999999997</v>
      </c>
      <c r="D42" s="3325" t="s">
        <v>2146</v>
      </c>
      <c r="E42" s="3325">
        <v>100</v>
      </c>
      <c r="F42" s="3325" t="s">
        <v>2146</v>
      </c>
      <c r="G42" s="3307" t="s">
        <v>2147</v>
      </c>
      <c r="H42" s="3307" t="s">
        <v>2147</v>
      </c>
      <c r="I42" s="3307" t="s">
        <v>2147</v>
      </c>
      <c r="J42" s="3287">
        <f t="shared" si="0"/>
        <v>0.35732061836868811</v>
      </c>
      <c r="K42" s="3277">
        <v>1.763234323402128E-2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1.8433420365535247</v>
      </c>
      <c r="W43" s="3773" t="s">
        <v>2153</v>
      </c>
      <c r="X43" s="301" t="s">
        <v>2146</v>
      </c>
      <c r="Y43" s="301" t="s">
        <v>2146</v>
      </c>
      <c r="Z43" s="3773" t="s">
        <v>2146</v>
      </c>
      <c r="AA43" s="301" t="s">
        <v>2146</v>
      </c>
      <c r="AB43" s="3775">
        <v>3.9302325581399997E-2</v>
      </c>
    </row>
    <row r="44" spans="2:28" s="84" customFormat="1" ht="18" customHeight="1" x14ac:dyDescent="0.2">
      <c r="B44" s="2644" t="s">
        <v>2091</v>
      </c>
      <c r="C44" s="4184">
        <f>C45</f>
        <v>37.116</v>
      </c>
      <c r="D44" s="3294"/>
      <c r="E44" s="3294"/>
      <c r="F44" s="3294"/>
      <c r="G44" s="3294"/>
      <c r="H44" s="3294"/>
      <c r="I44" s="3295"/>
      <c r="J44" s="3287">
        <f t="shared" si="0"/>
        <v>0.35732522321295107</v>
      </c>
      <c r="K44" s="3281">
        <f>K45</f>
        <v>1.3262482984771892E-2</v>
      </c>
      <c r="M44" s="4491"/>
      <c r="N44" s="4492"/>
      <c r="O44" s="1696"/>
      <c r="P44" s="1693" t="s">
        <v>792</v>
      </c>
      <c r="Q44" s="3776">
        <v>0.75561901880257998</v>
      </c>
      <c r="R44" s="277" t="s">
        <v>2146</v>
      </c>
      <c r="S44" s="277" t="s">
        <v>2146</v>
      </c>
      <c r="T44" s="3147" t="s">
        <v>2153</v>
      </c>
      <c r="U44" s="3147" t="s">
        <v>2153</v>
      </c>
      <c r="V44" s="3147">
        <v>1.9106347297372057</v>
      </c>
      <c r="W44" s="3147" t="s">
        <v>2153</v>
      </c>
      <c r="X44" s="278" t="s">
        <v>2146</v>
      </c>
      <c r="Y44" s="278" t="s">
        <v>2146</v>
      </c>
      <c r="Z44" s="3147">
        <v>0.1</v>
      </c>
      <c r="AA44" s="278" t="s">
        <v>2146</v>
      </c>
      <c r="AB44" s="2911">
        <v>3.9461696794450003E-2</v>
      </c>
    </row>
    <row r="45" spans="2:28" s="84" customFormat="1" ht="18" customHeight="1" thickBot="1" x14ac:dyDescent="0.25">
      <c r="B45" s="2648" t="s">
        <v>2199</v>
      </c>
      <c r="C45" s="4186">
        <f>Table3.A!C45</f>
        <v>37.116</v>
      </c>
      <c r="D45" s="3040" t="s">
        <v>2146</v>
      </c>
      <c r="E45" s="3040">
        <v>100</v>
      </c>
      <c r="F45" s="3040" t="s">
        <v>2146</v>
      </c>
      <c r="G45" s="3040" t="s">
        <v>2147</v>
      </c>
      <c r="H45" s="3040" t="s">
        <v>2147</v>
      </c>
      <c r="I45" s="3308" t="s">
        <v>2147</v>
      </c>
      <c r="J45" s="3309">
        <f t="shared" si="0"/>
        <v>0.35732522321295107</v>
      </c>
      <c r="K45" s="3278">
        <v>1.3262482984771892E-2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52.04743751605838</v>
      </c>
      <c r="U46" s="3773" t="s">
        <v>2146</v>
      </c>
      <c r="V46" s="3773" t="s">
        <v>2146</v>
      </c>
      <c r="W46" s="3773" t="s">
        <v>2153</v>
      </c>
      <c r="X46" s="3773">
        <v>0.52951798425654995</v>
      </c>
      <c r="Y46" s="3773">
        <v>17.036660711076799</v>
      </c>
      <c r="Z46" s="3773">
        <v>0.56915989763229002</v>
      </c>
      <c r="AA46" s="301" t="s">
        <v>2146</v>
      </c>
      <c r="AB46" s="3775">
        <v>99.470482015743499</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44.533937965264627</v>
      </c>
      <c r="U47" s="3147" t="s">
        <v>2146</v>
      </c>
      <c r="V47" s="3147" t="s">
        <v>2146</v>
      </c>
      <c r="W47" s="3147" t="s">
        <v>2153</v>
      </c>
      <c r="X47" s="3147">
        <v>0.56750297164239005</v>
      </c>
      <c r="Y47" s="3147">
        <v>18.783305393546001</v>
      </c>
      <c r="Z47" s="3147">
        <v>0.26242162824482002</v>
      </c>
      <c r="AA47" s="278" t="s">
        <v>2146</v>
      </c>
      <c r="AB47" s="2911">
        <v>99.432497028357602</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1.367571460385E-2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27836.294000000002</v>
      </c>
      <c r="D10" s="3490"/>
      <c r="E10" s="3491"/>
      <c r="F10" s="3478">
        <f>F15</f>
        <v>22171306.496949617</v>
      </c>
      <c r="G10" s="3478" t="str">
        <f t="shared" ref="G10:R10" si="0">G15</f>
        <v>NO</v>
      </c>
      <c r="H10" s="3478">
        <f t="shared" si="0"/>
        <v>15332260.164960001</v>
      </c>
      <c r="I10" s="3478">
        <f t="shared" si="0"/>
        <v>4148582.2221348537</v>
      </c>
      <c r="J10" s="3478" t="str">
        <f t="shared" si="0"/>
        <v>NO</v>
      </c>
      <c r="K10" s="3478">
        <f t="shared" si="0"/>
        <v>65084068.72112193</v>
      </c>
      <c r="L10" s="3478">
        <f t="shared" si="0"/>
        <v>2850116.5458558165</v>
      </c>
      <c r="M10" s="3478">
        <f t="shared" si="0"/>
        <v>1205582956.047344</v>
      </c>
      <c r="N10" s="3478">
        <f t="shared" si="0"/>
        <v>2850116.5458558165</v>
      </c>
      <c r="O10" s="3478" t="str">
        <f t="shared" si="0"/>
        <v>NO</v>
      </c>
      <c r="P10" s="3478" t="str">
        <f t="shared" si="0"/>
        <v>NO</v>
      </c>
      <c r="Q10" s="3478" t="str">
        <f t="shared" si="0"/>
        <v>NO</v>
      </c>
      <c r="R10" s="3478">
        <f t="shared" si="0"/>
        <v>1318019406.7442219</v>
      </c>
      <c r="S10" s="2651"/>
      <c r="T10" s="2652"/>
      <c r="U10" s="3456">
        <f>IF(SUM(X10)=0,"NA",X10*1000/C10)</f>
        <v>2.2290035611748995E-2</v>
      </c>
      <c r="V10" s="3448"/>
      <c r="W10" s="3449"/>
      <c r="X10" s="3311">
        <f t="shared" ref="X10" si="1">X15</f>
        <v>0.62047198455911501</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27836.294000000002</v>
      </c>
      <c r="D15" s="3493"/>
      <c r="E15" s="3493"/>
      <c r="F15" s="2649">
        <f>F20</f>
        <v>22171306.496949617</v>
      </c>
      <c r="G15" s="2649" t="str">
        <f t="shared" ref="G15:R15" si="2">G20</f>
        <v>NO</v>
      </c>
      <c r="H15" s="2649">
        <f t="shared" si="2"/>
        <v>15332260.164960001</v>
      </c>
      <c r="I15" s="2649">
        <f t="shared" si="2"/>
        <v>4148582.2221348537</v>
      </c>
      <c r="J15" s="2649" t="str">
        <f t="shared" si="2"/>
        <v>NO</v>
      </c>
      <c r="K15" s="2649">
        <f t="shared" si="2"/>
        <v>65084068.72112193</v>
      </c>
      <c r="L15" s="2649">
        <f t="shared" si="2"/>
        <v>2850116.5458558165</v>
      </c>
      <c r="M15" s="2649">
        <f t="shared" si="2"/>
        <v>1205582956.047344</v>
      </c>
      <c r="N15" s="2649">
        <f t="shared" si="2"/>
        <v>2850116.5458558165</v>
      </c>
      <c r="O15" s="2649" t="str">
        <f t="shared" si="2"/>
        <v>NO</v>
      </c>
      <c r="P15" s="2649" t="str">
        <f t="shared" si="2"/>
        <v>NO</v>
      </c>
      <c r="Q15" s="2649" t="str">
        <f t="shared" si="2"/>
        <v>NO</v>
      </c>
      <c r="R15" s="2649">
        <f t="shared" si="2"/>
        <v>1318019406.7442219</v>
      </c>
      <c r="S15" s="2657"/>
      <c r="T15" s="2658"/>
      <c r="U15" s="3456">
        <f>IF(SUM(X15)=0,"NA",X15*1000/C15)</f>
        <v>2.2290035611748995E-2</v>
      </c>
      <c r="V15" s="3454"/>
      <c r="W15" s="3455"/>
      <c r="X15" s="3314">
        <f t="shared" ref="X15" si="3">X20</f>
        <v>0.62047198455911501</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27836.294000000002</v>
      </c>
      <c r="D20" s="3492"/>
      <c r="E20" s="3492"/>
      <c r="F20" s="2649">
        <f>IF(SUM(F21:F23)=0,"NO",SUM(F21:F23))</f>
        <v>22171306.496949617</v>
      </c>
      <c r="G20" s="2649" t="str">
        <f t="shared" ref="G20:Q20" si="6">IF(SUM(G21:G23)=0,"NO",SUM(G21:G23))</f>
        <v>NO</v>
      </c>
      <c r="H20" s="2649">
        <f t="shared" si="6"/>
        <v>15332260.164960001</v>
      </c>
      <c r="I20" s="2649">
        <f t="shared" si="6"/>
        <v>4148582.2221348537</v>
      </c>
      <c r="J20" s="2649" t="str">
        <f t="shared" si="6"/>
        <v>NO</v>
      </c>
      <c r="K20" s="2649">
        <f t="shared" si="6"/>
        <v>65084068.72112193</v>
      </c>
      <c r="L20" s="2649">
        <f t="shared" si="6"/>
        <v>2850116.5458558165</v>
      </c>
      <c r="M20" s="2649">
        <f t="shared" si="6"/>
        <v>1205582956.047344</v>
      </c>
      <c r="N20" s="2649">
        <f t="shared" si="6"/>
        <v>2850116.5458558165</v>
      </c>
      <c r="O20" s="2649" t="str">
        <f t="shared" si="6"/>
        <v>NO</v>
      </c>
      <c r="P20" s="2649" t="str">
        <f t="shared" si="6"/>
        <v>NO</v>
      </c>
      <c r="Q20" s="2649" t="str">
        <f t="shared" si="6"/>
        <v>NO</v>
      </c>
      <c r="R20" s="3482">
        <f>IF(SUM(F20:Q20)=0,"NO",SUM(F20:Q20))</f>
        <v>1318019406.7442219</v>
      </c>
      <c r="S20" s="2657"/>
      <c r="T20" s="2658"/>
      <c r="U20" s="3456">
        <f t="shared" si="4"/>
        <v>2.2290035611748995E-2</v>
      </c>
      <c r="V20" s="3454"/>
      <c r="W20" s="3455"/>
      <c r="X20" s="3314">
        <f t="shared" ref="X20" si="7">IF(SUM(X21:X23)=0,"NO",SUM(X21:X23))</f>
        <v>0.62047198455911501</v>
      </c>
      <c r="Y20" s="3173"/>
      <c r="Z20" s="3457"/>
    </row>
    <row r="21" spans="2:26" ht="18" customHeight="1" x14ac:dyDescent="0.2">
      <c r="B21" s="2647" t="s">
        <v>2196</v>
      </c>
      <c r="C21" s="3495">
        <f>Table3.A!C21</f>
        <v>3067.7109999999998</v>
      </c>
      <c r="D21" s="3307">
        <v>124.96816545206268</v>
      </c>
      <c r="E21" s="3494">
        <f>'Table3.B(a)'!G21</f>
        <v>459.55683297599597</v>
      </c>
      <c r="F21" s="3479">
        <v>21263144.0288065</v>
      </c>
      <c r="G21" s="3479" t="s">
        <v>2146</v>
      </c>
      <c r="H21" s="3479">
        <v>15332260.164960001</v>
      </c>
      <c r="I21" s="3479">
        <v>4148582.2221348537</v>
      </c>
      <c r="J21" s="3479" t="s">
        <v>2146</v>
      </c>
      <c r="K21" s="3479" t="s">
        <v>2153</v>
      </c>
      <c r="L21" s="3479" t="s">
        <v>2146</v>
      </c>
      <c r="M21" s="3479">
        <v>342622207.85559702</v>
      </c>
      <c r="N21" s="3479" t="s">
        <v>2146</v>
      </c>
      <c r="O21" s="3479" t="s">
        <v>2146</v>
      </c>
      <c r="P21" s="3479" t="s">
        <v>2146</v>
      </c>
      <c r="Q21" s="3479" t="s">
        <v>2146</v>
      </c>
      <c r="R21" s="3482">
        <f t="shared" ref="R21:R45" si="8">IF(SUM(F21:Q21)=0,"NO",SUM(F21:Q21))</f>
        <v>383366194.27149838</v>
      </c>
      <c r="S21" s="2657"/>
      <c r="T21" s="2658"/>
      <c r="U21" s="3456">
        <f t="shared" si="4"/>
        <v>1.062551302059311E-2</v>
      </c>
      <c r="V21" s="3454"/>
      <c r="W21" s="3455"/>
      <c r="X21" s="3315">
        <v>3.2596003173916706E-2</v>
      </c>
      <c r="Y21" s="3173"/>
      <c r="Z21" s="3457"/>
    </row>
    <row r="22" spans="2:26" ht="18" customHeight="1" x14ac:dyDescent="0.2">
      <c r="B22" s="2647" t="s">
        <v>2197</v>
      </c>
      <c r="C22" s="3495">
        <f>Table3.A!C22</f>
        <v>24084.004000000001</v>
      </c>
      <c r="D22" s="3307">
        <v>35.831281848893234</v>
      </c>
      <c r="E22" s="3494">
        <f>'Table3.B(a)'!G22</f>
        <v>365.192737206</v>
      </c>
      <c r="F22" s="3483" t="s">
        <v>2146</v>
      </c>
      <c r="G22" s="3479" t="s">
        <v>2146</v>
      </c>
      <c r="H22" s="3483" t="s">
        <v>2146</v>
      </c>
      <c r="I22" s="3483" t="s">
        <v>2146</v>
      </c>
      <c r="J22" s="3483" t="s">
        <v>2146</v>
      </c>
      <c r="K22" s="3483" t="s">
        <v>2146</v>
      </c>
      <c r="L22" s="3483" t="s">
        <v>2146</v>
      </c>
      <c r="M22" s="3483">
        <v>862960748.19174695</v>
      </c>
      <c r="N22" s="3483" t="s">
        <v>2146</v>
      </c>
      <c r="O22" s="3483" t="s">
        <v>2146</v>
      </c>
      <c r="P22" s="3483" t="s">
        <v>2146</v>
      </c>
      <c r="Q22" s="3483" t="s">
        <v>2146</v>
      </c>
      <c r="R22" s="3482">
        <f t="shared" si="8"/>
        <v>862960748.19174695</v>
      </c>
      <c r="S22" s="2657"/>
      <c r="T22" s="2658"/>
      <c r="U22" s="3456" t="str">
        <f>IF(SUM(X22)=0,"NA",X22*1000/C22)</f>
        <v>NA</v>
      </c>
      <c r="V22" s="3454"/>
      <c r="W22" s="3455"/>
      <c r="X22" s="3315" t="s">
        <v>2147</v>
      </c>
      <c r="Y22" s="3173"/>
      <c r="Z22" s="3457"/>
    </row>
    <row r="23" spans="2:26" ht="18" customHeight="1" x14ac:dyDescent="0.2">
      <c r="B23" s="2647" t="s">
        <v>2198</v>
      </c>
      <c r="C23" s="3495">
        <f>Table3.A!C23</f>
        <v>684.57899999999995</v>
      </c>
      <c r="D23" s="3307">
        <v>73.699965505319057</v>
      </c>
      <c r="E23" s="3494">
        <f>'Table3.B(a)'!G23</f>
        <v>524.43046762699998</v>
      </c>
      <c r="F23" s="3483">
        <v>908162.46814311703</v>
      </c>
      <c r="G23" s="3479" t="s">
        <v>2146</v>
      </c>
      <c r="H23" s="3483" t="s">
        <v>2146</v>
      </c>
      <c r="I23" s="3483" t="s">
        <v>2153</v>
      </c>
      <c r="J23" s="3483" t="s">
        <v>2153</v>
      </c>
      <c r="K23" s="3483">
        <v>65084068.72112193</v>
      </c>
      <c r="L23" s="3483">
        <v>2850116.5458558165</v>
      </c>
      <c r="M23" s="3483" t="s">
        <v>2146</v>
      </c>
      <c r="N23" s="3483">
        <v>2850116.5458558165</v>
      </c>
      <c r="O23" s="3483" t="s">
        <v>2146</v>
      </c>
      <c r="P23" s="3483" t="s">
        <v>2146</v>
      </c>
      <c r="Q23" s="3483" t="s">
        <v>2146</v>
      </c>
      <c r="R23" s="3482">
        <f t="shared" si="8"/>
        <v>71692464.280976683</v>
      </c>
      <c r="S23" s="2657"/>
      <c r="T23" s="2658"/>
      <c r="U23" s="3456">
        <f t="shared" ref="U23:U30" si="9">IF(SUM(X23)=0,"NA",X23*1000/C23)</f>
        <v>0.85874089241007723</v>
      </c>
      <c r="V23" s="3454"/>
      <c r="W23" s="3455"/>
      <c r="X23" s="3315">
        <v>0.58787598138519825</v>
      </c>
      <c r="Y23" s="3173"/>
      <c r="Z23" s="3457"/>
    </row>
    <row r="24" spans="2:26" ht="18" customHeight="1" x14ac:dyDescent="0.2">
      <c r="B24" s="351" t="s">
        <v>811</v>
      </c>
      <c r="C24" s="3314">
        <f>C25</f>
        <v>100973.052</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704611461.47765398</v>
      </c>
      <c r="N24" s="2649" t="str">
        <f t="shared" si="10"/>
        <v>NO</v>
      </c>
      <c r="O24" s="2649" t="str">
        <f t="shared" si="10"/>
        <v>NO</v>
      </c>
      <c r="P24" s="2649" t="str">
        <f t="shared" si="10"/>
        <v>NO</v>
      </c>
      <c r="Q24" s="2649" t="str">
        <f t="shared" si="10"/>
        <v>NO</v>
      </c>
      <c r="R24" s="3482">
        <f t="shared" si="8"/>
        <v>704611461.47765398</v>
      </c>
      <c r="S24" s="2657"/>
      <c r="T24" s="2658"/>
      <c r="U24" s="3456" t="str">
        <f t="shared" si="9"/>
        <v>NA</v>
      </c>
      <c r="V24" s="3454"/>
      <c r="W24" s="3455"/>
      <c r="X24" s="3314" t="str">
        <f t="shared" ref="X24:X25" si="11">X25</f>
        <v>NA</v>
      </c>
      <c r="Y24" s="3173"/>
      <c r="Z24" s="3457"/>
    </row>
    <row r="25" spans="2:26" ht="18" customHeight="1" x14ac:dyDescent="0.2">
      <c r="B25" s="350" t="s">
        <v>812</v>
      </c>
      <c r="C25" s="3314">
        <f>C26</f>
        <v>100973.052</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704611461.47765398</v>
      </c>
      <c r="N25" s="2649" t="str">
        <f t="shared" si="10"/>
        <v>NO</v>
      </c>
      <c r="O25" s="2649" t="str">
        <f t="shared" si="10"/>
        <v>NO</v>
      </c>
      <c r="P25" s="2649" t="str">
        <f t="shared" si="10"/>
        <v>NO</v>
      </c>
      <c r="Q25" s="2649" t="str">
        <f t="shared" si="10"/>
        <v>NO</v>
      </c>
      <c r="R25" s="3482">
        <f t="shared" si="8"/>
        <v>704611461.47765398</v>
      </c>
      <c r="S25" s="2657"/>
      <c r="T25" s="2658"/>
      <c r="U25" s="3456" t="str">
        <f t="shared" si="9"/>
        <v>NA</v>
      </c>
      <c r="V25" s="3454"/>
      <c r="W25" s="3455"/>
      <c r="X25" s="3314" t="str">
        <f t="shared" si="11"/>
        <v>NA</v>
      </c>
      <c r="Y25" s="3173"/>
      <c r="Z25" s="3457"/>
    </row>
    <row r="26" spans="2:26" ht="18" customHeight="1" x14ac:dyDescent="0.2">
      <c r="B26" s="2642" t="s">
        <v>2201</v>
      </c>
      <c r="C26" s="3495">
        <f>Table3.A!C26</f>
        <v>100973.052</v>
      </c>
      <c r="D26" s="3307">
        <v>6.9782129890567566</v>
      </c>
      <c r="E26" s="3494">
        <f>'Table3.B(a)'!G26</f>
        <v>44.513916791242202</v>
      </c>
      <c r="F26" s="3483" t="s">
        <v>2146</v>
      </c>
      <c r="G26" s="3479" t="s">
        <v>2146</v>
      </c>
      <c r="H26" s="3483" t="s">
        <v>2146</v>
      </c>
      <c r="I26" s="3483" t="s">
        <v>2146</v>
      </c>
      <c r="J26" s="3483" t="s">
        <v>2146</v>
      </c>
      <c r="K26" s="3483" t="s">
        <v>2146</v>
      </c>
      <c r="L26" s="3483" t="s">
        <v>2146</v>
      </c>
      <c r="M26" s="3479">
        <v>704611461.47765398</v>
      </c>
      <c r="N26" s="3483" t="s">
        <v>2146</v>
      </c>
      <c r="O26" s="3483" t="s">
        <v>2146</v>
      </c>
      <c r="P26" s="3483" t="s">
        <v>2146</v>
      </c>
      <c r="Q26" s="3483" t="s">
        <v>2146</v>
      </c>
      <c r="R26" s="3482">
        <f t="shared" si="8"/>
        <v>704611461.47765398</v>
      </c>
      <c r="S26" s="2657"/>
      <c r="T26" s="2658"/>
      <c r="U26" s="3456" t="str">
        <f t="shared" si="9"/>
        <v>NA</v>
      </c>
      <c r="V26" s="3454"/>
      <c r="W26" s="3455"/>
      <c r="X26" s="3315" t="s">
        <v>2147</v>
      </c>
      <c r="Y26" s="3173"/>
      <c r="Z26" s="3457"/>
    </row>
    <row r="27" spans="2:26" ht="18" customHeight="1" x14ac:dyDescent="0.2">
      <c r="B27" s="351" t="s">
        <v>814</v>
      </c>
      <c r="C27" s="3314">
        <f>C28</f>
        <v>2651.1179999999999</v>
      </c>
      <c r="D27" s="3492"/>
      <c r="E27" s="3492"/>
      <c r="F27" s="2649">
        <f>F28</f>
        <v>27698229.884787399</v>
      </c>
      <c r="G27" s="2649" t="str">
        <f t="shared" ref="G27:G28" si="12">G28</f>
        <v>NO</v>
      </c>
      <c r="H27" s="2649" t="str">
        <f t="shared" ref="H27:H28" si="13">H28</f>
        <v>NO</v>
      </c>
      <c r="I27" s="2649" t="str">
        <f t="shared" ref="I27:I28" si="14">I28</f>
        <v>IE</v>
      </c>
      <c r="J27" s="2649" t="str">
        <f t="shared" ref="J27:J28" si="15">J28</f>
        <v>IE</v>
      </c>
      <c r="K27" s="2649">
        <f t="shared" ref="K27:K28" si="16">K28</f>
        <v>11399424.634304667</v>
      </c>
      <c r="L27" s="2649" t="str">
        <f t="shared" ref="L27:L28" si="17">L28</f>
        <v>IE</v>
      </c>
      <c r="M27" s="2649" t="str">
        <f t="shared" ref="M27:M28" si="18">M28</f>
        <v>NO</v>
      </c>
      <c r="N27" s="2649" t="str">
        <f t="shared" ref="N27:N28" si="19">N28</f>
        <v>NO</v>
      </c>
      <c r="O27" s="2649">
        <f t="shared" ref="O27:O28" si="20">O28</f>
        <v>131046.26711618699</v>
      </c>
      <c r="P27" s="2649" t="str">
        <f t="shared" ref="P27:P28" si="21">P28</f>
        <v>NO</v>
      </c>
      <c r="Q27" s="2649">
        <f t="shared" ref="Q27:Q28" si="22">Q28</f>
        <v>10367497.865577901</v>
      </c>
      <c r="R27" s="3482">
        <f t="shared" si="8"/>
        <v>49596198.651786156</v>
      </c>
      <c r="S27" s="2657"/>
      <c r="T27" s="2658"/>
      <c r="U27" s="3456">
        <f t="shared" si="9"/>
        <v>0.11059348315622555</v>
      </c>
      <c r="V27" s="3454"/>
      <c r="W27" s="3455"/>
      <c r="X27" s="3314">
        <f t="shared" ref="X27:X28" si="23">X28</f>
        <v>0.29319637387816633</v>
      </c>
      <c r="Y27" s="3173"/>
      <c r="Z27" s="3457"/>
    </row>
    <row r="28" spans="2:26" ht="18" customHeight="1" x14ac:dyDescent="0.2">
      <c r="B28" s="350" t="s">
        <v>815</v>
      </c>
      <c r="C28" s="3314">
        <f>C29</f>
        <v>2651.1179999999999</v>
      </c>
      <c r="D28" s="3492"/>
      <c r="E28" s="3492"/>
      <c r="F28" s="2649">
        <f>F29</f>
        <v>27698229.884787399</v>
      </c>
      <c r="G28" s="2649" t="str">
        <f t="shared" si="12"/>
        <v>NO</v>
      </c>
      <c r="H28" s="2649" t="str">
        <f t="shared" si="13"/>
        <v>NO</v>
      </c>
      <c r="I28" s="2649" t="str">
        <f t="shared" si="14"/>
        <v>IE</v>
      </c>
      <c r="J28" s="2649" t="str">
        <f t="shared" si="15"/>
        <v>IE</v>
      </c>
      <c r="K28" s="2649">
        <f t="shared" si="16"/>
        <v>11399424.634304667</v>
      </c>
      <c r="L28" s="2649" t="str">
        <f t="shared" si="17"/>
        <v>IE</v>
      </c>
      <c r="M28" s="2649" t="str">
        <f t="shared" si="18"/>
        <v>NO</v>
      </c>
      <c r="N28" s="2649" t="str">
        <f t="shared" si="19"/>
        <v>NO</v>
      </c>
      <c r="O28" s="2649">
        <f t="shared" si="20"/>
        <v>131046.26711618699</v>
      </c>
      <c r="P28" s="2649" t="str">
        <f t="shared" si="21"/>
        <v>NO</v>
      </c>
      <c r="Q28" s="2649">
        <f t="shared" si="22"/>
        <v>10367497.865577901</v>
      </c>
      <c r="R28" s="3482">
        <f t="shared" si="8"/>
        <v>49596198.651786156</v>
      </c>
      <c r="S28" s="2657"/>
      <c r="T28" s="2658"/>
      <c r="U28" s="3456">
        <f t="shared" si="9"/>
        <v>0.11059348315622555</v>
      </c>
      <c r="V28" s="3454"/>
      <c r="W28" s="3455"/>
      <c r="X28" s="3314">
        <f t="shared" si="23"/>
        <v>0.29319637387816633</v>
      </c>
      <c r="Y28" s="3173"/>
      <c r="Z28" s="3457"/>
    </row>
    <row r="29" spans="2:26" ht="18" customHeight="1" x14ac:dyDescent="0.2">
      <c r="B29" s="2642" t="s">
        <v>817</v>
      </c>
      <c r="C29" s="3495">
        <f>Table3.A!C29</f>
        <v>2651.1179999999999</v>
      </c>
      <c r="D29" s="3307">
        <v>15.444410911997688</v>
      </c>
      <c r="E29" s="3494">
        <f>'Table3.B(a)'!G29</f>
        <v>54.164820292456902</v>
      </c>
      <c r="F29" s="3479">
        <v>27698229.884787399</v>
      </c>
      <c r="G29" s="3479" t="s">
        <v>2146</v>
      </c>
      <c r="H29" s="3479" t="s">
        <v>2146</v>
      </c>
      <c r="I29" s="3479" t="s">
        <v>2153</v>
      </c>
      <c r="J29" s="3479" t="s">
        <v>2153</v>
      </c>
      <c r="K29" s="3479">
        <v>11399424.634304667</v>
      </c>
      <c r="L29" s="3479" t="s">
        <v>2153</v>
      </c>
      <c r="M29" s="3479" t="s">
        <v>2146</v>
      </c>
      <c r="N29" s="3479" t="s">
        <v>2146</v>
      </c>
      <c r="O29" s="3479">
        <v>131046.26711618699</v>
      </c>
      <c r="P29" s="3479" t="s">
        <v>2146</v>
      </c>
      <c r="Q29" s="3479">
        <v>10367497.865577901</v>
      </c>
      <c r="R29" s="3482">
        <f t="shared" si="8"/>
        <v>49596198.651786156</v>
      </c>
      <c r="S29" s="2657"/>
      <c r="T29" s="2658"/>
      <c r="U29" s="3456">
        <f t="shared" si="9"/>
        <v>0.11059348315622555</v>
      </c>
      <c r="V29" s="3454"/>
      <c r="W29" s="3455"/>
      <c r="X29" s="3315">
        <v>0.29319637387816633</v>
      </c>
      <c r="Y29" s="3173"/>
      <c r="Z29" s="3457"/>
    </row>
    <row r="30" spans="2:26" ht="18" customHeight="1" x14ac:dyDescent="0.2">
      <c r="B30" s="351" t="s">
        <v>861</v>
      </c>
      <c r="C30" s="3314">
        <f>IF(SUM(C32:C39)=0,"NO",SUM(C32:C39))</f>
        <v>62453.851999999999</v>
      </c>
      <c r="D30" s="3492"/>
      <c r="E30" s="3492"/>
      <c r="F30" s="2649" t="str">
        <f>IF(SUM(F32:F39)=0,"NO",SUM(F32:F39))</f>
        <v>NO</v>
      </c>
      <c r="G30" s="2649" t="str">
        <f t="shared" ref="G30:Q30" si="24">IF(SUM(G32:G39)=0,"NO",SUM(G32:G39))</f>
        <v>NO</v>
      </c>
      <c r="H30" s="2649" t="str">
        <f t="shared" si="24"/>
        <v>NO</v>
      </c>
      <c r="I30" s="2649">
        <f t="shared" si="24"/>
        <v>14692052.226115337</v>
      </c>
      <c r="J30" s="2649" t="str">
        <f t="shared" si="24"/>
        <v>NO</v>
      </c>
      <c r="K30" s="2649" t="str">
        <f t="shared" si="24"/>
        <v>NO</v>
      </c>
      <c r="L30" s="2649" t="str">
        <f t="shared" si="24"/>
        <v>NO</v>
      </c>
      <c r="M30" s="2649">
        <f t="shared" si="24"/>
        <v>15106305.050140848</v>
      </c>
      <c r="N30" s="2649">
        <f t="shared" si="24"/>
        <v>6288823.3245440396</v>
      </c>
      <c r="O30" s="2649">
        <f t="shared" si="24"/>
        <v>83761.085314473501</v>
      </c>
      <c r="P30" s="2649" t="str">
        <f t="shared" si="24"/>
        <v>NO</v>
      </c>
      <c r="Q30" s="2649">
        <f t="shared" si="24"/>
        <v>40317518.376454897</v>
      </c>
      <c r="R30" s="3482">
        <f t="shared" si="8"/>
        <v>76488460.062569588</v>
      </c>
      <c r="S30" s="2657"/>
      <c r="T30" s="2658"/>
      <c r="U30" s="3456">
        <f t="shared" si="9"/>
        <v>4.4451704922796233E-3</v>
      </c>
      <c r="V30" s="3454"/>
      <c r="W30" s="3455"/>
      <c r="X30" s="3314">
        <f t="shared" ref="X30" si="25">IF(SUM(X32:X39)=0,"NO",SUM(X32:X39))</f>
        <v>0.27761802003959873</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8.359</v>
      </c>
      <c r="D32" s="3307">
        <v>39.5</v>
      </c>
      <c r="E32" s="3494" t="str">
        <f>'Table3.B(a)'!G32</f>
        <v>NA</v>
      </c>
      <c r="F32" s="3479" t="s">
        <v>2146</v>
      </c>
      <c r="G32" s="3479" t="s">
        <v>2146</v>
      </c>
      <c r="H32" s="3479" t="s">
        <v>2146</v>
      </c>
      <c r="I32" s="3479" t="s">
        <v>2146</v>
      </c>
      <c r="J32" s="3479" t="s">
        <v>2146</v>
      </c>
      <c r="K32" s="3479" t="s">
        <v>2146</v>
      </c>
      <c r="L32" s="3479" t="s">
        <v>2146</v>
      </c>
      <c r="M32" s="3479">
        <v>330180.5</v>
      </c>
      <c r="N32" s="3479" t="s">
        <v>2146</v>
      </c>
      <c r="O32" s="3479" t="s">
        <v>2146</v>
      </c>
      <c r="P32" s="3479" t="s">
        <v>2146</v>
      </c>
      <c r="Q32" s="3479" t="s">
        <v>2146</v>
      </c>
      <c r="R32" s="3482">
        <f t="shared" si="8"/>
        <v>330180.5</v>
      </c>
      <c r="S32" s="2657"/>
      <c r="T32" s="2658"/>
      <c r="U32" s="3456" t="str">
        <f>IF(SUM(X32)=0,"NA",X32*1000/C32)</f>
        <v>NA</v>
      </c>
      <c r="V32" s="3454"/>
      <c r="W32" s="3455"/>
      <c r="X32" s="3315" t="s">
        <v>2147</v>
      </c>
      <c r="Y32" s="3173"/>
      <c r="Z32" s="3457"/>
    </row>
    <row r="33" spans="2:26" ht="18" customHeight="1" x14ac:dyDescent="0.2">
      <c r="B33" s="350" t="s">
        <v>819</v>
      </c>
      <c r="C33" s="3495">
        <f>Table3.A!C33</f>
        <v>1.9730000000000001</v>
      </c>
      <c r="D33" s="3307">
        <v>39.5</v>
      </c>
      <c r="E33" s="3494" t="str">
        <f>'Table3.B(a)'!G33</f>
        <v>NA</v>
      </c>
      <c r="F33" s="3479" t="s">
        <v>2146</v>
      </c>
      <c r="G33" s="3479" t="s">
        <v>2146</v>
      </c>
      <c r="H33" s="3479" t="s">
        <v>2146</v>
      </c>
      <c r="I33" s="3479" t="s">
        <v>2146</v>
      </c>
      <c r="J33" s="3479" t="s">
        <v>2146</v>
      </c>
      <c r="K33" s="3479" t="s">
        <v>2146</v>
      </c>
      <c r="L33" s="3479" t="s">
        <v>2146</v>
      </c>
      <c r="M33" s="3479">
        <v>77948.074429665066</v>
      </c>
      <c r="N33" s="3479" t="s">
        <v>2146</v>
      </c>
      <c r="O33" s="3479" t="s">
        <v>2146</v>
      </c>
      <c r="P33" s="3479" t="s">
        <v>2146</v>
      </c>
      <c r="Q33" s="3479" t="s">
        <v>2146</v>
      </c>
      <c r="R33" s="3482">
        <f t="shared" si="8"/>
        <v>77948.074429665066</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78.744</v>
      </c>
      <c r="D34" s="3307">
        <v>13.2</v>
      </c>
      <c r="E34" s="3494" t="str">
        <f>'Table3.B(a)'!G34</f>
        <v>NA</v>
      </c>
      <c r="F34" s="3479" t="s">
        <v>2146</v>
      </c>
      <c r="G34" s="3479" t="s">
        <v>2146</v>
      </c>
      <c r="H34" s="3479" t="s">
        <v>2146</v>
      </c>
      <c r="I34" s="3479" t="s">
        <v>2146</v>
      </c>
      <c r="J34" s="3479" t="s">
        <v>2146</v>
      </c>
      <c r="K34" s="3479" t="s">
        <v>2146</v>
      </c>
      <c r="L34" s="3479" t="s">
        <v>2146</v>
      </c>
      <c r="M34" s="3479">
        <v>1039415.5199999999</v>
      </c>
      <c r="N34" s="3479" t="s">
        <v>2146</v>
      </c>
      <c r="O34" s="3479" t="s">
        <v>2146</v>
      </c>
      <c r="P34" s="3479" t="s">
        <v>2146</v>
      </c>
      <c r="Q34" s="3479" t="s">
        <v>2146</v>
      </c>
      <c r="R34" s="3482">
        <f t="shared" si="8"/>
        <v>1039415.5199999999</v>
      </c>
      <c r="S34" s="2657"/>
      <c r="T34" s="2658"/>
      <c r="U34" s="3456" t="str">
        <f t="shared" si="26"/>
        <v>NA</v>
      </c>
      <c r="V34" s="3454"/>
      <c r="W34" s="3455"/>
      <c r="X34" s="3315" t="s">
        <v>2147</v>
      </c>
      <c r="Y34" s="3173"/>
      <c r="Z34" s="3457"/>
    </row>
    <row r="35" spans="2:26" ht="18" customHeight="1" x14ac:dyDescent="0.2">
      <c r="B35" s="350" t="s">
        <v>821</v>
      </c>
      <c r="C35" s="3495">
        <f>Table3.A!C35</f>
        <v>594.68600000000004</v>
      </c>
      <c r="D35" s="3307">
        <v>7</v>
      </c>
      <c r="E35" s="3494" t="str">
        <f>'Table3.B(a)'!G35</f>
        <v>NA</v>
      </c>
      <c r="F35" s="3479" t="s">
        <v>2146</v>
      </c>
      <c r="G35" s="3479" t="s">
        <v>2146</v>
      </c>
      <c r="H35" s="3479" t="s">
        <v>2146</v>
      </c>
      <c r="I35" s="3479" t="s">
        <v>2146</v>
      </c>
      <c r="J35" s="3479" t="s">
        <v>2146</v>
      </c>
      <c r="K35" s="3479" t="s">
        <v>2146</v>
      </c>
      <c r="L35" s="3479" t="s">
        <v>2146</v>
      </c>
      <c r="M35" s="3479">
        <v>4162801.9999999991</v>
      </c>
      <c r="N35" s="3479" t="s">
        <v>2146</v>
      </c>
      <c r="O35" s="3479" t="s">
        <v>2146</v>
      </c>
      <c r="P35" s="3479" t="s">
        <v>2146</v>
      </c>
      <c r="Q35" s="3479" t="s">
        <v>2146</v>
      </c>
      <c r="R35" s="3482">
        <f t="shared" si="8"/>
        <v>4162801.9999999991</v>
      </c>
      <c r="S35" s="2657"/>
      <c r="T35" s="2658"/>
      <c r="U35" s="3456" t="str">
        <f t="shared" si="26"/>
        <v>NA</v>
      </c>
      <c r="V35" s="3454"/>
      <c r="W35" s="3455"/>
      <c r="X35" s="3315" t="s">
        <v>2147</v>
      </c>
      <c r="Y35" s="3173"/>
      <c r="Z35" s="3457"/>
    </row>
    <row r="36" spans="2:26" ht="18" customHeight="1" x14ac:dyDescent="0.2">
      <c r="B36" s="350" t="s">
        <v>822</v>
      </c>
      <c r="C36" s="3495">
        <f>Table3.A!C36</f>
        <v>219.148</v>
      </c>
      <c r="D36" s="3307">
        <v>39.5</v>
      </c>
      <c r="E36" s="3494" t="str">
        <f>'Table3.B(a)'!G36</f>
        <v>NA</v>
      </c>
      <c r="F36" s="3479" t="s">
        <v>2146</v>
      </c>
      <c r="G36" s="3479" t="s">
        <v>2146</v>
      </c>
      <c r="H36" s="3479" t="s">
        <v>2146</v>
      </c>
      <c r="I36" s="3479" t="s">
        <v>2146</v>
      </c>
      <c r="J36" s="3479" t="s">
        <v>2146</v>
      </c>
      <c r="K36" s="3479" t="s">
        <v>2146</v>
      </c>
      <c r="L36" s="3479" t="s">
        <v>2146</v>
      </c>
      <c r="M36" s="3479">
        <v>8656349.9499999993</v>
      </c>
      <c r="N36" s="3479" t="s">
        <v>2146</v>
      </c>
      <c r="O36" s="3479" t="s">
        <v>2146</v>
      </c>
      <c r="P36" s="3479" t="s">
        <v>2146</v>
      </c>
      <c r="Q36" s="3479" t="s">
        <v>2146</v>
      </c>
      <c r="R36" s="3482">
        <f t="shared" si="8"/>
        <v>8656349.9499999993</v>
      </c>
      <c r="S36" s="2657"/>
      <c r="T36" s="2658"/>
      <c r="U36" s="3456" t="str">
        <f t="shared" si="26"/>
        <v>NA</v>
      </c>
      <c r="V36" s="3454"/>
      <c r="W36" s="3455"/>
      <c r="X36" s="3315" t="s">
        <v>2147</v>
      </c>
      <c r="Y36" s="3173"/>
      <c r="Z36" s="3457"/>
    </row>
    <row r="37" spans="2:26" ht="18" customHeight="1" x14ac:dyDescent="0.2">
      <c r="B37" s="350" t="s">
        <v>862</v>
      </c>
      <c r="C37" s="3495">
        <f>Table3.A!C37</f>
        <v>0.27700000000000002</v>
      </c>
      <c r="D37" s="3307">
        <v>13.2</v>
      </c>
      <c r="E37" s="3494" t="str">
        <f>'Table3.B(a)'!G37</f>
        <v>NA</v>
      </c>
      <c r="F37" s="3479" t="s">
        <v>2146</v>
      </c>
      <c r="G37" s="3479" t="s">
        <v>2146</v>
      </c>
      <c r="H37" s="3479" t="s">
        <v>2146</v>
      </c>
      <c r="I37" s="3479" t="s">
        <v>2146</v>
      </c>
      <c r="J37" s="3479" t="s">
        <v>2146</v>
      </c>
      <c r="K37" s="3479" t="s">
        <v>2146</v>
      </c>
      <c r="L37" s="3479" t="s">
        <v>2146</v>
      </c>
      <c r="M37" s="3479">
        <v>3658.2861486792799</v>
      </c>
      <c r="N37" s="3479" t="s">
        <v>2146</v>
      </c>
      <c r="O37" s="3479" t="s">
        <v>2146</v>
      </c>
      <c r="P37" s="3479" t="s">
        <v>2146</v>
      </c>
      <c r="Q37" s="3479" t="s">
        <v>2146</v>
      </c>
      <c r="R37" s="3482">
        <f t="shared" si="8"/>
        <v>3658.2861486792799</v>
      </c>
      <c r="S37" s="2657"/>
      <c r="T37" s="2658"/>
      <c r="U37" s="3456" t="str">
        <f t="shared" si="26"/>
        <v>NA</v>
      </c>
      <c r="V37" s="3454"/>
      <c r="W37" s="3455"/>
      <c r="X37" s="3315" t="s">
        <v>2147</v>
      </c>
      <c r="Y37" s="3173"/>
      <c r="Z37" s="3457"/>
    </row>
    <row r="38" spans="2:26" ht="18" customHeight="1" x14ac:dyDescent="0.2">
      <c r="B38" s="350" t="s">
        <v>824</v>
      </c>
      <c r="C38" s="3495">
        <f>Table3.A!C38</f>
        <v>61464.203000000001</v>
      </c>
      <c r="D38" s="3307">
        <v>0.65970488292895002</v>
      </c>
      <c r="E38" s="3494" t="str">
        <f>'Table3.B(a)'!G38</f>
        <v>NA</v>
      </c>
      <c r="F38" s="3479" t="s">
        <v>2146</v>
      </c>
      <c r="G38" s="3479" t="s">
        <v>2146</v>
      </c>
      <c r="H38" s="3479" t="s">
        <v>2146</v>
      </c>
      <c r="I38" s="3479">
        <v>14692052.226115337</v>
      </c>
      <c r="J38" s="3479" t="s">
        <v>2153</v>
      </c>
      <c r="K38" s="3479" t="s">
        <v>2153</v>
      </c>
      <c r="L38" s="3479" t="s">
        <v>2153</v>
      </c>
      <c r="M38" s="3479">
        <v>230716.64203985099</v>
      </c>
      <c r="N38" s="3479">
        <v>6288823.3245440396</v>
      </c>
      <c r="O38" s="3479">
        <v>83761.085314473501</v>
      </c>
      <c r="P38" s="3479" t="s">
        <v>2146</v>
      </c>
      <c r="Q38" s="3479">
        <v>40317518.376454897</v>
      </c>
      <c r="R38" s="3482">
        <f t="shared" si="8"/>
        <v>61612871.654468596</v>
      </c>
      <c r="S38" s="2657"/>
      <c r="T38" s="2658"/>
      <c r="U38" s="3456">
        <f t="shared" si="26"/>
        <v>4.5167431852910986E-3</v>
      </c>
      <c r="V38" s="3454"/>
      <c r="W38" s="3455"/>
      <c r="X38" s="3315">
        <v>0.27761802003959873</v>
      </c>
      <c r="Y38" s="3173"/>
      <c r="Z38" s="3457"/>
    </row>
    <row r="39" spans="2:26" ht="18" customHeight="1" x14ac:dyDescent="0.2">
      <c r="B39" s="350" t="s">
        <v>825</v>
      </c>
      <c r="C39" s="3314">
        <f>IF(SUM(C40:C44)=0,"NO",SUM(C40:C44))</f>
        <v>86.461999999999989</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605234.07752265525</v>
      </c>
      <c r="N39" s="2649" t="str">
        <f t="shared" si="27"/>
        <v>NO</v>
      </c>
      <c r="O39" s="2649" t="str">
        <f t="shared" si="27"/>
        <v>NO</v>
      </c>
      <c r="P39" s="2649" t="str">
        <f t="shared" si="27"/>
        <v>NO</v>
      </c>
      <c r="Q39" s="2649" t="str">
        <f t="shared" si="27"/>
        <v>NO</v>
      </c>
      <c r="R39" s="3482">
        <f t="shared" si="8"/>
        <v>605234.07752265525</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49.345999999999997</v>
      </c>
      <c r="D42" s="3307">
        <v>7</v>
      </c>
      <c r="E42" s="3494" t="str">
        <f>'Table3.B(a)'!G42</f>
        <v>NA</v>
      </c>
      <c r="F42" s="3479" t="s">
        <v>2146</v>
      </c>
      <c r="G42" s="3479" t="s">
        <v>2146</v>
      </c>
      <c r="H42" s="3479" t="s">
        <v>2146</v>
      </c>
      <c r="I42" s="3479" t="s">
        <v>2146</v>
      </c>
      <c r="J42" s="3479" t="s">
        <v>2146</v>
      </c>
      <c r="K42" s="3479" t="s">
        <v>2146</v>
      </c>
      <c r="L42" s="3479" t="s">
        <v>2146</v>
      </c>
      <c r="M42" s="3479">
        <v>345420.13333333336</v>
      </c>
      <c r="N42" s="3479" t="s">
        <v>2146</v>
      </c>
      <c r="O42" s="3479" t="s">
        <v>2146</v>
      </c>
      <c r="P42" s="3479" t="s">
        <v>2146</v>
      </c>
      <c r="Q42" s="3479" t="s">
        <v>2146</v>
      </c>
      <c r="R42" s="3482">
        <f t="shared" si="8"/>
        <v>345420.13333333336</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37.116</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259813.94418932192</v>
      </c>
      <c r="N44" s="2649" t="str">
        <f t="shared" si="28"/>
        <v>NO</v>
      </c>
      <c r="O44" s="2649" t="str">
        <f t="shared" si="28"/>
        <v>NO</v>
      </c>
      <c r="P44" s="2649" t="str">
        <f t="shared" si="28"/>
        <v>NO</v>
      </c>
      <c r="Q44" s="2649" t="str">
        <f t="shared" si="28"/>
        <v>NO</v>
      </c>
      <c r="R44" s="3482">
        <f t="shared" si="8"/>
        <v>259813.94418932192</v>
      </c>
      <c r="S44" s="2657"/>
      <c r="T44" s="2658"/>
      <c r="U44" s="3456" t="str">
        <f t="shared" si="26"/>
        <v>NA</v>
      </c>
      <c r="V44" s="3454"/>
      <c r="W44" s="3455"/>
      <c r="X44" s="3314" t="str">
        <f>X45</f>
        <v>NA</v>
      </c>
      <c r="Y44" s="3173"/>
      <c r="Z44" s="3457"/>
    </row>
    <row r="45" spans="2:26" ht="18" customHeight="1" x14ac:dyDescent="0.2">
      <c r="B45" s="2646" t="s">
        <v>2199</v>
      </c>
      <c r="C45" s="3495">
        <f>Table3.A!C45</f>
        <v>37.116</v>
      </c>
      <c r="D45" s="3307">
        <v>7</v>
      </c>
      <c r="E45" s="3494" t="str">
        <f>'Table3.B(a)'!G45</f>
        <v>NA</v>
      </c>
      <c r="F45" s="3479" t="s">
        <v>2146</v>
      </c>
      <c r="G45" s="3479" t="s">
        <v>2146</v>
      </c>
      <c r="H45" s="3479" t="s">
        <v>2146</v>
      </c>
      <c r="I45" s="3479" t="s">
        <v>2146</v>
      </c>
      <c r="J45" s="3479" t="s">
        <v>2146</v>
      </c>
      <c r="K45" s="3479" t="s">
        <v>2146</v>
      </c>
      <c r="L45" s="3479" t="s">
        <v>2146</v>
      </c>
      <c r="M45" s="3479">
        <v>259813.94418932192</v>
      </c>
      <c r="N45" s="3479" t="s">
        <v>2146</v>
      </c>
      <c r="O45" s="3479" t="s">
        <v>2146</v>
      </c>
      <c r="P45" s="3479" t="s">
        <v>2146</v>
      </c>
      <c r="Q45" s="3479" t="s">
        <v>2146</v>
      </c>
      <c r="R45" s="3482">
        <f t="shared" si="8"/>
        <v>259813.94418932192</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81169847.314322799</v>
      </c>
      <c r="T46" s="3447">
        <v>238522.540140739</v>
      </c>
      <c r="U46" s="3466"/>
      <c r="V46" s="3467">
        <f>IF(SUM(S46)=0,"NA",Y46*1000000/S46)</f>
        <v>3.5552027326946588E-3</v>
      </c>
      <c r="W46" s="3468">
        <f>IF(SUM(T46)=0,"NA",Z46*1000000/T46)</f>
        <v>1.7285714285714255E-2</v>
      </c>
      <c r="X46" s="3316"/>
      <c r="Y46" s="3320">
        <v>0.28857526298428865</v>
      </c>
      <c r="Z46" s="3321">
        <v>4.1230324795756244E-3</v>
      </c>
    </row>
    <row r="47" spans="2:26" ht="18" customHeight="1" x14ac:dyDescent="0.2">
      <c r="B47" s="358" t="s">
        <v>863</v>
      </c>
      <c r="C47" s="359"/>
      <c r="D47" s="359"/>
      <c r="E47" s="359"/>
      <c r="F47" s="3485">
        <f>IF(SUM(F30,F27,F24,F10)=0,"NO",SUM(F30,F27,F24,F10))</f>
        <v>49869536.381737016</v>
      </c>
      <c r="G47" s="3485" t="str">
        <f t="shared" ref="G47:Q47" si="29">IF(SUM(G30,G27,G24,G10)=0,"NO",SUM(G30,G27,G24,G10))</f>
        <v>NO</v>
      </c>
      <c r="H47" s="3485">
        <f t="shared" si="29"/>
        <v>15332260.164960001</v>
      </c>
      <c r="I47" s="3485">
        <f t="shared" si="29"/>
        <v>18840634.448250189</v>
      </c>
      <c r="J47" s="3485" t="str">
        <f t="shared" si="29"/>
        <v>NO</v>
      </c>
      <c r="K47" s="3485">
        <f t="shared" si="29"/>
        <v>76483493.355426595</v>
      </c>
      <c r="L47" s="3485">
        <f t="shared" si="29"/>
        <v>2850116.5458558165</v>
      </c>
      <c r="M47" s="3409"/>
      <c r="N47" s="3485">
        <f t="shared" si="29"/>
        <v>9138939.8703998551</v>
      </c>
      <c r="O47" s="3485">
        <f t="shared" si="29"/>
        <v>214807.35243066051</v>
      </c>
      <c r="P47" s="3409"/>
      <c r="Q47" s="3485">
        <f t="shared" si="29"/>
        <v>50685016.242032796</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4.3949364463521184E-2</v>
      </c>
      <c r="J48" s="3486" t="str">
        <f t="shared" si="30"/>
        <v>NA</v>
      </c>
      <c r="K48" s="3486" t="str">
        <f t="shared" si="30"/>
        <v>NA</v>
      </c>
      <c r="L48" s="3486" t="str">
        <f t="shared" si="30"/>
        <v>NA</v>
      </c>
      <c r="M48" s="87"/>
      <c r="N48" s="3486">
        <f t="shared" si="30"/>
        <v>1.5714285714285653E-2</v>
      </c>
      <c r="O48" s="3486" t="str">
        <f t="shared" si="30"/>
        <v>NA</v>
      </c>
      <c r="P48" s="87"/>
      <c r="Q48" s="3486">
        <f t="shared" si="30"/>
        <v>4.3334415656253325E-3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0.82803391009011995</v>
      </c>
      <c r="J49" s="3487" t="s">
        <v>2153</v>
      </c>
      <c r="K49" s="3487" t="s">
        <v>2153</v>
      </c>
      <c r="L49" s="3487" t="s">
        <v>2153</v>
      </c>
      <c r="M49" s="3474"/>
      <c r="N49" s="3488">
        <v>0.14361191224913999</v>
      </c>
      <c r="O49" s="3488" t="s">
        <v>2147</v>
      </c>
      <c r="P49" s="3474"/>
      <c r="Q49" s="3488">
        <v>0.21964055613762001</v>
      </c>
      <c r="R49" s="1312"/>
      <c r="S49" s="1313"/>
      <c r="T49" s="1314"/>
      <c r="U49" s="3473">
        <f>X49*1000/SUM(C10,C24,C27,C30)</f>
        <v>6.143364776001789E-3</v>
      </c>
      <c r="V49" s="3474"/>
      <c r="W49" s="3475"/>
      <c r="X49" s="3319">
        <f>SUM(X10,X24,X27,X30)</f>
        <v>1.1912863784768801</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10.599853529999999</v>
      </c>
    </row>
    <row r="11" spans="1:9" ht="18" customHeight="1" x14ac:dyDescent="0.2">
      <c r="B11" s="439" t="s">
        <v>876</v>
      </c>
      <c r="C11" s="4147">
        <v>0.66707700000000003</v>
      </c>
      <c r="D11" s="243" t="s">
        <v>2146</v>
      </c>
      <c r="E11" s="283" t="s">
        <v>2146</v>
      </c>
      <c r="F11" s="2305">
        <f>IF(SUM(C11)=0,"NA",G11/C11)</f>
        <v>15.889999999999997</v>
      </c>
      <c r="G11" s="3093">
        <v>10.599853529999999</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0.66707700000000003</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33.466285003753534</v>
      </c>
      <c r="H10" s="397" t="s">
        <v>897</v>
      </c>
      <c r="I10" s="398" t="s">
        <v>898</v>
      </c>
      <c r="J10" s="399">
        <v>0.21</v>
      </c>
    </row>
    <row r="11" spans="2:10" ht="24" customHeight="1" x14ac:dyDescent="0.2">
      <c r="B11" s="2431" t="s">
        <v>1949</v>
      </c>
      <c r="C11" s="2432" t="s">
        <v>899</v>
      </c>
      <c r="D11" s="3720">
        <v>1056526.5046311091</v>
      </c>
      <c r="E11" s="3714">
        <f>IF(SUM(D11)=0,"NA",F11*1000/D11/(44/28))</f>
        <v>4.26689001454943E-3</v>
      </c>
      <c r="F11" s="3425">
        <v>7.0841294742700294</v>
      </c>
      <c r="H11" s="397" t="s">
        <v>900</v>
      </c>
      <c r="I11" s="398" t="s">
        <v>901</v>
      </c>
      <c r="J11" s="399">
        <v>0.24</v>
      </c>
    </row>
    <row r="12" spans="2:10" ht="24" customHeight="1" thickBot="1" x14ac:dyDescent="0.25">
      <c r="B12" s="2431" t="s">
        <v>1950</v>
      </c>
      <c r="C12" s="2433" t="s">
        <v>902</v>
      </c>
      <c r="D12" s="3721">
        <f>IF(SUM(D13:D15)=0,"NO",SUM(D13:D15))</f>
        <v>96372.201064762121</v>
      </c>
      <c r="E12" s="3715">
        <f t="shared" ref="E12:E23" si="0">IF(SUM(D12)=0,"NA",F12*1000/D12/(44/28))</f>
        <v>8.5558995715408984E-3</v>
      </c>
      <c r="F12" s="3426">
        <f>IF(SUM(F13:F15)=0,"NO",SUM(F13:F15))</f>
        <v>1.2957228016832809</v>
      </c>
      <c r="H12" s="407" t="s">
        <v>903</v>
      </c>
      <c r="I12" s="408" t="s">
        <v>2147</v>
      </c>
      <c r="J12" s="2668" t="s">
        <v>2147</v>
      </c>
    </row>
    <row r="13" spans="2:10" ht="24" customHeight="1" x14ac:dyDescent="0.2">
      <c r="B13" s="2431" t="s">
        <v>904</v>
      </c>
      <c r="C13" s="2432" t="s">
        <v>905</v>
      </c>
      <c r="D13" s="3722">
        <v>89389.513630701302</v>
      </c>
      <c r="E13" s="3714">
        <f t="shared" si="0"/>
        <v>8.5212085395024659E-3</v>
      </c>
      <c r="F13" s="3425">
        <v>1.196967650830135</v>
      </c>
      <c r="H13" s="1436" t="s">
        <v>906</v>
      </c>
      <c r="I13" s="1078"/>
      <c r="J13" s="1078"/>
    </row>
    <row r="14" spans="2:10" ht="24" customHeight="1" x14ac:dyDescent="0.2">
      <c r="B14" s="2431" t="s">
        <v>907</v>
      </c>
      <c r="C14" s="2432" t="s">
        <v>908</v>
      </c>
      <c r="D14" s="3722">
        <v>6982.6874340608201</v>
      </c>
      <c r="E14" s="3714">
        <f t="shared" si="0"/>
        <v>8.9999999999999959E-3</v>
      </c>
      <c r="F14" s="3425">
        <v>9.8755150853145832E-2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1925300.7225751386</v>
      </c>
      <c r="E16" s="3714">
        <f t="shared" si="0"/>
        <v>3.9999999999999992E-3</v>
      </c>
      <c r="F16" s="3425">
        <v>12.101890256186582</v>
      </c>
    </row>
    <row r="17" spans="2:11" ht="24" customHeight="1" x14ac:dyDescent="0.2">
      <c r="B17" s="2431" t="s">
        <v>913</v>
      </c>
      <c r="C17" s="2432" t="s">
        <v>914</v>
      </c>
      <c r="D17" s="3722">
        <v>804624.42151377804</v>
      </c>
      <c r="E17" s="3714">
        <f t="shared" si="0"/>
        <v>1.0000000000000004E-2</v>
      </c>
      <c r="F17" s="3425">
        <v>12.644098052359372</v>
      </c>
    </row>
    <row r="18" spans="2:11" ht="24" customHeight="1" x14ac:dyDescent="0.2">
      <c r="B18" s="2431" t="s">
        <v>1951</v>
      </c>
      <c r="C18" s="2432" t="s">
        <v>915</v>
      </c>
      <c r="D18" s="3722">
        <v>80323.224308179299</v>
      </c>
      <c r="E18" s="3716">
        <f t="shared" si="0"/>
        <v>1.9999999999999996E-3</v>
      </c>
      <c r="F18" s="3427">
        <v>0.25244441925427774</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10.642535098881456</v>
      </c>
    </row>
    <row r="22" spans="2:11" ht="24" customHeight="1" x14ac:dyDescent="0.2">
      <c r="B22" s="2438" t="s">
        <v>1953</v>
      </c>
      <c r="C22" s="2432" t="s">
        <v>919</v>
      </c>
      <c r="D22" s="3722">
        <v>540699.40259945998</v>
      </c>
      <c r="E22" s="3714">
        <f t="shared" si="0"/>
        <v>2.8419221152682869E-3</v>
      </c>
      <c r="F22" s="3425">
        <v>2.4146973556510458</v>
      </c>
    </row>
    <row r="23" spans="2:11" ht="24" customHeight="1" thickBot="1" x14ac:dyDescent="0.25">
      <c r="B23" s="410" t="s">
        <v>920</v>
      </c>
      <c r="C23" s="411" t="s">
        <v>921</v>
      </c>
      <c r="D23" s="3725">
        <v>476657.14249980403</v>
      </c>
      <c r="E23" s="3719">
        <f t="shared" si="0"/>
        <v>1.0984618248313002E-2</v>
      </c>
      <c r="F23" s="3430">
        <v>8.2278377432304097</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26131870</v>
      </c>
      <c r="N9" s="4179">
        <v>10381827.9</v>
      </c>
      <c r="O9" s="4179">
        <v>394990.2</v>
      </c>
      <c r="P9" s="4180">
        <v>2009372.9</v>
      </c>
      <c r="Q9" s="4180">
        <v>2018103.3</v>
      </c>
      <c r="R9" s="4180">
        <v>343230.02</v>
      </c>
      <c r="S9" s="4180">
        <v>553114.4</v>
      </c>
      <c r="T9" s="4180">
        <v>825860.9</v>
      </c>
      <c r="U9" s="4180">
        <v>2339597.2179999999</v>
      </c>
      <c r="V9" s="4180">
        <v>36435113.159999996</v>
      </c>
      <c r="W9" s="4180">
        <v>43632.779799999997</v>
      </c>
      <c r="X9" s="4181">
        <v>1767125.2</v>
      </c>
    </row>
    <row r="10" spans="2:24" ht="18" customHeight="1" thickTop="1" x14ac:dyDescent="0.2">
      <c r="B10" s="437" t="s">
        <v>947</v>
      </c>
      <c r="C10" s="376"/>
      <c r="D10" s="438"/>
      <c r="E10" s="438"/>
      <c r="F10" s="4149">
        <f>IF(SUM(F11:F14)=0,"NO",SUM(F11:F14))</f>
        <v>6016.5217025207521</v>
      </c>
      <c r="G10" s="4150">
        <f>IF(SUM($F10)=0,"NA",I10/$F10*1000)</f>
        <v>1.8745180633713601</v>
      </c>
      <c r="H10" s="4151">
        <f>IF(SUM($F10)=0,"NA",J10/$F10*1000)</f>
        <v>7.5780118009261349E-2</v>
      </c>
      <c r="I10" s="3192">
        <f>IF(SUM(I11:I14)=0,"NO",SUM(I11:I14))</f>
        <v>11.278078610040957</v>
      </c>
      <c r="J10" s="420">
        <f>IF(SUM(J11:J14)=0,"NO",SUM(J11:J14))</f>
        <v>0.45593272462230461</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3567.9720654901998</v>
      </c>
      <c r="G11" s="4153">
        <f>IF(SUM($F11)=0,"NA",I11/$F11*1000)</f>
        <v>1.8666666666666689</v>
      </c>
      <c r="H11" s="4154">
        <f>IF(SUM($F11)=0,"NA",J11/$F11*1000)</f>
        <v>7.1657142857142919E-2</v>
      </c>
      <c r="I11" s="3326">
        <v>6.6602145222483804</v>
      </c>
      <c r="J11" s="3327">
        <v>0.25567068400712656</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1257.8405571253099</v>
      </c>
      <c r="G12" s="4155">
        <f t="shared" ref="G12:G28" si="0">IF(SUM($F12)=0,"NA",I12/$F12*1000)</f>
        <v>1.866666666666672</v>
      </c>
      <c r="H12" s="4154">
        <f t="shared" ref="H12:H28" si="1">IF(SUM($F12)=0,"NA",J12/$F12*1000)</f>
        <v>8.3600000000000257E-2</v>
      </c>
      <c r="I12" s="3180">
        <v>2.3479690399672521</v>
      </c>
      <c r="J12" s="3327">
        <v>0.10515547057567623</v>
      </c>
      <c r="L12" s="1324" t="s">
        <v>952</v>
      </c>
      <c r="M12" s="4177">
        <v>0.21549430036028999</v>
      </c>
      <c r="N12" s="4177">
        <v>0.23131626635579999</v>
      </c>
      <c r="O12" s="4177">
        <v>0.20145136857224</v>
      </c>
      <c r="P12" s="4178">
        <v>0.18069775778149</v>
      </c>
      <c r="Q12" s="4178">
        <v>0.23747363845870001</v>
      </c>
      <c r="R12" s="4178">
        <v>0.20319102690412</v>
      </c>
      <c r="S12" s="4178">
        <v>0.81499999999999995</v>
      </c>
      <c r="T12" s="4178">
        <v>0.27707108212434001</v>
      </c>
      <c r="U12" s="4178">
        <v>0.20309282525273217</v>
      </c>
      <c r="V12" s="4178">
        <v>0.37409846238556316</v>
      </c>
      <c r="W12" s="4178">
        <v>0.12137120251953597</v>
      </c>
      <c r="X12" s="4152">
        <v>0.23821581849096507</v>
      </c>
    </row>
    <row r="13" spans="2:24" ht="18" customHeight="1" thickBot="1" x14ac:dyDescent="0.25">
      <c r="B13" s="439" t="s">
        <v>953</v>
      </c>
      <c r="C13" s="440" t="s">
        <v>2147</v>
      </c>
      <c r="D13" s="440" t="s">
        <v>2147</v>
      </c>
      <c r="E13" s="440" t="s">
        <v>2147</v>
      </c>
      <c r="F13" s="4152">
        <v>52.593457263039902</v>
      </c>
      <c r="G13" s="4155">
        <f t="shared" si="0"/>
        <v>1.9599999999999986</v>
      </c>
      <c r="H13" s="4154">
        <f t="shared" si="1"/>
        <v>5.9714285714285664E-2</v>
      </c>
      <c r="I13" s="3180">
        <v>0.10308317623555813</v>
      </c>
      <c r="J13" s="3327">
        <v>3.1405807337072373E-3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1138.1156226422027</v>
      </c>
      <c r="G14" s="4157">
        <f t="shared" si="0"/>
        <v>1.9038591760645411</v>
      </c>
      <c r="H14" s="4158">
        <f t="shared" si="1"/>
        <v>8.0805488894256747E-2</v>
      </c>
      <c r="I14" s="3199">
        <f>IF(SUM(I15:I19)=0,"NO",SUM(I15:I19))</f>
        <v>2.1668118715897662</v>
      </c>
      <c r="J14" s="3085">
        <f>IF(SUM(J15:J19)=0,"NO",SUM(J15:J19))</f>
        <v>9.196598930579461E-2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209.139366284293</v>
      </c>
      <c r="G15" s="4159">
        <f t="shared" si="0"/>
        <v>1.8666666666666649</v>
      </c>
      <c r="H15" s="4160">
        <f t="shared" si="1"/>
        <v>9.5542857142857041E-2</v>
      </c>
      <c r="I15" s="3328">
        <v>0.39039348373067989</v>
      </c>
      <c r="J15" s="3327">
        <v>1.9981772595847859E-2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287.45578476589202</v>
      </c>
      <c r="G16" s="4161">
        <f t="shared" si="0"/>
        <v>1.8666666666666651</v>
      </c>
      <c r="H16" s="4162">
        <f t="shared" si="1"/>
        <v>7.1657142857142808E-2</v>
      </c>
      <c r="I16" s="3329">
        <v>0.536584131562998</v>
      </c>
      <c r="J16" s="3327">
        <v>2.0598260234081619E-2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43.009714147722804</v>
      </c>
      <c r="G17" s="4161">
        <f t="shared" si="0"/>
        <v>1.8666666666666667</v>
      </c>
      <c r="H17" s="4162">
        <f t="shared" si="1"/>
        <v>7.1657142857142864E-2</v>
      </c>
      <c r="I17" s="3329">
        <v>8.0284799742415897E-2</v>
      </c>
      <c r="J17" s="3327">
        <v>3.0819532309282515E-3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453.52902847488002</v>
      </c>
      <c r="G18" s="4161">
        <f t="shared" si="0"/>
        <v>1.96</v>
      </c>
      <c r="H18" s="4162">
        <f t="shared" si="1"/>
        <v>8.3599999999999994E-2</v>
      </c>
      <c r="I18" s="3329">
        <v>0.88891689581076472</v>
      </c>
      <c r="J18" s="3327">
        <v>3.7915026780499968E-2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144.981728969415</v>
      </c>
      <c r="G19" s="4161">
        <f t="shared" si="0"/>
        <v>1.8666666666666634</v>
      </c>
      <c r="H19" s="4162">
        <f t="shared" si="1"/>
        <v>7.1657142857142725E-2</v>
      </c>
      <c r="I19" s="3329">
        <v>0.27063256074290754</v>
      </c>
      <c r="J19" s="3327">
        <v>1.0388976464436919E-2</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271.84211132923701</v>
      </c>
      <c r="G20" s="4165">
        <f t="shared" si="0"/>
        <v>1.8666666666666669</v>
      </c>
      <c r="H20" s="4166">
        <f t="shared" si="1"/>
        <v>0.10748571428571431</v>
      </c>
      <c r="I20" s="3220">
        <f>I21</f>
        <v>0.50743860781457584</v>
      </c>
      <c r="J20" s="449">
        <f>J21</f>
        <v>2.921914350915971E-2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271.84211132923701</v>
      </c>
      <c r="G21" s="4168">
        <f t="shared" si="0"/>
        <v>1.8666666666666669</v>
      </c>
      <c r="H21" s="4158">
        <f t="shared" si="1"/>
        <v>0.10748571428571431</v>
      </c>
      <c r="I21" s="3199">
        <f>I22</f>
        <v>0.50743860781457584</v>
      </c>
      <c r="J21" s="3085">
        <f>J22</f>
        <v>2.921914350915971E-2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271.84211132923701</v>
      </c>
      <c r="G22" s="4170">
        <f t="shared" si="0"/>
        <v>1.8666666666666669</v>
      </c>
      <c r="H22" s="4171">
        <f t="shared" si="1"/>
        <v>0.10748571428571431</v>
      </c>
      <c r="I22" s="3330">
        <v>0.50743860781457584</v>
      </c>
      <c r="J22" s="3331">
        <v>2.921914350915971E-2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654.25535088000004</v>
      </c>
      <c r="G26" s="4175">
        <f t="shared" si="0"/>
        <v>1.8666666666666665</v>
      </c>
      <c r="H26" s="4176">
        <f t="shared" si="1"/>
        <v>5.9714285714285699E-2</v>
      </c>
      <c r="I26" s="3332">
        <v>1.2212766549759999</v>
      </c>
      <c r="J26" s="3333">
        <v>3.9068390952548562E-2</v>
      </c>
      <c r="L26" s="159"/>
    </row>
    <row r="27" spans="2:24" ht="18" customHeight="1" x14ac:dyDescent="0.2">
      <c r="B27" s="446" t="s">
        <v>963</v>
      </c>
      <c r="C27" s="447"/>
      <c r="D27" s="448"/>
      <c r="E27" s="448"/>
      <c r="F27" s="4164">
        <f>IF(SUM(F28:F29)=0,"NO",SUM(F28:F29))</f>
        <v>405.6482217184506</v>
      </c>
      <c r="G27" s="4165">
        <f t="shared" si="0"/>
        <v>1.8671673126537094</v>
      </c>
      <c r="H27" s="4166">
        <f t="shared" si="1"/>
        <v>0.107934150048395</v>
      </c>
      <c r="I27" s="3220">
        <f>IF(SUM(I28:I29)=0,"NO",SUM(I28:I29))</f>
        <v>0.75741310002879547</v>
      </c>
      <c r="J27" s="449">
        <f>IF(SUM(J28:J29)=0,"NO",SUM(J28:J29))</f>
        <v>4.3783296029823851E-2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2.1759230823735698</v>
      </c>
      <c r="G28" s="4161">
        <f t="shared" si="0"/>
        <v>1.9600000000000031</v>
      </c>
      <c r="H28" s="4162">
        <f t="shared" si="1"/>
        <v>0.19108571428571464</v>
      </c>
      <c r="I28" s="3329">
        <v>4.2648092414522033E-3</v>
      </c>
      <c r="J28" s="3327">
        <v>4.1578781642612748E-4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403.47229863607703</v>
      </c>
      <c r="G29" s="4161">
        <f t="shared" ref="G29" si="2">IF(SUM($F29)=0,"NA",I29/$F29*1000)</f>
        <v>1.8666666666666654</v>
      </c>
      <c r="H29" s="4162">
        <f t="shared" ref="H29" si="3">IF(SUM($F29)=0,"NA",J29/$F29*1000)</f>
        <v>0.10748571428571418</v>
      </c>
      <c r="I29" s="3329">
        <v>0.75314829078734324</v>
      </c>
      <c r="J29" s="3327">
        <v>4.3367508213397722E-2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1079.5133123531791</v>
      </c>
    </row>
    <row r="11" spans="2:5" s="83" customFormat="1" ht="18" customHeight="1" x14ac:dyDescent="0.2">
      <c r="B11" s="1854" t="s">
        <v>972</v>
      </c>
      <c r="C11" s="4187">
        <v>2497628.8633849202</v>
      </c>
      <c r="D11" s="3594">
        <f>IF(SUM(C11)=0,"NA",E11*1000/(44/12)/C11)</f>
        <v>0.10800000000000021</v>
      </c>
      <c r="E11" s="3431">
        <v>989.06102990043019</v>
      </c>
    </row>
    <row r="12" spans="2:5" s="83" customFormat="1" ht="18" customHeight="1" x14ac:dyDescent="0.2">
      <c r="B12" s="1854" t="s">
        <v>973</v>
      </c>
      <c r="C12" s="4187">
        <v>199747.40328174201</v>
      </c>
      <c r="D12" s="3594">
        <f t="shared" ref="D12:D16" si="0">IF(SUM(C12)=0,"NA",E12*1000/(44/12)/C12)</f>
        <v>0.12349999999999997</v>
      </c>
      <c r="E12" s="3431">
        <v>90.452282452748818</v>
      </c>
    </row>
    <row r="13" spans="2:5" s="83" customFormat="1" ht="18" customHeight="1" x14ac:dyDescent="0.2">
      <c r="B13" s="846" t="s">
        <v>974</v>
      </c>
      <c r="C13" s="4188">
        <v>1303031.9394670001</v>
      </c>
      <c r="D13" s="4189">
        <f t="shared" si="0"/>
        <v>0.19999999999999998</v>
      </c>
      <c r="E13" s="3432">
        <v>955.55675560913323</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33222.88199643189</v>
      </c>
      <c r="D10" s="2989">
        <f t="shared" ref="D10:H10" si="0">IF(SUM(D11,D14,D17,D20,D23,D26,D29:D30)=0,"NO",SUM(D11,D14,D17,D20,D23,D26,D29:D30))</f>
        <v>665.61680430628974</v>
      </c>
      <c r="E10" s="2989">
        <f t="shared" si="0"/>
        <v>15.721579448202602</v>
      </c>
      <c r="F10" s="2989">
        <f t="shared" si="0"/>
        <v>886.91331209462351</v>
      </c>
      <c r="G10" s="2989">
        <f t="shared" si="0"/>
        <v>23442.580101587733</v>
      </c>
      <c r="H10" s="2990">
        <f t="shared" si="0"/>
        <v>681.86895082457875</v>
      </c>
      <c r="I10" s="2991">
        <f>IF(SUM(C10:E10)=0,"NO",SUM(C10)+28*SUM(D10)+265*SUM(E10))</f>
        <v>56026.371070781686</v>
      </c>
    </row>
    <row r="11" spans="2:9" ht="18" customHeight="1" x14ac:dyDescent="0.2">
      <c r="B11" s="473" t="s">
        <v>981</v>
      </c>
      <c r="C11" s="2992">
        <f>IF(SUM(C12:C13)=0,"NO",SUM(C12:C13))</f>
        <v>-41114.37885114376</v>
      </c>
      <c r="D11" s="2992">
        <f t="shared" ref="D11:H11" si="1">IF(SUM(D12:D13)=0,"NO",SUM(D12:D13))</f>
        <v>236.87120338080976</v>
      </c>
      <c r="E11" s="2992">
        <f t="shared" si="1"/>
        <v>4.563587363109959</v>
      </c>
      <c r="F11" s="2992">
        <f t="shared" si="1"/>
        <v>248.01068432272407</v>
      </c>
      <c r="G11" s="2992">
        <f t="shared" si="1"/>
        <v>6698.059014000245</v>
      </c>
      <c r="H11" s="2993">
        <f t="shared" si="1"/>
        <v>237.18209106986185</v>
      </c>
      <c r="I11" s="2994">
        <f t="shared" ref="I11:I32" si="2">IF(SUM(C11:E11)=0,"NO",SUM(C11)+28*SUM(D11)+265*SUM(E11))</f>
        <v>-33272.634505256952</v>
      </c>
    </row>
    <row r="12" spans="2:9" ht="18" customHeight="1" x14ac:dyDescent="0.2">
      <c r="B12" s="474" t="s">
        <v>982</v>
      </c>
      <c r="C12" s="2995">
        <f>IF(SUM(Table4.A!U11,'Table4(IV)'!J12)=0,"NO",SUM(Table4.A!U11,'Table4(IV)'!J12))</f>
        <v>-15595.755166839859</v>
      </c>
      <c r="D12" s="2995">
        <f>'Table4(IV)'!K12</f>
        <v>234.94563508310108</v>
      </c>
      <c r="E12" s="2995">
        <f>IF(SUM('Table4(III)'!I12,'Table4(IV)'!L12)=0,"NO",SUM('Table4(III)'!I12,'Table4(IV)'!L12))</f>
        <v>4.0653162304314296</v>
      </c>
      <c r="F12" s="2905">
        <v>246.73057552902736</v>
      </c>
      <c r="G12" s="2905">
        <v>6649.8616220020458</v>
      </c>
      <c r="H12" s="2906">
        <v>231.72411060509609</v>
      </c>
      <c r="I12" s="2996">
        <f t="shared" si="2"/>
        <v>-7939.9685834487</v>
      </c>
    </row>
    <row r="13" spans="2:9" ht="18" customHeight="1" thickBot="1" x14ac:dyDescent="0.25">
      <c r="B13" s="475" t="s">
        <v>983</v>
      </c>
      <c r="C13" s="2997">
        <f>IF(SUM(Table4.A!U16,'Table4(IV)'!J19)=0,"NO",SUM(Table4.A!U16,'Table4(IV)'!J19))</f>
        <v>-25518.623684303897</v>
      </c>
      <c r="D13" s="2997">
        <f>'Table4(IV)'!K19</f>
        <v>1.9255682977086712</v>
      </c>
      <c r="E13" s="2997">
        <f>IF(SUM('Table4(III)'!I13,'Table4(IV)'!L19)=0,"NO",SUM('Table4(III)'!I13,'Table4(IV)'!L19))</f>
        <v>0.49827113267852963</v>
      </c>
      <c r="F13" s="2908">
        <v>1.280108793696719</v>
      </c>
      <c r="G13" s="2908">
        <v>48.19739199819881</v>
      </c>
      <c r="H13" s="2907">
        <v>5.4579804647657806</v>
      </c>
      <c r="I13" s="2998">
        <f t="shared" si="2"/>
        <v>-25332.665921808242</v>
      </c>
    </row>
    <row r="14" spans="2:9" ht="18" customHeight="1" x14ac:dyDescent="0.2">
      <c r="B14" s="473" t="s">
        <v>984</v>
      </c>
      <c r="C14" s="2992">
        <f>IF(SUM(C15:C16)=0,"NO",SUM(C15:C16))</f>
        <v>8265.1879916794096</v>
      </c>
      <c r="D14" s="2992">
        <f t="shared" ref="D14" si="3">IF(SUM(D15:D16)=0,"NO",SUM(D15:D16))</f>
        <v>4.1728607999999996</v>
      </c>
      <c r="E14" s="2992">
        <f t="shared" ref="E14" si="4">IF(SUM(E15:E16)=0,"NO",SUM(E15:E16))</f>
        <v>0.16303286912344206</v>
      </c>
      <c r="F14" s="2992">
        <f t="shared" ref="F14" si="5">IF(SUM(F15:F16)=0,"NO",SUM(F15:F16))</f>
        <v>3.1420648285714283</v>
      </c>
      <c r="G14" s="2992">
        <f t="shared" ref="G14" si="6">IF(SUM(G15:G16)=0,"NO",SUM(G15:G16))</f>
        <v>123.060756</v>
      </c>
      <c r="H14" s="2993">
        <f t="shared" ref="H14" si="7">IF(SUM(H15:H16)=0,"NO",SUM(H15:H16))</f>
        <v>14.875476000000001</v>
      </c>
      <c r="I14" s="2999">
        <f t="shared" si="2"/>
        <v>8425.2318043971209</v>
      </c>
    </row>
    <row r="15" spans="2:9" ht="18" customHeight="1" x14ac:dyDescent="0.2">
      <c r="B15" s="474" t="s">
        <v>985</v>
      </c>
      <c r="C15" s="2995">
        <f>IF(SUM(Table4.B!S11,'Table4(IV)'!J26)=0,"NO",SUM(Table4.B!S11,'Table4(IV)'!J26))</f>
        <v>2278.9814848710303</v>
      </c>
      <c r="D15" s="2995" t="str">
        <f>'Table4(IV)'!K26</f>
        <v>IE</v>
      </c>
      <c r="E15" s="2995" t="str">
        <f>'Table4(IV)'!L26</f>
        <v>IE</v>
      </c>
      <c r="F15" s="2905" t="s">
        <v>2153</v>
      </c>
      <c r="G15" s="2905" t="s">
        <v>2153</v>
      </c>
      <c r="H15" s="2906" t="s">
        <v>2153</v>
      </c>
      <c r="I15" s="2996">
        <f t="shared" si="2"/>
        <v>2278.9814848710303</v>
      </c>
    </row>
    <row r="16" spans="2:9" ht="18" customHeight="1" thickBot="1" x14ac:dyDescent="0.25">
      <c r="B16" s="475" t="s">
        <v>986</v>
      </c>
      <c r="C16" s="2997">
        <f>IF(SUM(Table4.B!S13,'Table4(IV)'!J31)=0,"IE",SUM(Table4.B!S13,'Table4(IV)'!J31))</f>
        <v>5986.2065068083784</v>
      </c>
      <c r="D16" s="2997">
        <f>'Table4(IV)'!K31</f>
        <v>4.1728607999999996</v>
      </c>
      <c r="E16" s="2997">
        <f>IF(SUM('Table4(III)'!I21,'Table4(IV)'!L31)=0,"IE",SUM('Table4(III)'!I21,'Table4(IV)'!L31))</f>
        <v>0.16303286912344206</v>
      </c>
      <c r="F16" s="2908">
        <v>3.1420648285714283</v>
      </c>
      <c r="G16" s="2908">
        <v>123.060756</v>
      </c>
      <c r="H16" s="2907">
        <v>14.875476000000001</v>
      </c>
      <c r="I16" s="2998">
        <f t="shared" si="2"/>
        <v>6146.2503195260906</v>
      </c>
    </row>
    <row r="17" spans="2:9" ht="18" customHeight="1" x14ac:dyDescent="0.2">
      <c r="B17" s="473" t="s">
        <v>987</v>
      </c>
      <c r="C17" s="2992">
        <f>IF(SUM(C18:C19)=0,"NO",SUM(C18:C19))</f>
        <v>68700.153340731194</v>
      </c>
      <c r="D17" s="2992">
        <f t="shared" ref="D17" si="8">IF(SUM(D18:D19)=0,"NO",SUM(D18:D19))</f>
        <v>335.17263953260425</v>
      </c>
      <c r="E17" s="2992">
        <f t="shared" ref="E17" si="9">IF(SUM(E18:E19)=0,"NO",SUM(E18:E19))</f>
        <v>10.507537199883718</v>
      </c>
      <c r="F17" s="2992">
        <f t="shared" ref="F17" si="10">IF(SUM(F18:F19)=0,"NO",SUM(F18:F19))</f>
        <v>610.48764864412601</v>
      </c>
      <c r="G17" s="2992">
        <f t="shared" ref="G17" si="11">IF(SUM(G18:G19)=0,"NO",SUM(G18:G19))</f>
        <v>15969.080262763408</v>
      </c>
      <c r="H17" s="2993">
        <f t="shared" ref="H17" si="12">IF(SUM(H18:H19)=0,"NO",SUM(H18:H19))</f>
        <v>415.01628765635479</v>
      </c>
      <c r="I17" s="2999">
        <f t="shared" si="2"/>
        <v>80869.484605613296</v>
      </c>
    </row>
    <row r="18" spans="2:9" ht="18" customHeight="1" x14ac:dyDescent="0.2">
      <c r="B18" s="474" t="s">
        <v>988</v>
      </c>
      <c r="C18" s="2995">
        <f>IF(SUM(Table4.C!S11,'Table4(IV)'!J37)=0,"IE",SUM(Table4.C!S11,'Table4(IV)'!J37))</f>
        <v>-1177.1679596281538</v>
      </c>
      <c r="D18" s="2995">
        <f>'Table4(IV)'!K37</f>
        <v>243.6724487705097</v>
      </c>
      <c r="E18" s="2995">
        <f>IF(SUM('Table4(III)'!I29,'Table4(IV)'!L37)=0,"NO",SUM('Table4(III)'!I29,'Table4(IV)'!L37))</f>
        <v>8.3733921249549397</v>
      </c>
      <c r="F18" s="2905">
        <v>540.84024780410573</v>
      </c>
      <c r="G18" s="2905">
        <v>13261.565678513078</v>
      </c>
      <c r="H18" s="2906">
        <v>91.581678243833053</v>
      </c>
      <c r="I18" s="2996">
        <f t="shared" si="2"/>
        <v>7864.6095190591768</v>
      </c>
    </row>
    <row r="19" spans="2:9" ht="18" customHeight="1" thickBot="1" x14ac:dyDescent="0.25">
      <c r="B19" s="475" t="s">
        <v>989</v>
      </c>
      <c r="C19" s="2997">
        <f>IF(SUM(Table4.C!S15,'Table4(IV)'!J42)=0,"IE",SUM(Table4.C!S15,'Table4(IV)'!J42))</f>
        <v>69877.321300359356</v>
      </c>
      <c r="D19" s="2997">
        <f>'Table4(IV)'!K42</f>
        <v>91.500190762094533</v>
      </c>
      <c r="E19" s="2997">
        <f>IF(SUM('Table4(III)'!I30,'Table4(IV)'!L42)=0,"NO",SUM('Table4(III)'!I30,'Table4(IV)'!L42))</f>
        <v>2.1341450749287771</v>
      </c>
      <c r="F19" s="2908">
        <v>69.647400840020296</v>
      </c>
      <c r="G19" s="2908">
        <v>2707.5145842503298</v>
      </c>
      <c r="H19" s="2907">
        <v>323.43460941252175</v>
      </c>
      <c r="I19" s="2998">
        <f t="shared" si="2"/>
        <v>73004.875086554137</v>
      </c>
    </row>
    <row r="20" spans="2:9" ht="18" customHeight="1" x14ac:dyDescent="0.2">
      <c r="B20" s="473" t="s">
        <v>2027</v>
      </c>
      <c r="C20" s="2992">
        <f>IF(SUM(C21:C22)=0,"NO",SUM(C21:C22))</f>
        <v>159.28817855286738</v>
      </c>
      <c r="D20" s="2992">
        <f t="shared" ref="D20" si="13">IF(SUM(D21:D22)=0,"NO",SUM(D21:D22))</f>
        <v>85.345694192875726</v>
      </c>
      <c r="E20" s="2992">
        <f t="shared" ref="E20" si="14">IF(SUM(E21:E22)=0,"NO",SUM(E21:E22))</f>
        <v>0.30323428600378544</v>
      </c>
      <c r="F20" s="2992">
        <f t="shared" ref="F20" si="15">IF(SUM(F21:F22)=0,"NO",SUM(F21:F22))</f>
        <v>22.220042813487744</v>
      </c>
      <c r="G20" s="2992">
        <f t="shared" ref="G20" si="16">IF(SUM(G21:G22)=0,"NO",SUM(G21:G22))</f>
        <v>532.81262082408034</v>
      </c>
      <c r="H20" s="2993">
        <f t="shared" ref="H20" si="17">IF(SUM(H21:H22)=0,"NO",SUM(H21:H22))</f>
        <v>0.34188809836211814</v>
      </c>
      <c r="I20" s="2999">
        <f t="shared" si="2"/>
        <v>2629.3247017443909</v>
      </c>
    </row>
    <row r="21" spans="2:9" ht="18" customHeight="1" x14ac:dyDescent="0.2">
      <c r="B21" s="474" t="s">
        <v>990</v>
      </c>
      <c r="C21" s="2995">
        <f>IF(SUM(Table4.D!S11,'Table4(IV)'!J49)=0,"IE",SUM(Table4.D!S11,'Table4(IV)'!J49))</f>
        <v>131.55717855286738</v>
      </c>
      <c r="D21" s="2995">
        <f>IF(SUM('Table4(IV)'!K49,'Table4(II)'!J270)=0,"NO",SUM('Table4(IV)'!K49,'Table4(II)'!J270))</f>
        <v>74.338719668743778</v>
      </c>
      <c r="E21" s="2995">
        <f>IF(SUM('Table4(II)'!I270,'Table4(III)'!I38,'Table4(IV)'!L49)=0,"NO",SUM('Table4(II)'!I270,'Table4(III)'!I38,'Table4(IV)'!L49))</f>
        <v>0.30323428600378544</v>
      </c>
      <c r="F21" s="2905">
        <v>22.220042813487744</v>
      </c>
      <c r="G21" s="2905">
        <v>532.81262082408034</v>
      </c>
      <c r="H21" s="2906">
        <v>0.34188809836211814</v>
      </c>
      <c r="I21" s="2996">
        <f t="shared" si="2"/>
        <v>2293.3984150686961</v>
      </c>
    </row>
    <row r="22" spans="2:9" ht="18" customHeight="1" thickBot="1" x14ac:dyDescent="0.25">
      <c r="B22" s="475" t="s">
        <v>991</v>
      </c>
      <c r="C22" s="2997">
        <f>IF(SUM(Table4.D!S23,'Table4(II)'!H320,'Table4(IV)'!J54)=0,"NO",SUM(Table4.D!S23,'Table4(II)'!H320,'Table4(IV)'!J54))</f>
        <v>27.730999999999998</v>
      </c>
      <c r="D22" s="2997">
        <f>IF(SUM('Table4(IV)'!K54,'Table4(II)'!J320)=0,"NO",SUM('Table4(IV)'!K54,'Table4(II)'!J320))</f>
        <v>11.006974524131946</v>
      </c>
      <c r="E22" s="2997" t="str">
        <f>IF(SUM('Table4(II)'!I320,'Table4(III)'!I39,'Table4(IV)'!L54)=0,"NO",SUM('Table4(II)'!I320,'Table4(III)'!I39,'Table4(IV)'!L54))</f>
        <v>NO</v>
      </c>
      <c r="F22" s="2908" t="s">
        <v>2153</v>
      </c>
      <c r="G22" s="2908" t="s">
        <v>2153</v>
      </c>
      <c r="H22" s="2907" t="s">
        <v>2153</v>
      </c>
      <c r="I22" s="2998">
        <f t="shared" si="2"/>
        <v>335.92628667569448</v>
      </c>
    </row>
    <row r="23" spans="2:9" ht="18" customHeight="1" x14ac:dyDescent="0.2">
      <c r="B23" s="473" t="s">
        <v>992</v>
      </c>
      <c r="C23" s="2992">
        <f>IF(SUM(C24:C25)=0,"NO",SUM(C24:C25))</f>
        <v>5241.0018922011732</v>
      </c>
      <c r="D23" s="2992">
        <f t="shared" ref="D23" si="18">IF(SUM(D24:D25)=0,"NO",SUM(D24:D25))</f>
        <v>4.0544064000000004</v>
      </c>
      <c r="E23" s="2992">
        <f t="shared" ref="E23" si="19">IF(SUM(E24:E25)=0,"NO",SUM(E24:E25))</f>
        <v>0.10057413797884034</v>
      </c>
      <c r="F23" s="2992">
        <f>IF(SUM(F24:F25)=0,"NO",SUM(F24:F25))</f>
        <v>3.0528714857142853</v>
      </c>
      <c r="G23" s="2992">
        <f t="shared" ref="G23" si="20">IF(SUM(G24:G25)=0,"NO",SUM(G24:G25))</f>
        <v>119.567448</v>
      </c>
      <c r="H23" s="2993">
        <f t="shared" ref="H23" si="21">IF(SUM(H24:H25)=0,"NO",SUM(H24:H25))</f>
        <v>14.453208</v>
      </c>
      <c r="I23" s="2999">
        <f t="shared" si="2"/>
        <v>5381.1774179655658</v>
      </c>
    </row>
    <row r="24" spans="2:9" ht="18" customHeight="1" x14ac:dyDescent="0.2">
      <c r="B24" s="474" t="s">
        <v>993</v>
      </c>
      <c r="C24" s="2995">
        <f>IF(SUM(Table4.E!S11,'Table4(IV)'!J60)=0,"IE",SUM(Table4.E!S11,'Table4(IV)'!J60))</f>
        <v>26.022440935245864</v>
      </c>
      <c r="D24" s="2995" t="str">
        <f>'Table4(IV)'!K60</f>
        <v>IE</v>
      </c>
      <c r="E24" s="2995">
        <f>IF(SUM('Table4(III)'!I47,'Table4(IV)'!L60)=0,"IE",SUM('Table4(III)'!I47,'Table4(IV)'!L60))</f>
        <v>9.1823281693873286E-4</v>
      </c>
      <c r="F24" s="2905" t="s">
        <v>2154</v>
      </c>
      <c r="G24" s="2905" t="s">
        <v>2154</v>
      </c>
      <c r="H24" s="2906" t="s">
        <v>2154</v>
      </c>
      <c r="I24" s="2996">
        <f t="shared" si="2"/>
        <v>26.265772631734627</v>
      </c>
    </row>
    <row r="25" spans="2:9" ht="18" customHeight="1" thickBot="1" x14ac:dyDescent="0.25">
      <c r="B25" s="475" t="s">
        <v>994</v>
      </c>
      <c r="C25" s="2997">
        <f>IF(SUM(Table4.E!S13,'Table4(IV)'!J65)=0,"IE",SUM(Table4.E!S13,'Table4(IV)'!J65))</f>
        <v>5214.9794512659273</v>
      </c>
      <c r="D25" s="2997">
        <f>'Table4(IV)'!K65</f>
        <v>4.0544064000000004</v>
      </c>
      <c r="E25" s="2997">
        <f>IF(SUM('Table4(III)'!I48,'Table4(IV)'!L65)=0,"NO",SUM('Table4(III)'!I48,'Table4(IV)'!L65))</f>
        <v>9.9655905161901606E-2</v>
      </c>
      <c r="F25" s="2908">
        <v>3.0528714857142853</v>
      </c>
      <c r="G25" s="2908">
        <v>119.567448</v>
      </c>
      <c r="H25" s="2907">
        <v>14.453208</v>
      </c>
      <c r="I25" s="2998">
        <f t="shared" si="2"/>
        <v>5354.9116453338311</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-8030.575985262295</v>
      </c>
      <c r="D29" s="3004"/>
      <c r="E29" s="3004"/>
      <c r="F29" s="3004"/>
      <c r="G29" s="3004"/>
      <c r="H29" s="3005"/>
      <c r="I29" s="3006">
        <f t="shared" si="2"/>
        <v>-8030.575985262295</v>
      </c>
    </row>
    <row r="30" spans="2:9" ht="18" customHeight="1" x14ac:dyDescent="0.2">
      <c r="B30" s="1168" t="s">
        <v>2063</v>
      </c>
      <c r="C30" s="3007">
        <f>IF(SUM(C31:C32)=0,"NO",SUM(C31:C32))</f>
        <v>2.2054296732966669</v>
      </c>
      <c r="D30" s="3007" t="str">
        <f t="shared" ref="D30" si="27">IF(SUM(D31:D32)=0,"NO",SUM(D31:D32))</f>
        <v>NO</v>
      </c>
      <c r="E30" s="3007">
        <f t="shared" ref="E30" si="28">IF(SUM(E31:E32)=0,"NO",SUM(E31:E32))</f>
        <v>8.3613592102857154E-2</v>
      </c>
      <c r="F30" s="3007" t="str">
        <f t="shared" ref="F30" si="29">IF(SUM(F31:F32)=0,"NO",SUM(F31:F32))</f>
        <v>NO</v>
      </c>
      <c r="G30" s="3007" t="str">
        <f t="shared" ref="G30" si="30">IF(SUM(G31:G32)=0,"NO",SUM(G31:G32))</f>
        <v>NO</v>
      </c>
      <c r="H30" s="3008" t="str">
        <f t="shared" ref="H30" si="31">IF(SUM(H31:H32)=0,"NO",SUM(H31:H32))</f>
        <v>NO</v>
      </c>
      <c r="I30" s="3009">
        <f t="shared" si="2"/>
        <v>24.363031580553812</v>
      </c>
    </row>
    <row r="31" spans="2:9" ht="18" customHeight="1" x14ac:dyDescent="0.2">
      <c r="B31" s="2677" t="s">
        <v>2218</v>
      </c>
      <c r="C31" s="3010" t="s">
        <v>2146</v>
      </c>
      <c r="D31" s="3010" t="s">
        <v>2146</v>
      </c>
      <c r="E31" s="3010">
        <v>8.3613592102857154E-2</v>
      </c>
      <c r="F31" s="3010" t="s">
        <v>2146</v>
      </c>
      <c r="G31" s="3010" t="s">
        <v>2146</v>
      </c>
      <c r="H31" s="3011" t="s">
        <v>2146</v>
      </c>
      <c r="I31" s="3012">
        <f t="shared" si="2"/>
        <v>22.157601907257146</v>
      </c>
    </row>
    <row r="32" spans="2:9" ht="18" customHeight="1" thickBot="1" x14ac:dyDescent="0.25">
      <c r="B32" s="2676" t="s">
        <v>2219</v>
      </c>
      <c r="C32" s="3013">
        <v>2.2054296732966669</v>
      </c>
      <c r="D32" s="3013" t="s">
        <v>2146</v>
      </c>
      <c r="E32" s="3013" t="s">
        <v>2146</v>
      </c>
      <c r="F32" s="3014" t="s">
        <v>2146</v>
      </c>
      <c r="G32" s="3014" t="s">
        <v>2146</v>
      </c>
      <c r="H32" s="3014" t="s">
        <v>2146</v>
      </c>
      <c r="I32" s="2998">
        <f t="shared" si="2"/>
        <v>2.2054296732966669</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-39073.91430673375</v>
      </c>
      <c r="D35" s="3013" t="s">
        <v>2146</v>
      </c>
      <c r="E35" s="3013" t="s">
        <v>2146</v>
      </c>
      <c r="F35" s="3013" t="s">
        <v>2146</v>
      </c>
      <c r="G35" s="3013" t="s">
        <v>2146</v>
      </c>
      <c r="H35" s="3013" t="s">
        <v>2146</v>
      </c>
      <c r="I35" s="3018">
        <f t="shared" ref="I35" si="32">IF(SUM(C35:E35)=0,"NO",SUM(C35)+28*SUM(D35)+265*SUM(E35))</f>
        <v>-39073.91430673375</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356994.1378218829</v>
      </c>
      <c r="D10" s="3765">
        <f t="shared" ref="D10:I10" si="0">IF(SUM(D11,D37,D47)=0,"NO",SUM(D11,D37,D47))</f>
        <v>1303.9023985495385</v>
      </c>
      <c r="E10" s="3765">
        <f t="shared" si="0"/>
        <v>12.639290424972446</v>
      </c>
      <c r="F10" s="3765">
        <f t="shared" si="0"/>
        <v>2086.7232977873437</v>
      </c>
      <c r="G10" s="3765">
        <f t="shared" si="0"/>
        <v>4043.7934112299436</v>
      </c>
      <c r="H10" s="3765">
        <f t="shared" si="0"/>
        <v>739.20789236476685</v>
      </c>
      <c r="I10" s="3766">
        <f t="shared" si="0"/>
        <v>759.2169819031169</v>
      </c>
      <c r="J10" s="3028">
        <f t="shared" ref="J10:J40" si="1">IF(SUM(C10:E10)=0,"NO",SUM(C10,IFERROR(28*D10,0),IFERROR(265*E10,0)))</f>
        <v>396852.81694388768</v>
      </c>
    </row>
    <row r="11" spans="2:10" s="83" customFormat="1" ht="18" customHeight="1" thickBot="1" x14ac:dyDescent="0.25">
      <c r="B11" s="18" t="s">
        <v>75</v>
      </c>
      <c r="C11" s="3029">
        <f>IF(SUM(C12,C16,C24,C30,C34)=0,"NO",SUM(C12,C16,C24,C30,C34))</f>
        <v>350136.1976506284</v>
      </c>
      <c r="D11" s="3029">
        <f t="shared" ref="D11:I11" si="2">IF(SUM(D12,D16,D24,D30,D34)=0,"NO",SUM(D12,D16,D24,D30,D34))</f>
        <v>92.301478096089568</v>
      </c>
      <c r="E11" s="3029">
        <f t="shared" si="2"/>
        <v>12.556681376876513</v>
      </c>
      <c r="F11" s="3029">
        <f t="shared" si="2"/>
        <v>2084.1407074531676</v>
      </c>
      <c r="G11" s="3029">
        <f t="shared" si="2"/>
        <v>4028.8842872917235</v>
      </c>
      <c r="H11" s="3029">
        <f t="shared" si="2"/>
        <v>535.77535310277563</v>
      </c>
      <c r="I11" s="3030">
        <f t="shared" si="2"/>
        <v>759.2169819031169</v>
      </c>
      <c r="J11" s="3031">
        <f t="shared" si="1"/>
        <v>356048.15960219112</v>
      </c>
    </row>
    <row r="12" spans="2:10" s="83" customFormat="1" ht="18" customHeight="1" x14ac:dyDescent="0.2">
      <c r="B12" s="26" t="s">
        <v>76</v>
      </c>
      <c r="C12" s="3029">
        <f>IF(SUM(C13:C15)=0,"NO",SUM(C13:C15))</f>
        <v>212910.90226205479</v>
      </c>
      <c r="D12" s="3029">
        <f t="shared" ref="D12:I12" si="3">IF(SUM(D13:D15)=0,"NO",SUM(D13:D15))</f>
        <v>12.46491743602536</v>
      </c>
      <c r="E12" s="3029">
        <f t="shared" si="3"/>
        <v>3.4547141470598972</v>
      </c>
      <c r="F12" s="3029">
        <f t="shared" si="3"/>
        <v>830.16587606124926</v>
      </c>
      <c r="G12" s="3029">
        <f t="shared" si="3"/>
        <v>151.65608614977458</v>
      </c>
      <c r="H12" s="3029">
        <f>IF(SUM(H13:H15)=0,"NO",SUM(H13:H15))</f>
        <v>35.423750952389092</v>
      </c>
      <c r="I12" s="3030">
        <f t="shared" si="3"/>
        <v>628.74955781646315</v>
      </c>
      <c r="J12" s="3031">
        <f t="shared" si="1"/>
        <v>214175.41919923437</v>
      </c>
    </row>
    <row r="13" spans="2:10" s="83" customFormat="1" ht="18" customHeight="1" x14ac:dyDescent="0.2">
      <c r="B13" s="20" t="s">
        <v>77</v>
      </c>
      <c r="C13" s="3032">
        <f>'Table1.A(a)s1'!H24</f>
        <v>193871.65983439214</v>
      </c>
      <c r="D13" s="3032">
        <f>'Table1.A(a)s1'!I24</f>
        <v>5.9812877057626475</v>
      </c>
      <c r="E13" s="3032">
        <f>'Table1.A(a)s1'!J24</f>
        <v>3.0598204389403669</v>
      </c>
      <c r="F13" s="3033">
        <v>561.70414678948475</v>
      </c>
      <c r="G13" s="3033">
        <v>77.133996340535106</v>
      </c>
      <c r="H13" s="3033">
        <v>6.2899186747151052</v>
      </c>
      <c r="I13" s="3034">
        <v>613.39122803747193</v>
      </c>
      <c r="J13" s="3035">
        <f t="shared" si="1"/>
        <v>194849.98830647269</v>
      </c>
    </row>
    <row r="14" spans="2:10" s="83" customFormat="1" ht="18" customHeight="1" x14ac:dyDescent="0.2">
      <c r="B14" s="20" t="s">
        <v>78</v>
      </c>
      <c r="C14" s="3032">
        <f>'Table1.A(a)s1'!H53</f>
        <v>5521.2655108613108</v>
      </c>
      <c r="D14" s="3032">
        <f>'Table1.A(a)s1'!I53</f>
        <v>6.7972735653679589E-2</v>
      </c>
      <c r="E14" s="3032">
        <f>'Table1.A(a)s1'!J53</f>
        <v>4.5743816692640653E-2</v>
      </c>
      <c r="F14" s="3033">
        <v>35.411536259307326</v>
      </c>
      <c r="G14" s="3033">
        <v>4.4074424125541078</v>
      </c>
      <c r="H14" s="3033">
        <v>8.3381493696969608E-2</v>
      </c>
      <c r="I14" s="3034">
        <v>4.0513883662348142</v>
      </c>
      <c r="J14" s="3035">
        <f t="shared" si="1"/>
        <v>5535.2908588831633</v>
      </c>
    </row>
    <row r="15" spans="2:10" s="83" customFormat="1" ht="18" customHeight="1" thickBot="1" x14ac:dyDescent="0.25">
      <c r="B15" s="21" t="s">
        <v>79</v>
      </c>
      <c r="C15" s="3036">
        <f>'Table1.A(a)s1'!H60</f>
        <v>13517.976916801352</v>
      </c>
      <c r="D15" s="3036">
        <f>'Table1.A(a)s1'!I60</f>
        <v>6.4156569946090318</v>
      </c>
      <c r="E15" s="3036">
        <f>'Table1.A(a)s1'!J60</f>
        <v>0.34914989142688985</v>
      </c>
      <c r="F15" s="3037">
        <v>233.05019301245716</v>
      </c>
      <c r="G15" s="3037">
        <v>70.11464739668537</v>
      </c>
      <c r="H15" s="3037">
        <v>29.050450783977016</v>
      </c>
      <c r="I15" s="3038">
        <v>11.306941412756393</v>
      </c>
      <c r="J15" s="3039">
        <f t="shared" si="1"/>
        <v>13790.140033878532</v>
      </c>
    </row>
    <row r="16" spans="2:10" s="83" customFormat="1" ht="18" customHeight="1" x14ac:dyDescent="0.2">
      <c r="B16" s="25" t="s">
        <v>80</v>
      </c>
      <c r="C16" s="3029">
        <f>IF(SUM(C17:C23)=0,"NO",SUM(C17:C23))</f>
        <v>40063.565027746365</v>
      </c>
      <c r="D16" s="3029">
        <f t="shared" ref="D16:I16" si="4">IF(SUM(D17:D23)=0,"NO",SUM(D17:D23))</f>
        <v>2.1866889799163549</v>
      </c>
      <c r="E16" s="3029">
        <f t="shared" si="4"/>
        <v>1.2935425084862127</v>
      </c>
      <c r="F16" s="3029">
        <f t="shared" si="4"/>
        <v>536.74174600980973</v>
      </c>
      <c r="G16" s="3029">
        <f t="shared" si="4"/>
        <v>162.36815310293406</v>
      </c>
      <c r="H16" s="3029">
        <f t="shared" si="4"/>
        <v>60.785976745731475</v>
      </c>
      <c r="I16" s="3030">
        <f t="shared" si="4"/>
        <v>95.240553126245672</v>
      </c>
      <c r="J16" s="3031">
        <f t="shared" si="1"/>
        <v>40467.58108393287</v>
      </c>
    </row>
    <row r="17" spans="2:10" s="83" customFormat="1" ht="18" customHeight="1" x14ac:dyDescent="0.2">
      <c r="B17" s="20" t="s">
        <v>81</v>
      </c>
      <c r="C17" s="3032">
        <f>'Table1.A(a)s2'!H17</f>
        <v>2672.5869062750544</v>
      </c>
      <c r="D17" s="3032">
        <f>'Table1.A(a)s2'!I17</f>
        <v>5.5044250581101212E-2</v>
      </c>
      <c r="E17" s="3032">
        <f>'Table1.A(a)s2'!J17</f>
        <v>3.2073739263077383E-2</v>
      </c>
      <c r="F17" s="3033">
        <v>26.677330632758775</v>
      </c>
      <c r="G17" s="3033">
        <v>4.5981917916278627</v>
      </c>
      <c r="H17" s="3033">
        <v>0.43835939529804119</v>
      </c>
      <c r="I17" s="3034">
        <v>12.051268023758539</v>
      </c>
      <c r="J17" s="3035">
        <f t="shared" si="1"/>
        <v>2682.6276861960409</v>
      </c>
    </row>
    <row r="18" spans="2:10" s="83" customFormat="1" ht="18" customHeight="1" x14ac:dyDescent="0.2">
      <c r="B18" s="20" t="s">
        <v>82</v>
      </c>
      <c r="C18" s="3032">
        <f>'Table1.A(a)s2'!H24</f>
        <v>12733.466245482121</v>
      </c>
      <c r="D18" s="3032">
        <f>'Table1.A(a)s2'!I24</f>
        <v>0.24673254831988392</v>
      </c>
      <c r="E18" s="3032">
        <f>'Table1.A(a)s2'!J24</f>
        <v>0.14440807352385843</v>
      </c>
      <c r="F18" s="3033">
        <v>91.329877052546706</v>
      </c>
      <c r="G18" s="3033">
        <v>15.144693510003131</v>
      </c>
      <c r="H18" s="3033">
        <v>2.4260579678221315</v>
      </c>
      <c r="I18" s="3034">
        <v>52.683636156711508</v>
      </c>
      <c r="J18" s="3035">
        <f t="shared" si="1"/>
        <v>12778.642896318899</v>
      </c>
    </row>
    <row r="19" spans="2:10" s="83" customFormat="1" ht="18" customHeight="1" x14ac:dyDescent="0.2">
      <c r="B19" s="20" t="s">
        <v>83</v>
      </c>
      <c r="C19" s="3032">
        <f>'Table1.A(a)s2'!H31</f>
        <v>7504.2521038761925</v>
      </c>
      <c r="D19" s="3032">
        <f>'Table1.A(a)s2'!I31</f>
        <v>0.23809226587241428</v>
      </c>
      <c r="E19" s="3032">
        <f>'Table1.A(a)s2'!J31</f>
        <v>8.3530689036433931E-2</v>
      </c>
      <c r="F19" s="3033">
        <v>54.188571758172323</v>
      </c>
      <c r="G19" s="3033">
        <v>16.256667476173902</v>
      </c>
      <c r="H19" s="3033">
        <v>10.126305664978117</v>
      </c>
      <c r="I19" s="3034">
        <v>4.3131085613059099</v>
      </c>
      <c r="J19" s="3035">
        <f t="shared" si="1"/>
        <v>7533.0543199152753</v>
      </c>
    </row>
    <row r="20" spans="2:10" s="83" customFormat="1" ht="18" customHeight="1" x14ac:dyDescent="0.2">
      <c r="B20" s="20" t="s">
        <v>84</v>
      </c>
      <c r="C20" s="3032">
        <f>'Table1.A(a)s2'!H38</f>
        <v>1616.6105190731303</v>
      </c>
      <c r="D20" s="3032">
        <f>'Table1.A(a)s2'!I38</f>
        <v>0.23711043248322566</v>
      </c>
      <c r="E20" s="3032">
        <f>'Table1.A(a)s2'!J38</f>
        <v>0.1572883457765657</v>
      </c>
      <c r="F20" s="3033">
        <v>6.6702067669649949</v>
      </c>
      <c r="G20" s="3033">
        <v>5.7567185708265498</v>
      </c>
      <c r="H20" s="3033">
        <v>0.18732747625222099</v>
      </c>
      <c r="I20" s="3034">
        <v>2.3117415107060424</v>
      </c>
      <c r="J20" s="3035">
        <f t="shared" si="1"/>
        <v>1664.9310228134505</v>
      </c>
    </row>
    <row r="21" spans="2:10" s="83" customFormat="1" ht="18" customHeight="1" x14ac:dyDescent="0.2">
      <c r="B21" s="20" t="s">
        <v>85</v>
      </c>
      <c r="C21" s="3032">
        <f>'Table1.A(a)s2'!H45</f>
        <v>2965.3917283176697</v>
      </c>
      <c r="D21" s="3032">
        <f>'Table1.A(a)s2'!I45</f>
        <v>0.87253984396025308</v>
      </c>
      <c r="E21" s="3032">
        <f>'Table1.A(a)s2'!J45</f>
        <v>0.56283063761514418</v>
      </c>
      <c r="F21" s="3033">
        <v>22.95843147422001</v>
      </c>
      <c r="G21" s="3033">
        <v>22.916492263678709</v>
      </c>
      <c r="H21" s="3033">
        <v>1.2335232327315973</v>
      </c>
      <c r="I21" s="3034">
        <v>5.5674055440760739</v>
      </c>
      <c r="J21" s="3035">
        <f t="shared" si="1"/>
        <v>3138.9729629165704</v>
      </c>
    </row>
    <row r="22" spans="2:10" s="83" customFormat="1" ht="18" customHeight="1" x14ac:dyDescent="0.2">
      <c r="B22" s="20" t="s">
        <v>86</v>
      </c>
      <c r="C22" s="3032">
        <f>'Table1.A(a)s2'!H52</f>
        <v>6487.3074496130203</v>
      </c>
      <c r="D22" s="3032">
        <f>'Table1.A(a)s2'!I52</f>
        <v>0.2170032062625763</v>
      </c>
      <c r="E22" s="3032">
        <f>'Table1.A(a)s2'!J52</f>
        <v>5.2477160998407497E-2</v>
      </c>
      <c r="F22" s="3033">
        <v>86.773817129569693</v>
      </c>
      <c r="G22" s="3033">
        <v>17.966014329115932</v>
      </c>
      <c r="H22" s="3033">
        <v>8.9802720374971194</v>
      </c>
      <c r="I22" s="3034">
        <v>12.709830670542768</v>
      </c>
      <c r="J22" s="3035">
        <f t="shared" si="1"/>
        <v>6507.2899870529509</v>
      </c>
    </row>
    <row r="23" spans="2:10" s="83" customFormat="1" ht="18" customHeight="1" thickBot="1" x14ac:dyDescent="0.25">
      <c r="B23" s="3060" t="s">
        <v>2115</v>
      </c>
      <c r="C23" s="3032">
        <f>'Table1.A(a)s2'!H59</f>
        <v>6083.9500751091755</v>
      </c>
      <c r="D23" s="3032">
        <f>'Table1.A(a)s2'!I59</f>
        <v>0.32016643243690057</v>
      </c>
      <c r="E23" s="3032">
        <f>'Table1.A(a)s2'!J59</f>
        <v>0.26093386227272541</v>
      </c>
      <c r="F23" s="3033">
        <v>248.14351119557728</v>
      </c>
      <c r="G23" s="3033">
        <v>79.729375161507988</v>
      </c>
      <c r="H23" s="3033">
        <v>37.394130971152244</v>
      </c>
      <c r="I23" s="3034">
        <v>5.6035626591448269</v>
      </c>
      <c r="J23" s="3035">
        <f t="shared" si="1"/>
        <v>6162.0622087196807</v>
      </c>
    </row>
    <row r="24" spans="2:10" s="83" customFormat="1" ht="18" customHeight="1" x14ac:dyDescent="0.2">
      <c r="B24" s="25" t="s">
        <v>87</v>
      </c>
      <c r="C24" s="3029">
        <f>IF(SUM(C25:C29)=0,"NO",SUM(C25:C29))</f>
        <v>78429.970225474623</v>
      </c>
      <c r="D24" s="3029">
        <f t="shared" ref="D24:I24" si="5">IF(SUM(D25:D29)=0,"NO",SUM(D25:D29))</f>
        <v>24.925571185755999</v>
      </c>
      <c r="E24" s="3029">
        <f t="shared" si="5"/>
        <v>7.1292786174709928</v>
      </c>
      <c r="F24" s="3029">
        <f t="shared" si="5"/>
        <v>360.06799074202553</v>
      </c>
      <c r="G24" s="3029">
        <f t="shared" si="5"/>
        <v>2884.3235108434542</v>
      </c>
      <c r="H24" s="3029">
        <f t="shared" si="5"/>
        <v>308.84242174276341</v>
      </c>
      <c r="I24" s="3030">
        <f t="shared" si="5"/>
        <v>27.45814172758914</v>
      </c>
      <c r="J24" s="3031">
        <f t="shared" si="1"/>
        <v>81017.145052305597</v>
      </c>
    </row>
    <row r="25" spans="2:10" s="83" customFormat="1" ht="18" customHeight="1" x14ac:dyDescent="0.2">
      <c r="B25" s="20" t="s">
        <v>88</v>
      </c>
      <c r="C25" s="1878">
        <f>'Table1.A(a)s3'!H16</f>
        <v>4930.3065114392102</v>
      </c>
      <c r="D25" s="1878">
        <f>'Table1.A(a)s3'!I16</f>
        <v>2.9971837958567314E-2</v>
      </c>
      <c r="E25" s="1878">
        <f>'Table1.A(a)s3'!J16</f>
        <v>4.3105194036791472E-2</v>
      </c>
      <c r="F25" s="3033">
        <v>16.760596576190295</v>
      </c>
      <c r="G25" s="3033">
        <v>11.184398900455022</v>
      </c>
      <c r="H25" s="3033">
        <v>1.0983361914436882</v>
      </c>
      <c r="I25" s="3034">
        <v>0.58181482337023083</v>
      </c>
      <c r="J25" s="3035">
        <f t="shared" si="1"/>
        <v>4942.5685993217994</v>
      </c>
    </row>
    <row r="26" spans="2:10" s="83" customFormat="1" ht="18" customHeight="1" x14ac:dyDescent="0.2">
      <c r="B26" s="20" t="s">
        <v>89</v>
      </c>
      <c r="C26" s="1878">
        <f>'Table1.A(a)s3'!H20</f>
        <v>68893.607687467491</v>
      </c>
      <c r="D26" s="1878">
        <f>'Table1.A(a)s3'!I20</f>
        <v>20.400516211746556</v>
      </c>
      <c r="E26" s="1878">
        <f>'Table1.A(a)s3'!J20</f>
        <v>6.2684670951083516</v>
      </c>
      <c r="F26" s="3033">
        <v>278.54878656636384</v>
      </c>
      <c r="G26" s="3033">
        <v>2636.3440119150214</v>
      </c>
      <c r="H26" s="3033">
        <v>267.21576130422636</v>
      </c>
      <c r="I26" s="3034">
        <v>13.067680319804738</v>
      </c>
      <c r="J26" s="3035">
        <f t="shared" si="1"/>
        <v>71125.965921600102</v>
      </c>
    </row>
    <row r="27" spans="2:10" s="83" customFormat="1" ht="18" customHeight="1" x14ac:dyDescent="0.2">
      <c r="B27" s="20" t="s">
        <v>90</v>
      </c>
      <c r="C27" s="1878">
        <f>'Table1.A(a)s3'!H81</f>
        <v>1819.1272383667856</v>
      </c>
      <c r="D27" s="1878">
        <f>'Table1.A(a)s3'!I81</f>
        <v>0.10403999999999999</v>
      </c>
      <c r="E27" s="1878">
        <f>'Table1.A(a)s3'!J81</f>
        <v>0.78029999999999988</v>
      </c>
      <c r="F27" s="3033">
        <v>39.795299999999997</v>
      </c>
      <c r="G27" s="3033">
        <v>5.2540199999999997</v>
      </c>
      <c r="H27" s="3033">
        <v>1.8467099999999999</v>
      </c>
      <c r="I27" s="3034">
        <v>1.4830723157894734</v>
      </c>
      <c r="J27" s="3035">
        <f t="shared" si="1"/>
        <v>2028.8198583667854</v>
      </c>
    </row>
    <row r="28" spans="2:10" s="83" customFormat="1" ht="18" customHeight="1" x14ac:dyDescent="0.2">
      <c r="B28" s="20" t="s">
        <v>91</v>
      </c>
      <c r="C28" s="1878">
        <f>'Table1.A(a)s3'!H88</f>
        <v>1998.5579365194201</v>
      </c>
      <c r="D28" s="1878">
        <f>'Table1.A(a)s3'!I88</f>
        <v>4.2449229324050188</v>
      </c>
      <c r="E28" s="1878">
        <f>'Table1.A(a)s3'!J88</f>
        <v>3.5830253408983749E-2</v>
      </c>
      <c r="F28" s="3033">
        <v>22.005339816053691</v>
      </c>
      <c r="G28" s="3033">
        <v>226.28979413764932</v>
      </c>
      <c r="H28" s="3033">
        <v>37.938994052041473</v>
      </c>
      <c r="I28" s="3034">
        <v>12.320168191343171</v>
      </c>
      <c r="J28" s="3035">
        <f t="shared" si="1"/>
        <v>2126.9107957801411</v>
      </c>
    </row>
    <row r="29" spans="2:10" s="83" customFormat="1" ht="18" customHeight="1" thickBot="1" x14ac:dyDescent="0.25">
      <c r="B29" s="22" t="s">
        <v>92</v>
      </c>
      <c r="C29" s="1881">
        <f>'Table1.A(a)s3'!H99</f>
        <v>788.37085168172166</v>
      </c>
      <c r="D29" s="1881">
        <f>'Table1.A(a)s3'!I99</f>
        <v>0.14612020364585765</v>
      </c>
      <c r="E29" s="1881">
        <f>'Table1.A(a)s3'!J99</f>
        <v>1.5760749168665354E-3</v>
      </c>
      <c r="F29" s="3040">
        <v>2.9579677834177058</v>
      </c>
      <c r="G29" s="3040">
        <v>5.2512858903287452</v>
      </c>
      <c r="H29" s="3040">
        <v>0.74262019505189469</v>
      </c>
      <c r="I29" s="3041">
        <v>5.4060772815279585E-3</v>
      </c>
      <c r="J29" s="3042">
        <f t="shared" si="1"/>
        <v>792.87987723677531</v>
      </c>
    </row>
    <row r="30" spans="2:10" ht="18" customHeight="1" x14ac:dyDescent="0.2">
      <c r="B30" s="26" t="s">
        <v>93</v>
      </c>
      <c r="C30" s="3029">
        <f>IF(SUM(C31:C33)=0,"NO",SUM(C31:C33))</f>
        <v>18154.119522443081</v>
      </c>
      <c r="D30" s="3029">
        <f t="shared" ref="D30" si="6">IF(SUM(D31:D33)=0,"NO",SUM(D31:D33))</f>
        <v>52.702605381084553</v>
      </c>
      <c r="E30" s="3029">
        <f t="shared" ref="E30" si="7">IF(SUM(E31:E33)=0,"NO",SUM(E31:E33))</f>
        <v>0.66328647233038751</v>
      </c>
      <c r="F30" s="3029">
        <f t="shared" ref="F30" si="8">IF(SUM(F31:F33)=0,"NO",SUM(F31:F33))</f>
        <v>353.03462912301882</v>
      </c>
      <c r="G30" s="3029">
        <f t="shared" ref="G30" si="9">IF(SUM(G31:G33)=0,"NO",SUM(G31:G33))</f>
        <v>825.88883944749659</v>
      </c>
      <c r="H30" s="3029">
        <f t="shared" ref="H30" si="10">IF(SUM(H31:H33)=0,"NO",SUM(H31:H33))</f>
        <v>130.25864859109691</v>
      </c>
      <c r="I30" s="3030">
        <f t="shared" ref="I30" si="11">IF(SUM(I31:I33)=0,"NO",SUM(I31:I33))</f>
        <v>7.6008153436725205</v>
      </c>
      <c r="J30" s="3043">
        <f t="shared" si="1"/>
        <v>19805.563388281</v>
      </c>
    </row>
    <row r="31" spans="2:10" ht="18" customHeight="1" x14ac:dyDescent="0.2">
      <c r="B31" s="20" t="s">
        <v>94</v>
      </c>
      <c r="C31" s="3032">
        <f>'Table1.A(a)s4'!H17</f>
        <v>4360.5494560528368</v>
      </c>
      <c r="D31" s="3032">
        <f>'Table1.A(a)s4'!I17</f>
        <v>8.2909633333333316E-2</v>
      </c>
      <c r="E31" s="3032">
        <f>'Table1.A(a)s4'!J17</f>
        <v>8.731607142857141E-2</v>
      </c>
      <c r="F31" s="3033">
        <v>24.49565943506493</v>
      </c>
      <c r="G31" s="3033">
        <v>7.336572064935063</v>
      </c>
      <c r="H31" s="3033">
        <v>2.8875023214285722</v>
      </c>
      <c r="I31" s="3034">
        <v>2.2563362463427796</v>
      </c>
      <c r="J31" s="3035">
        <f t="shared" si="1"/>
        <v>4386.0096847147415</v>
      </c>
    </row>
    <row r="32" spans="2:10" ht="18" customHeight="1" x14ac:dyDescent="0.2">
      <c r="B32" s="20" t="s">
        <v>95</v>
      </c>
      <c r="C32" s="3032">
        <f>'Table1.A(a)s4'!H38</f>
        <v>7668.6647231603292</v>
      </c>
      <c r="D32" s="3032">
        <f>'Table1.A(a)s4'!I38</f>
        <v>52.098688096668965</v>
      </c>
      <c r="E32" s="3032">
        <f>'Table1.A(a)s4'!J38</f>
        <v>0.2574998069624222</v>
      </c>
      <c r="F32" s="3033">
        <v>10.95829176587608</v>
      </c>
      <c r="G32" s="3033">
        <v>690.32121382412004</v>
      </c>
      <c r="H32" s="3033">
        <v>79.279215435036321</v>
      </c>
      <c r="I32" s="3034">
        <v>0.62541658627710972</v>
      </c>
      <c r="J32" s="3035">
        <f t="shared" si="1"/>
        <v>9195.6654387121034</v>
      </c>
    </row>
    <row r="33" spans="2:10" ht="18" customHeight="1" thickBot="1" x14ac:dyDescent="0.25">
      <c r="B33" s="20" t="s">
        <v>96</v>
      </c>
      <c r="C33" s="3032">
        <f>'Table1.A(a)s4'!H59</f>
        <v>6124.9053432299143</v>
      </c>
      <c r="D33" s="3032">
        <f>'Table1.A(a)s4'!I59</f>
        <v>0.52100765108225111</v>
      </c>
      <c r="E33" s="3032">
        <f>'Table1.A(a)s4'!J59</f>
        <v>0.31847059393939398</v>
      </c>
      <c r="F33" s="3033">
        <v>317.58067792207783</v>
      </c>
      <c r="G33" s="3033">
        <v>128.2310535584416</v>
      </c>
      <c r="H33" s="3033">
        <v>48.091930834632038</v>
      </c>
      <c r="I33" s="3034">
        <v>4.7190625110526314</v>
      </c>
      <c r="J33" s="3035">
        <f t="shared" si="1"/>
        <v>6223.8882648541567</v>
      </c>
    </row>
    <row r="34" spans="2:10" ht="18" customHeight="1" x14ac:dyDescent="0.2">
      <c r="B34" s="25" t="s">
        <v>2116</v>
      </c>
      <c r="C34" s="3029">
        <f>IF(SUM(C35:C36)=0,"NO",SUM(C35:C36))</f>
        <v>577.64061290953441</v>
      </c>
      <c r="D34" s="3029">
        <f t="shared" ref="D34:E34" si="12">IF(SUM(D35:D36)=0,"NO",SUM(D35:D36))</f>
        <v>2.1695113307296923E-2</v>
      </c>
      <c r="E34" s="3029">
        <f t="shared" si="12"/>
        <v>1.5859631529023716E-2</v>
      </c>
      <c r="F34" s="3029">
        <f t="shared" ref="F34:I34" si="13">IF(SUM(F35:F36)=0,"NO",SUM(F35:F36))</f>
        <v>4.1304655170641267</v>
      </c>
      <c r="G34" s="3029">
        <f t="shared" si="13"/>
        <v>4.6476977480642612</v>
      </c>
      <c r="H34" s="3029">
        <f t="shared" si="13"/>
        <v>0.46455507079475983</v>
      </c>
      <c r="I34" s="3030">
        <f t="shared" si="13"/>
        <v>0.16791388914643157</v>
      </c>
      <c r="J34" s="3031">
        <f t="shared" si="1"/>
        <v>582.45087843732995</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577.64061290953441</v>
      </c>
      <c r="D36" s="3044">
        <f>'Table1.A(a)s4'!I108</f>
        <v>2.1695113307296923E-2</v>
      </c>
      <c r="E36" s="3044">
        <f>'Table1.A(a)s4'!J108</f>
        <v>1.5859631529023716E-2</v>
      </c>
      <c r="F36" s="3040">
        <v>4.1304655170641267</v>
      </c>
      <c r="G36" s="3040">
        <v>4.6476977480642612</v>
      </c>
      <c r="H36" s="3040">
        <v>0.46455507079475983</v>
      </c>
      <c r="I36" s="3041">
        <v>0.16791388914643157</v>
      </c>
      <c r="J36" s="3042">
        <f t="shared" si="1"/>
        <v>582.45087843732995</v>
      </c>
    </row>
    <row r="37" spans="2:10" ht="18" customHeight="1" thickBot="1" x14ac:dyDescent="0.25">
      <c r="B37" s="18" t="s">
        <v>99</v>
      </c>
      <c r="C37" s="3029">
        <f>IF(SUM(C38,C42)=0,"NO",SUM(C38,C42))</f>
        <v>6857.9401712544859</v>
      </c>
      <c r="D37" s="3029">
        <f t="shared" ref="D37:I37" si="14">IF(SUM(D38,D42)=0,"NO",SUM(D38,D42))</f>
        <v>1211.6009204534489</v>
      </c>
      <c r="E37" s="3029">
        <f t="shared" si="14"/>
        <v>8.260904809593192E-2</v>
      </c>
      <c r="F37" s="3029">
        <f t="shared" si="14"/>
        <v>2.5825903341758476</v>
      </c>
      <c r="G37" s="3029">
        <f t="shared" si="14"/>
        <v>14.909123938219915</v>
      </c>
      <c r="H37" s="3029">
        <f t="shared" si="14"/>
        <v>203.43253926199122</v>
      </c>
      <c r="I37" s="3030" t="str">
        <f t="shared" si="14"/>
        <v>NO</v>
      </c>
      <c r="J37" s="3031">
        <f t="shared" si="1"/>
        <v>40804.657341696475</v>
      </c>
    </row>
    <row r="38" spans="2:10" ht="18" customHeight="1" x14ac:dyDescent="0.2">
      <c r="B38" s="26" t="s">
        <v>100</v>
      </c>
      <c r="C38" s="3029">
        <f>IF(SUM(C39:C41)=0,"NO",SUM(C39:C41))</f>
        <v>1056.4851416166221</v>
      </c>
      <c r="D38" s="3029">
        <f t="shared" ref="D38" si="15">IF(SUM(D39:D41)=0,"NO",SUM(D39:D41))</f>
        <v>990.26963733266234</v>
      </c>
      <c r="E38" s="3029">
        <f t="shared" ref="E38" si="16">IF(SUM(E39:E41)=0,"NO",SUM(E39:E41))</f>
        <v>1.0085912030617021E-4</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28784.06171459805</v>
      </c>
    </row>
    <row r="39" spans="2:10" ht="18" customHeight="1" x14ac:dyDescent="0.2">
      <c r="B39" s="20" t="s">
        <v>101</v>
      </c>
      <c r="C39" s="3032">
        <f>'Table1.B.1'!G10</f>
        <v>1056.4851416166221</v>
      </c>
      <c r="D39" s="3032">
        <f>SUM('Table1.B.1'!F10,'Table1.B.1'!H10)</f>
        <v>990.26963733266234</v>
      </c>
      <c r="E39" s="3033">
        <v>1.0085912030617021E-4</v>
      </c>
      <c r="F39" s="3033" t="s">
        <v>2146</v>
      </c>
      <c r="G39" s="3033" t="s">
        <v>2146</v>
      </c>
      <c r="H39" s="3033" t="s">
        <v>2146</v>
      </c>
      <c r="I39" s="2931"/>
      <c r="J39" s="3035">
        <f t="shared" si="1"/>
        <v>28784.06171459805</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5801.4550296378638</v>
      </c>
      <c r="D42" s="3029">
        <f t="shared" ref="D42:I42" si="21">IF(SUM(D43:D46)=0,"NO",SUM(D43:D46))</f>
        <v>221.33128312078648</v>
      </c>
      <c r="E42" s="3029">
        <f t="shared" si="21"/>
        <v>8.2508188975625743E-2</v>
      </c>
      <c r="F42" s="3029">
        <f t="shared" si="21"/>
        <v>2.5825903341758476</v>
      </c>
      <c r="G42" s="3029">
        <f t="shared" si="21"/>
        <v>14.909123938219915</v>
      </c>
      <c r="H42" s="3029">
        <f t="shared" si="21"/>
        <v>203.43253926199122</v>
      </c>
      <c r="I42" s="3030" t="str">
        <f t="shared" si="21"/>
        <v>NO</v>
      </c>
      <c r="J42" s="3031">
        <f t="shared" ref="J42:J59" si="22">IF(SUM(C42:E42)=0,"NO",SUM(C42,IFERROR(28*D42,0),IFERROR(265*E42,0)))</f>
        <v>12020.595627098426</v>
      </c>
    </row>
    <row r="43" spans="2:10" ht="18" customHeight="1" x14ac:dyDescent="0.2">
      <c r="B43" s="20" t="s">
        <v>103</v>
      </c>
      <c r="C43" s="3032">
        <f>'Table1.B.2'!I10</f>
        <v>432.23720087519155</v>
      </c>
      <c r="D43" s="3032">
        <f>'Table1.B.2'!J10</f>
        <v>3.650481850017024</v>
      </c>
      <c r="E43" s="3032">
        <f>'Table1.B.2'!K10</f>
        <v>1.3006416760939525E-2</v>
      </c>
      <c r="F43" s="3033">
        <v>0.24036785491529947</v>
      </c>
      <c r="G43" s="3033">
        <v>1.3941335585087369</v>
      </c>
      <c r="H43" s="3033">
        <v>102.75872861580382</v>
      </c>
      <c r="I43" s="3034" t="s">
        <v>2146</v>
      </c>
      <c r="J43" s="3035">
        <f t="shared" si="22"/>
        <v>537.89739311731728</v>
      </c>
    </row>
    <row r="44" spans="2:10" ht="18" customHeight="1" x14ac:dyDescent="0.2">
      <c r="B44" s="20" t="s">
        <v>104</v>
      </c>
      <c r="C44" s="3032">
        <f>SUM('Table1.B.2'!I21,'Table1.B.2'!L21)</f>
        <v>22.475287425594281</v>
      </c>
      <c r="D44" s="3032">
        <f>'Table1.B.2'!J21</f>
        <v>136.53963229896362</v>
      </c>
      <c r="E44" s="3032">
        <f>'Table1.B.2'!K21</f>
        <v>4.0430574132339513E-4</v>
      </c>
      <c r="F44" s="3033">
        <v>7.4871433578406494E-3</v>
      </c>
      <c r="G44" s="3033">
        <v>4.3425431475475763E-2</v>
      </c>
      <c r="H44" s="3033">
        <v>77.451957287160312</v>
      </c>
      <c r="I44" s="3034" t="s">
        <v>2146</v>
      </c>
      <c r="J44" s="3035">
        <f t="shared" si="22"/>
        <v>3845.6921328180265</v>
      </c>
    </row>
    <row r="45" spans="2:10" ht="18" customHeight="1" x14ac:dyDescent="0.2">
      <c r="B45" s="20" t="s">
        <v>105</v>
      </c>
      <c r="C45" s="3032">
        <f>'Table1.B.2'!I35</f>
        <v>5346.7425413370784</v>
      </c>
      <c r="D45" s="3032">
        <f>'Table1.B.2'!J35</f>
        <v>81.141168971805826</v>
      </c>
      <c r="E45" s="3032">
        <f>'Table1.B.2'!K35</f>
        <v>6.9097466473362817E-2</v>
      </c>
      <c r="F45" s="3033">
        <v>2.3347353359027077</v>
      </c>
      <c r="G45" s="3033">
        <v>13.471564948235702</v>
      </c>
      <c r="H45" s="3033">
        <v>23.221853359027079</v>
      </c>
      <c r="I45" s="3034" t="s">
        <v>2146</v>
      </c>
      <c r="J45" s="3035">
        <f t="shared" si="22"/>
        <v>7637.0061011630823</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9992.887999999999</v>
      </c>
      <c r="D52" s="3032">
        <f t="shared" ref="D52:I52" si="23">IF(SUM(D53:D54)=0,"NO",SUM(D53:D54))</f>
        <v>0.28336508166666668</v>
      </c>
      <c r="E52" s="3032">
        <f t="shared" si="23"/>
        <v>0.11546407625175439</v>
      </c>
      <c r="F52" s="3032">
        <f t="shared" si="23"/>
        <v>111.26711359464912</v>
      </c>
      <c r="G52" s="3032">
        <f t="shared" si="23"/>
        <v>13.691229939210528</v>
      </c>
      <c r="H52" s="3032">
        <f t="shared" si="23"/>
        <v>7.8019382746403512</v>
      </c>
      <c r="I52" s="3055">
        <f t="shared" si="23"/>
        <v>43.82571381106613</v>
      </c>
      <c r="J52" s="3035">
        <f t="shared" si="22"/>
        <v>10031.42020249338</v>
      </c>
    </row>
    <row r="53" spans="2:10" ht="18" customHeight="1" x14ac:dyDescent="0.2">
      <c r="B53" s="164" t="s">
        <v>111</v>
      </c>
      <c r="C53" s="3032">
        <f>Table1.D!G10</f>
        <v>7173.6719999999996</v>
      </c>
      <c r="D53" s="3032">
        <f>Table1.D!H10</f>
        <v>1.3375081666666667E-2</v>
      </c>
      <c r="E53" s="3032">
        <f>Table1.D!I10</f>
        <v>3.8324076251754387E-2</v>
      </c>
      <c r="F53" s="3033">
        <v>36.344713594649129</v>
      </c>
      <c r="G53" s="3033">
        <v>11.365829939210528</v>
      </c>
      <c r="H53" s="3033">
        <v>5.4617882746403508</v>
      </c>
      <c r="I53" s="3034">
        <v>0.84517400000000009</v>
      </c>
      <c r="J53" s="3035">
        <f t="shared" si="22"/>
        <v>7184.2023824933813</v>
      </c>
    </row>
    <row r="54" spans="2:10" ht="18" customHeight="1" x14ac:dyDescent="0.2">
      <c r="B54" s="164" t="s">
        <v>112</v>
      </c>
      <c r="C54" s="3032">
        <f>Table1.D!G14</f>
        <v>2819.2160000000003</v>
      </c>
      <c r="D54" s="3032">
        <f>Table1.D!H14</f>
        <v>0.26999000000000001</v>
      </c>
      <c r="E54" s="3032">
        <f>Table1.D!I14</f>
        <v>7.714E-2</v>
      </c>
      <c r="F54" s="3033">
        <v>74.922399999999996</v>
      </c>
      <c r="G54" s="3033">
        <v>2.3254000000000001</v>
      </c>
      <c r="H54" s="3033">
        <v>2.34015</v>
      </c>
      <c r="I54" s="3034">
        <v>42.98053981106613</v>
      </c>
      <c r="J54" s="3035">
        <f t="shared" si="22"/>
        <v>2847.2178200000008</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18497.257284546271</v>
      </c>
      <c r="D56" s="3056"/>
      <c r="E56" s="3056"/>
      <c r="F56" s="3056"/>
      <c r="G56" s="3056"/>
      <c r="H56" s="3056"/>
      <c r="I56" s="2971"/>
      <c r="J56" s="3039">
        <f t="shared" si="22"/>
        <v>18497.257284546271</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131565.71493676901</v>
      </c>
      <c r="D10" s="3549" t="s">
        <v>2146</v>
      </c>
      <c r="E10" s="3549">
        <v>23.529103345999999</v>
      </c>
      <c r="F10" s="3549">
        <v>601.45412574399995</v>
      </c>
      <c r="G10" s="3549" t="s">
        <v>2146</v>
      </c>
      <c r="H10" s="3549">
        <v>0.27834054600000002</v>
      </c>
      <c r="I10" s="3549" t="s">
        <v>2146</v>
      </c>
      <c r="J10" s="3549">
        <v>25.650996434</v>
      </c>
      <c r="K10" s="3549" t="s">
        <v>2146</v>
      </c>
      <c r="L10" s="3549" t="s">
        <v>2146</v>
      </c>
      <c r="M10" s="3550">
        <f>IF(SUM(C10:L10)=0,"NO",SUM(C10:L10))</f>
        <v>132216.62750283902</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9.6191015409999991</v>
      </c>
      <c r="D12" s="3549" t="s">
        <v>2146</v>
      </c>
      <c r="E12" s="3549">
        <v>39890.250130915003</v>
      </c>
      <c r="F12" s="3549" t="s">
        <v>2153</v>
      </c>
      <c r="G12" s="3549" t="s">
        <v>2146</v>
      </c>
      <c r="H12" s="3549" t="s">
        <v>2153</v>
      </c>
      <c r="I12" s="3549" t="s">
        <v>2146</v>
      </c>
      <c r="J12" s="3549" t="s">
        <v>2153</v>
      </c>
      <c r="K12" s="3549" t="s">
        <v>2146</v>
      </c>
      <c r="L12" s="3549" t="s">
        <v>2146</v>
      </c>
      <c r="M12" s="3550">
        <f t="shared" si="0"/>
        <v>39899.869232456003</v>
      </c>
    </row>
    <row r="13" spans="2:13" ht="18" customHeight="1" x14ac:dyDescent="0.2">
      <c r="B13" s="2277" t="s">
        <v>1961</v>
      </c>
      <c r="C13" s="3549">
        <v>381.89958429000001</v>
      </c>
      <c r="D13" s="3549" t="s">
        <v>2146</v>
      </c>
      <c r="E13" s="3549" t="s">
        <v>2153</v>
      </c>
      <c r="F13" s="3549">
        <v>520998.74599982699</v>
      </c>
      <c r="G13" s="3549" t="s">
        <v>2146</v>
      </c>
      <c r="H13" s="3549" t="s">
        <v>2153</v>
      </c>
      <c r="I13" s="3549" t="s">
        <v>2146</v>
      </c>
      <c r="J13" s="3549" t="s">
        <v>2153</v>
      </c>
      <c r="K13" s="3549" t="s">
        <v>2146</v>
      </c>
      <c r="L13" s="3549" t="s">
        <v>2146</v>
      </c>
      <c r="M13" s="3550">
        <f t="shared" si="0"/>
        <v>521380.64558411698</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6.4112221199999997</v>
      </c>
      <c r="D15" s="3549" t="s">
        <v>2146</v>
      </c>
      <c r="E15" s="3549">
        <v>0.63304705100000003</v>
      </c>
      <c r="F15" s="3549">
        <v>2.443871627</v>
      </c>
      <c r="G15" s="3549" t="s">
        <v>2146</v>
      </c>
      <c r="H15" s="3549">
        <v>13275.360985603</v>
      </c>
      <c r="I15" s="3549" t="s">
        <v>2146</v>
      </c>
      <c r="J15" s="3549" t="s">
        <v>2146</v>
      </c>
      <c r="K15" s="3549" t="s">
        <v>2146</v>
      </c>
      <c r="L15" s="3549" t="s">
        <v>2146</v>
      </c>
      <c r="M15" s="3550">
        <f t="shared" si="0"/>
        <v>13284.849126400999</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5.7780644429999999</v>
      </c>
      <c r="D17" s="3549" t="s">
        <v>2146</v>
      </c>
      <c r="E17" s="3549" t="s">
        <v>2146</v>
      </c>
      <c r="F17" s="3549" t="s">
        <v>2146</v>
      </c>
      <c r="G17" s="3549" t="s">
        <v>2146</v>
      </c>
      <c r="H17" s="3549" t="s">
        <v>2146</v>
      </c>
      <c r="I17" s="3549" t="s">
        <v>2146</v>
      </c>
      <c r="J17" s="3549">
        <v>1348.601643924</v>
      </c>
      <c r="K17" s="3549" t="s">
        <v>2146</v>
      </c>
      <c r="L17" s="3549" t="s">
        <v>2146</v>
      </c>
      <c r="M17" s="3550">
        <f t="shared" si="0"/>
        <v>1354.3797083669999</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131969.422909163</v>
      </c>
      <c r="D20" s="3551" t="str">
        <f t="shared" ref="D20:L20" si="1">IF(SUM(D10:D19)=0,"NO",SUM(D10:D19))</f>
        <v>NO</v>
      </c>
      <c r="E20" s="3551">
        <f t="shared" si="1"/>
        <v>39914.412281312005</v>
      </c>
      <c r="F20" s="3551">
        <f t="shared" si="1"/>
        <v>521602.64399719797</v>
      </c>
      <c r="G20" s="3551" t="str">
        <f t="shared" si="1"/>
        <v>NO</v>
      </c>
      <c r="H20" s="3551">
        <f t="shared" si="1"/>
        <v>13275.639326148999</v>
      </c>
      <c r="I20" s="3551" t="str">
        <f t="shared" si="1"/>
        <v>NO</v>
      </c>
      <c r="J20" s="3551">
        <f t="shared" si="1"/>
        <v>1374.252640358</v>
      </c>
      <c r="K20" s="3551">
        <f t="shared" si="1"/>
        <v>60692.328845821001</v>
      </c>
      <c r="L20" s="3551" t="str">
        <f t="shared" si="1"/>
        <v>NO</v>
      </c>
      <c r="M20" s="3550">
        <f t="shared" si="0"/>
        <v>768828.700000001</v>
      </c>
    </row>
    <row r="21" spans="2:13" ht="18" customHeight="1" thickBot="1" x14ac:dyDescent="0.25">
      <c r="B21" s="2279" t="s">
        <v>1968</v>
      </c>
      <c r="C21" s="3552">
        <f>IF(SUM(C20)=0,"NO",C20-M10)</f>
        <v>-247.20459367602598</v>
      </c>
      <c r="D21" s="3552" t="str">
        <f>IF(SUM(D20)=0,"NO",D20-M11)</f>
        <v>NO</v>
      </c>
      <c r="E21" s="3552">
        <f>IF(SUM(E20)=0,"NO",E20-M12)</f>
        <v>14.543048856001406</v>
      </c>
      <c r="F21" s="3552">
        <f>IF(SUM(F20)=0,"NO",F20-M13)</f>
        <v>221.99841308098985</v>
      </c>
      <c r="G21" s="3552" t="str">
        <f>IF(SUM(G20)=0,"NO",G20-M14)</f>
        <v>NO</v>
      </c>
      <c r="H21" s="3552">
        <f>IF(SUM(H20)=0,"NO",H20-M15)</f>
        <v>-9.2098002519996953</v>
      </c>
      <c r="I21" s="3552" t="str">
        <f>IF(SUM(I20)=0,"NO",I20-M16)</f>
        <v>NO</v>
      </c>
      <c r="J21" s="3552">
        <f>IF(SUM(J20)=0,"NO",J20-M17)</f>
        <v>19.872931991000087</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132104.07949071782</v>
      </c>
      <c r="E10" s="3556">
        <f t="shared" ref="E10:U10" si="0">IF(SUM(E11,E16)=0,"IE",SUM(E11,E16))</f>
        <v>131969.42290916335</v>
      </c>
      <c r="F10" s="3557">
        <f t="shared" si="0"/>
        <v>134.65658155446971</v>
      </c>
      <c r="G10" s="3558">
        <f t="shared" ref="G10:K11" si="1">IFERROR(IF(SUM($D10)=0,"NA",N10/$D10),"NA")</f>
        <v>6.5153431841326548E-2</v>
      </c>
      <c r="H10" s="3078">
        <f t="shared" si="1"/>
        <v>-2.0305661933235262E-3</v>
      </c>
      <c r="I10" s="3078">
        <f t="shared" si="1"/>
        <v>6.3122865648003013E-2</v>
      </c>
      <c r="J10" s="3078">
        <f t="shared" si="1"/>
        <v>1.0497197790605954E-2</v>
      </c>
      <c r="K10" s="3078">
        <f t="shared" si="1"/>
        <v>1.0536403541647163E-2</v>
      </c>
      <c r="L10" s="3078">
        <f>IFERROR(IF(SUM(E10)=0,"NA",S10/E10),"NA")</f>
        <v>9.8545325140158473E-4</v>
      </c>
      <c r="M10" s="3128">
        <f>IFERROR(IF(SUM(F10)=0,"NA",T10/F10),"NA")</f>
        <v>-0.25583514866607615</v>
      </c>
      <c r="N10" s="3559">
        <f t="shared" si="0"/>
        <v>8607.0341390596677</v>
      </c>
      <c r="O10" s="3560">
        <f t="shared" si="0"/>
        <v>-268.24607781397538</v>
      </c>
      <c r="P10" s="3560">
        <f t="shared" si="0"/>
        <v>8338.788061245692</v>
      </c>
      <c r="Q10" s="3560">
        <f t="shared" si="0"/>
        <v>1386.7226513599965</v>
      </c>
      <c r="R10" s="3560">
        <f t="shared" si="0"/>
        <v>1391.9018910120376</v>
      </c>
      <c r="S10" s="3560">
        <f t="shared" si="0"/>
        <v>130.04969689142581</v>
      </c>
      <c r="T10" s="3561">
        <f t="shared" si="0"/>
        <v>-34.449886560853365</v>
      </c>
      <c r="U10" s="3562">
        <f t="shared" si="0"/>
        <v>-41114.37885114376</v>
      </c>
      <c r="W10" s="2396"/>
    </row>
    <row r="11" spans="2:23" ht="18" customHeight="1" x14ac:dyDescent="0.2">
      <c r="B11" s="502" t="s">
        <v>982</v>
      </c>
      <c r="C11" s="2256"/>
      <c r="D11" s="3563">
        <f>IF(SUM(D12:D15)=0,"IE",SUM(D12:D15))</f>
        <v>123933.263191683</v>
      </c>
      <c r="E11" s="3564">
        <f t="shared" ref="E11:U11" si="2">IF(SUM(E12:E15)=0,"IE",SUM(E12:E15))</f>
        <v>123933.263191683</v>
      </c>
      <c r="F11" s="3565" t="str">
        <f t="shared" si="2"/>
        <v>IE</v>
      </c>
      <c r="G11" s="3558">
        <f t="shared" si="1"/>
        <v>1.7789980317096166E-2</v>
      </c>
      <c r="H11" s="3078">
        <f t="shared" si="1"/>
        <v>-2.16443972268437E-3</v>
      </c>
      <c r="I11" s="3078">
        <f t="shared" si="1"/>
        <v>1.5625540594411801E-2</v>
      </c>
      <c r="J11" s="3078">
        <f t="shared" si="1"/>
        <v>6.3538867569435178E-4</v>
      </c>
      <c r="K11" s="3078">
        <f t="shared" si="1"/>
        <v>3.2729464107273338E-3</v>
      </c>
      <c r="L11" s="3078">
        <f t="shared" ref="L11:L28" si="3">IFERROR(IF(SUM(E11)=0,"NA",S11/E11),"NA")</f>
        <v>1.4786109634133567E-2</v>
      </c>
      <c r="M11" s="3128" t="str">
        <f t="shared" ref="M11:M28" si="4">IFERROR(IF(SUM(F11)=0,"NA",T11/F11),"NA")</f>
        <v>NA</v>
      </c>
      <c r="N11" s="3109">
        <f t="shared" si="2"/>
        <v>2204.7703128135395</v>
      </c>
      <c r="O11" s="3109">
        <f t="shared" si="2"/>
        <v>-268.24607781397538</v>
      </c>
      <c r="P11" s="3109">
        <f t="shared" si="2"/>
        <v>1936.5242349995644</v>
      </c>
      <c r="Q11" s="3109">
        <f t="shared" si="2"/>
        <v>78.745791973843012</v>
      </c>
      <c r="R11" s="3566">
        <f t="shared" si="2"/>
        <v>405.62692893294485</v>
      </c>
      <c r="S11" s="3566">
        <f t="shared" si="2"/>
        <v>1832.490816868155</v>
      </c>
      <c r="T11" s="3566" t="str">
        <f t="shared" si="2"/>
        <v>IE</v>
      </c>
      <c r="U11" s="3567">
        <f t="shared" si="2"/>
        <v>-15595.755166839859</v>
      </c>
      <c r="W11" s="2397"/>
    </row>
    <row r="12" spans="2:23" ht="18" customHeight="1" x14ac:dyDescent="0.2">
      <c r="B12" s="500"/>
      <c r="C12" s="508" t="s">
        <v>2220</v>
      </c>
      <c r="D12" s="3568">
        <f>IF(SUM(E12:F12)=0,E12,SUM(E12:F12))</f>
        <v>12284.683242225799</v>
      </c>
      <c r="E12" s="3569">
        <v>12284.683242225799</v>
      </c>
      <c r="F12" s="3554" t="s">
        <v>2153</v>
      </c>
      <c r="G12" s="3558">
        <f>IFERROR(IF(SUM($D12)=0,"NA",N12/$D12),"NA")</f>
        <v>0.10580736888271734</v>
      </c>
      <c r="H12" s="3078" t="str">
        <f>IFERROR(IF(SUM($D12)=0,"NA",O12/$D12),"NA")</f>
        <v>NA</v>
      </c>
      <c r="I12" s="3078">
        <f>IFERROR(IF(SUM($D12)=0,"NA",P12/$D12),"NA")</f>
        <v>0.10580736888271734</v>
      </c>
      <c r="J12" s="3078">
        <f>IFERROR(IF(SUM($D12)=0,"NA",Q12/$D12),"NA")</f>
        <v>3.4746533788100109E-2</v>
      </c>
      <c r="K12" s="3078">
        <f>IFERROR(IF(SUM($D12)=0,"NA",R12/$D12),"NA")</f>
        <v>4.3605849754964836E-2</v>
      </c>
      <c r="L12" s="3078">
        <f t="shared" si="3"/>
        <v>9.5881798965025869E-2</v>
      </c>
      <c r="M12" s="3128" t="str">
        <f t="shared" si="4"/>
        <v>NA</v>
      </c>
      <c r="N12" s="2905">
        <v>1299.8100114175213</v>
      </c>
      <c r="O12" s="2905" t="s">
        <v>2153</v>
      </c>
      <c r="P12" s="3109">
        <f>IF(SUM(N12:O12)=0,N12,SUM(N12:O12))</f>
        <v>1299.8100114175213</v>
      </c>
      <c r="Q12" s="2905">
        <v>426.85016135210594</v>
      </c>
      <c r="R12" s="2906">
        <v>535.68405174783254</v>
      </c>
      <c r="S12" s="2906">
        <v>1177.8775289801163</v>
      </c>
      <c r="T12" s="2906" t="s">
        <v>2153</v>
      </c>
      <c r="U12" s="3570">
        <f>IF(SUM(P12:T12)=0,P12,SUM(P12:T12)*-44/12)</f>
        <v>-12614.146429491113</v>
      </c>
      <c r="W12" s="2398"/>
    </row>
    <row r="13" spans="2:23" ht="18" customHeight="1" x14ac:dyDescent="0.2">
      <c r="B13" s="500"/>
      <c r="C13" s="508" t="s">
        <v>2221</v>
      </c>
      <c r="D13" s="3568">
        <f t="shared" ref="D13:D15" si="5">IF(SUM(E13:F13)=0,E13,SUM(E13:F13))</f>
        <v>682.24894237664307</v>
      </c>
      <c r="E13" s="3569">
        <v>682.24894237664307</v>
      </c>
      <c r="F13" s="3554" t="s">
        <v>2153</v>
      </c>
      <c r="G13" s="3558">
        <f t="shared" ref="G13:K28" si="6">IFERROR(IF(SUM($D13)=0,"NA",N13/$D13),"NA")</f>
        <v>1.3151259627831142</v>
      </c>
      <c r="H13" s="3078" t="str">
        <f t="shared" si="6"/>
        <v>NA</v>
      </c>
      <c r="I13" s="3078">
        <f t="shared" si="6"/>
        <v>1.3151259627831142</v>
      </c>
      <c r="J13" s="3078">
        <f t="shared" si="6"/>
        <v>7.0240383838939588E-2</v>
      </c>
      <c r="K13" s="3078">
        <f t="shared" si="6"/>
        <v>0.10661642102216326</v>
      </c>
      <c r="L13" s="3078">
        <f t="shared" si="3"/>
        <v>0.95949329816132178</v>
      </c>
      <c r="M13" s="3128" t="str">
        <f t="shared" si="4"/>
        <v>NA</v>
      </c>
      <c r="N13" s="2905">
        <v>897.24329720084415</v>
      </c>
      <c r="O13" s="2905" t="s">
        <v>2153</v>
      </c>
      <c r="P13" s="3109">
        <f t="shared" ref="P13:P15" si="7">IF(SUM(N13:O13)=0,N13,SUM(N13:O13))</f>
        <v>897.24329720084415</v>
      </c>
      <c r="Q13" s="2905">
        <v>47.921427586245983</v>
      </c>
      <c r="R13" s="2906">
        <v>72.738940482353783</v>
      </c>
      <c r="S13" s="2906">
        <v>654.61328788803883</v>
      </c>
      <c r="T13" s="2906" t="s">
        <v>2153</v>
      </c>
      <c r="U13" s="3570">
        <f t="shared" ref="U13:U15" si="8">IF(SUM(P13:T13)=0,P13,SUM(P13:T13)*-44/12)</f>
        <v>-6132.5621615774362</v>
      </c>
      <c r="W13" s="2398"/>
    </row>
    <row r="14" spans="2:23" ht="18" customHeight="1" x14ac:dyDescent="0.2">
      <c r="B14" s="500"/>
      <c r="C14" s="508" t="s">
        <v>2222</v>
      </c>
      <c r="D14" s="3568">
        <f t="shared" si="5"/>
        <v>110966.33100708056</v>
      </c>
      <c r="E14" s="3569">
        <v>110966.33100708056</v>
      </c>
      <c r="F14" s="3554" t="s">
        <v>2153</v>
      </c>
      <c r="G14" s="3558" t="str">
        <f t="shared" si="6"/>
        <v>NA</v>
      </c>
      <c r="H14" s="3078">
        <f t="shared" si="6"/>
        <v>-2.4173645769801932E-3</v>
      </c>
      <c r="I14" s="3078">
        <f t="shared" si="6"/>
        <v>-2.4173645769801932E-3</v>
      </c>
      <c r="J14" s="3078">
        <f t="shared" si="6"/>
        <v>-3.4011868765635341E-3</v>
      </c>
      <c r="K14" s="3078">
        <f t="shared" si="6"/>
        <v>-1.8275459002451962E-3</v>
      </c>
      <c r="L14" s="3078" t="str">
        <f t="shared" si="3"/>
        <v>NA</v>
      </c>
      <c r="M14" s="3128" t="str">
        <f t="shared" si="4"/>
        <v>NA</v>
      </c>
      <c r="N14" s="2905" t="s">
        <v>2153</v>
      </c>
      <c r="O14" s="2905">
        <v>-268.24607781397538</v>
      </c>
      <c r="P14" s="3109">
        <f t="shared" si="7"/>
        <v>-268.24607781397538</v>
      </c>
      <c r="Q14" s="2905">
        <v>-377.41722876168757</v>
      </c>
      <c r="R14" s="2906">
        <v>-202.79606329724146</v>
      </c>
      <c r="S14" s="2906" t="s">
        <v>2147</v>
      </c>
      <c r="T14" s="2906" t="s">
        <v>2147</v>
      </c>
      <c r="U14" s="3570">
        <f t="shared" si="8"/>
        <v>3111.0176895339832</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v>7.7170041951741339</v>
      </c>
      <c r="O15" s="2905" t="s">
        <v>2153</v>
      </c>
      <c r="P15" s="3109">
        <f t="shared" si="7"/>
        <v>7.7170041951741339</v>
      </c>
      <c r="Q15" s="2905">
        <v>-18.608568202821324</v>
      </c>
      <c r="R15" s="2906" t="s">
        <v>2147</v>
      </c>
      <c r="S15" s="2906" t="s">
        <v>2147</v>
      </c>
      <c r="T15" s="2906" t="s">
        <v>2147</v>
      </c>
      <c r="U15" s="3570">
        <f t="shared" si="8"/>
        <v>39.935734694706362</v>
      </c>
      <c r="W15" s="2398"/>
    </row>
    <row r="16" spans="2:23" ht="18" customHeight="1" x14ac:dyDescent="0.2">
      <c r="B16" s="485" t="s">
        <v>1041</v>
      </c>
      <c r="C16" s="504"/>
      <c r="D16" s="3568">
        <f>IF(SUM(D17,D19,D23,D25,D27)=0,"IE",SUM(D17,D19,D23,D25,D27))</f>
        <v>8170.8162990348246</v>
      </c>
      <c r="E16" s="3571">
        <f t="shared" ref="E16:T16" si="9">IF(SUM(E17,E19,E23,E25,E27)=0,"IE",SUM(E17,E19,E23,E25,E27))</f>
        <v>8036.1597174803546</v>
      </c>
      <c r="F16" s="3572">
        <f t="shared" si="9"/>
        <v>134.65658155446971</v>
      </c>
      <c r="G16" s="3558">
        <f t="shared" si="6"/>
        <v>0.78355253525922419</v>
      </c>
      <c r="H16" s="3078" t="str">
        <f t="shared" si="6"/>
        <v>NA</v>
      </c>
      <c r="I16" s="3078">
        <f t="shared" si="6"/>
        <v>0.78355253525922419</v>
      </c>
      <c r="J16" s="3078">
        <f t="shared" si="6"/>
        <v>0.16007909265328335</v>
      </c>
      <c r="K16" s="3078">
        <f t="shared" si="6"/>
        <v>0.12070702925919363</v>
      </c>
      <c r="L16" s="3078">
        <f t="shared" si="3"/>
        <v>-0.21184759634300923</v>
      </c>
      <c r="M16" s="3128">
        <f t="shared" si="4"/>
        <v>-0.25583514866607615</v>
      </c>
      <c r="N16" s="3078">
        <f t="shared" si="9"/>
        <v>6402.2638262461278</v>
      </c>
      <c r="O16" s="3078" t="str">
        <f t="shared" si="9"/>
        <v>IE</v>
      </c>
      <c r="P16" s="3078">
        <f t="shared" si="9"/>
        <v>6402.2638262461278</v>
      </c>
      <c r="Q16" s="3078">
        <f t="shared" si="9"/>
        <v>1307.9768593861534</v>
      </c>
      <c r="R16" s="3573">
        <f t="shared" si="9"/>
        <v>986.2749620790928</v>
      </c>
      <c r="S16" s="3573">
        <f t="shared" si="9"/>
        <v>-1702.4411199767292</v>
      </c>
      <c r="T16" s="3573">
        <f t="shared" si="9"/>
        <v>-34.449886560853365</v>
      </c>
      <c r="U16" s="3570">
        <f>IF(SUM(U17,U19,U23,U25,U27)=0,"IE",SUM(U17,U19,U23,U25,U27))</f>
        <v>-25518.623684303897</v>
      </c>
      <c r="W16" s="2019"/>
    </row>
    <row r="17" spans="2:23" ht="18" customHeight="1" x14ac:dyDescent="0.2">
      <c r="B17" s="487" t="s">
        <v>1042</v>
      </c>
      <c r="C17" s="504"/>
      <c r="D17" s="3568">
        <f>D18</f>
        <v>62.070999999999998</v>
      </c>
      <c r="E17" s="3571">
        <f t="shared" ref="E17:U17" si="10">E18</f>
        <v>62.070999999999998</v>
      </c>
      <c r="F17" s="3572" t="str">
        <f t="shared" si="10"/>
        <v>NO</v>
      </c>
      <c r="G17" s="3558">
        <f t="shared" si="6"/>
        <v>1.3749738203025568</v>
      </c>
      <c r="H17" s="3078" t="str">
        <f t="shared" si="6"/>
        <v>NA</v>
      </c>
      <c r="I17" s="3078">
        <f t="shared" si="6"/>
        <v>1.3749738203025568</v>
      </c>
      <c r="J17" s="3078">
        <f t="shared" si="6"/>
        <v>6.1655201301735102E-2</v>
      </c>
      <c r="K17" s="3078">
        <f t="shared" si="6"/>
        <v>2.9756246878574536E-2</v>
      </c>
      <c r="L17" s="3078">
        <f t="shared" si="3"/>
        <v>-0.37086562162684666</v>
      </c>
      <c r="M17" s="3128" t="str">
        <f t="shared" si="4"/>
        <v>NA</v>
      </c>
      <c r="N17" s="3078">
        <f t="shared" si="10"/>
        <v>85.346000000000004</v>
      </c>
      <c r="O17" s="3078" t="str">
        <f t="shared" si="10"/>
        <v>IE</v>
      </c>
      <c r="P17" s="3078">
        <f t="shared" si="10"/>
        <v>85.346000000000004</v>
      </c>
      <c r="Q17" s="3078">
        <f t="shared" si="10"/>
        <v>3.8269999999999995</v>
      </c>
      <c r="R17" s="3573">
        <f t="shared" si="10"/>
        <v>1.847</v>
      </c>
      <c r="S17" s="3573">
        <f t="shared" si="10"/>
        <v>-23.02</v>
      </c>
      <c r="T17" s="3573" t="str">
        <f t="shared" si="10"/>
        <v>NO</v>
      </c>
      <c r="U17" s="3570">
        <f t="shared" si="10"/>
        <v>-249.33333333333334</v>
      </c>
      <c r="W17" s="2019"/>
    </row>
    <row r="18" spans="2:23" ht="18" customHeight="1" x14ac:dyDescent="0.2">
      <c r="B18" s="488"/>
      <c r="C18" s="508" t="s">
        <v>278</v>
      </c>
      <c r="D18" s="3568">
        <f>IF(SUM(E18:F18)=0,E18,SUM(E18:F18))</f>
        <v>62.070999999999998</v>
      </c>
      <c r="E18" s="3569">
        <v>62.070999999999998</v>
      </c>
      <c r="F18" s="3554" t="s">
        <v>2146</v>
      </c>
      <c r="G18" s="3558">
        <f t="shared" si="6"/>
        <v>1.3749738203025568</v>
      </c>
      <c r="H18" s="3078" t="str">
        <f t="shared" si="6"/>
        <v>NA</v>
      </c>
      <c r="I18" s="3078">
        <f t="shared" si="6"/>
        <v>1.3749738203025568</v>
      </c>
      <c r="J18" s="3078">
        <f t="shared" si="6"/>
        <v>6.1655201301735102E-2</v>
      </c>
      <c r="K18" s="3078">
        <f t="shared" si="6"/>
        <v>2.9756246878574536E-2</v>
      </c>
      <c r="L18" s="3078">
        <f t="shared" si="3"/>
        <v>-0.37086562162684666</v>
      </c>
      <c r="M18" s="3128" t="str">
        <f t="shared" si="4"/>
        <v>NA</v>
      </c>
      <c r="N18" s="2905">
        <v>85.346000000000004</v>
      </c>
      <c r="O18" s="2905" t="s">
        <v>2153</v>
      </c>
      <c r="P18" s="3109">
        <f>IF(SUM(N18:O18)=0,N18,SUM(N18:O18))</f>
        <v>85.346000000000004</v>
      </c>
      <c r="Q18" s="2905">
        <v>3.8269999999999995</v>
      </c>
      <c r="R18" s="2906">
        <v>1.847</v>
      </c>
      <c r="S18" s="2906">
        <v>-23.02</v>
      </c>
      <c r="T18" s="2906" t="s">
        <v>2146</v>
      </c>
      <c r="U18" s="3570">
        <f t="shared" ref="U18" si="11">IF(SUM(P18:T18)=0,P18,SUM(P18:T18)*-44/12)</f>
        <v>-249.33333333333334</v>
      </c>
      <c r="W18" s="2398"/>
    </row>
    <row r="19" spans="2:23" ht="18" customHeight="1" x14ac:dyDescent="0.2">
      <c r="B19" s="487" t="s">
        <v>1043</v>
      </c>
      <c r="C19" s="504"/>
      <c r="D19" s="3563">
        <f>IF(SUM(D20:D22)=0,"IE",SUM(D20:D22))</f>
        <v>7924.286717480355</v>
      </c>
      <c r="E19" s="3571">
        <f t="shared" ref="E19:U19" si="12">IF(SUM(E20:E22)=0,"IE",SUM(E20:E22))</f>
        <v>7924.286717480355</v>
      </c>
      <c r="F19" s="3572" t="str">
        <f t="shared" si="12"/>
        <v>IE</v>
      </c>
      <c r="G19" s="3558">
        <f t="shared" si="6"/>
        <v>0.64797399375028064</v>
      </c>
      <c r="H19" s="3078" t="str">
        <f t="shared" si="6"/>
        <v>NA</v>
      </c>
      <c r="I19" s="3078">
        <f t="shared" si="6"/>
        <v>0.64797399375028064</v>
      </c>
      <c r="J19" s="3078">
        <f t="shared" si="6"/>
        <v>0.17740767234054042</v>
      </c>
      <c r="K19" s="3078">
        <f t="shared" si="6"/>
        <v>0.12251725377177733</v>
      </c>
      <c r="L19" s="3078">
        <f t="shared" si="3"/>
        <v>-0.20797646258069219</v>
      </c>
      <c r="M19" s="3128" t="str">
        <f t="shared" si="4"/>
        <v>NA</v>
      </c>
      <c r="N19" s="3078">
        <f t="shared" si="12"/>
        <v>5134.7317119480476</v>
      </c>
      <c r="O19" s="3078" t="str">
        <f t="shared" si="12"/>
        <v>IE</v>
      </c>
      <c r="P19" s="3078">
        <f t="shared" si="12"/>
        <v>5134.7317119480476</v>
      </c>
      <c r="Q19" s="3078">
        <f t="shared" si="12"/>
        <v>1405.8292615072514</v>
      </c>
      <c r="R19" s="3573">
        <f t="shared" si="12"/>
        <v>970.86184672586501</v>
      </c>
      <c r="S19" s="3573">
        <f t="shared" si="12"/>
        <v>-1648.0651199767292</v>
      </c>
      <c r="T19" s="3573" t="str">
        <f t="shared" si="12"/>
        <v>IE</v>
      </c>
      <c r="U19" s="3570">
        <f t="shared" si="12"/>
        <v>-21498.978234082926</v>
      </c>
      <c r="W19" s="2019"/>
    </row>
    <row r="20" spans="2:23" ht="18" customHeight="1" x14ac:dyDescent="0.2">
      <c r="B20" s="496"/>
      <c r="C20" s="508" t="s">
        <v>2223</v>
      </c>
      <c r="D20" s="3568">
        <f>IF(SUM(E20:F20)=0,E20,SUM(E20:F20))</f>
        <v>1911.8150000000014</v>
      </c>
      <c r="E20" s="3569">
        <v>1911.8150000000014</v>
      </c>
      <c r="F20" s="3554" t="s">
        <v>2146</v>
      </c>
      <c r="G20" s="3558">
        <f t="shared" si="6"/>
        <v>1.3385510627335802</v>
      </c>
      <c r="H20" s="3078" t="str">
        <f t="shared" si="6"/>
        <v>NA</v>
      </c>
      <c r="I20" s="3078">
        <f t="shared" si="6"/>
        <v>1.3385510627335802</v>
      </c>
      <c r="J20" s="3078">
        <f t="shared" si="6"/>
        <v>7.1761127514953019E-2</v>
      </c>
      <c r="K20" s="3078">
        <f t="shared" si="6"/>
        <v>5.4358293035675485E-2</v>
      </c>
      <c r="L20" s="3078">
        <f t="shared" si="3"/>
        <v>-0.35382503014151456</v>
      </c>
      <c r="M20" s="3128" t="str">
        <f t="shared" si="4"/>
        <v>NA</v>
      </c>
      <c r="N20" s="2905">
        <v>2559.0620000000013</v>
      </c>
      <c r="O20" s="2905" t="s">
        <v>2153</v>
      </c>
      <c r="P20" s="3109">
        <f>IF(SUM(N20:O20)=0,N20,SUM(N20:O20))</f>
        <v>2559.0620000000013</v>
      </c>
      <c r="Q20" s="2905">
        <v>137.19400000000002</v>
      </c>
      <c r="R20" s="2906">
        <v>103.923</v>
      </c>
      <c r="S20" s="2906">
        <v>-676.44800000000021</v>
      </c>
      <c r="T20" s="2906" t="s">
        <v>2146</v>
      </c>
      <c r="U20" s="3570">
        <f t="shared" ref="U20:U22" si="13">IF(SUM(P20:T20)=0,P20,SUM(P20:T20)*-44/12)</f>
        <v>-7787.0136666666695</v>
      </c>
      <c r="W20" s="2398"/>
    </row>
    <row r="21" spans="2:23" ht="18" customHeight="1" x14ac:dyDescent="0.2">
      <c r="B21" s="500"/>
      <c r="C21" s="508" t="s">
        <v>2291</v>
      </c>
      <c r="D21" s="3568">
        <f>IF(SUM(E21:F21)=0,E21,SUM(E21:F21))</f>
        <v>6012.4717174803536</v>
      </c>
      <c r="E21" s="3569">
        <v>6012.4717174803536</v>
      </c>
      <c r="F21" s="3554" t="s">
        <v>2146</v>
      </c>
      <c r="G21" s="3558">
        <f t="shared" si="6"/>
        <v>0.42819227667622328</v>
      </c>
      <c r="H21" s="3078" t="str">
        <f t="shared" si="6"/>
        <v>NA</v>
      </c>
      <c r="I21" s="3078">
        <f t="shared" si="6"/>
        <v>0.42819227667622328</v>
      </c>
      <c r="J21" s="3078">
        <f t="shared" si="6"/>
        <v>0.2109659036032932</v>
      </c>
      <c r="K21" s="3078">
        <f t="shared" si="6"/>
        <v>0.14419009144032582</v>
      </c>
      <c r="L21" s="3078">
        <f t="shared" si="3"/>
        <v>-0.16160028115423794</v>
      </c>
      <c r="M21" s="3128" t="str">
        <f t="shared" si="4"/>
        <v>NA</v>
      </c>
      <c r="N21" s="2905">
        <v>2574.493953159315</v>
      </c>
      <c r="O21" s="2905" t="s">
        <v>2153</v>
      </c>
      <c r="P21" s="3109">
        <f t="shared" ref="P21:P28" si="14">IF(SUM(N21:O21)=0,N21,SUM(N21:O21))</f>
        <v>2574.493953159315</v>
      </c>
      <c r="Q21" s="2905">
        <v>1268.4265287674871</v>
      </c>
      <c r="R21" s="2906">
        <v>866.93884672586501</v>
      </c>
      <c r="S21" s="2906">
        <v>-971.61711997672899</v>
      </c>
      <c r="T21" s="2906" t="s">
        <v>2146</v>
      </c>
      <c r="U21" s="3570">
        <f t="shared" si="13"/>
        <v>-13706.888098478439</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1.1757587887313823</v>
      </c>
      <c r="O22" s="2905" t="s">
        <v>2153</v>
      </c>
      <c r="P22" s="3109">
        <f t="shared" si="14"/>
        <v>1.1757587887313823</v>
      </c>
      <c r="Q22" s="2905">
        <v>0.20873273976432005</v>
      </c>
      <c r="R22" s="2906" t="s">
        <v>2147</v>
      </c>
      <c r="S22" s="2906" t="s">
        <v>2147</v>
      </c>
      <c r="T22" s="2906" t="s">
        <v>2147</v>
      </c>
      <c r="U22" s="3570">
        <f t="shared" si="13"/>
        <v>-5.0764689378175758</v>
      </c>
      <c r="W22" s="2398"/>
    </row>
    <row r="23" spans="2:23" ht="18" customHeight="1" x14ac:dyDescent="0.2">
      <c r="B23" s="487" t="s">
        <v>1044</v>
      </c>
      <c r="C23" s="504"/>
      <c r="D23" s="3568">
        <f>D24</f>
        <v>134.65658155446971</v>
      </c>
      <c r="E23" s="3571" t="str">
        <f t="shared" ref="E23" si="15">E24</f>
        <v>NO</v>
      </c>
      <c r="F23" s="3572">
        <f t="shared" ref="F23" si="16">F24</f>
        <v>134.65658155446971</v>
      </c>
      <c r="G23" s="3558">
        <f t="shared" si="6"/>
        <v>8.1153709806307344</v>
      </c>
      <c r="H23" s="3078" t="str">
        <f t="shared" si="6"/>
        <v>NA</v>
      </c>
      <c r="I23" s="3078">
        <f t="shared" si="6"/>
        <v>8.1153709806307344</v>
      </c>
      <c r="J23" s="3078">
        <f t="shared" si="6"/>
        <v>-0.78153181156264673</v>
      </c>
      <c r="K23" s="3078">
        <f t="shared" si="6"/>
        <v>8.3264517959653811E-2</v>
      </c>
      <c r="L23" s="3078" t="str">
        <f t="shared" si="3"/>
        <v>NA</v>
      </c>
      <c r="M23" s="3128">
        <f t="shared" si="4"/>
        <v>-0.25583514866607615</v>
      </c>
      <c r="N23" s="3078">
        <f t="shared" ref="N23" si="17">N24</f>
        <v>1092.7881142980793</v>
      </c>
      <c r="O23" s="3078" t="str">
        <f t="shared" ref="O23" si="18">O24</f>
        <v>IE</v>
      </c>
      <c r="P23" s="3078">
        <f t="shared" ref="P23" si="19">P24</f>
        <v>1092.7881142980793</v>
      </c>
      <c r="Q23" s="3078">
        <f t="shared" ref="Q23" si="20">Q24</f>
        <v>-105.23840212109799</v>
      </c>
      <c r="R23" s="3573">
        <f t="shared" ref="R23" si="21">R24</f>
        <v>11.21211535322773</v>
      </c>
      <c r="S23" s="3573" t="str">
        <f t="shared" ref="S23" si="22">S24</f>
        <v>NO</v>
      </c>
      <c r="T23" s="3573">
        <f t="shared" ref="T23" si="23">T24</f>
        <v>-34.449886560853365</v>
      </c>
      <c r="U23" s="3570">
        <f t="shared" ref="U23" si="24">U24</f>
        <v>-3535.8104502209712</v>
      </c>
      <c r="W23" s="2019"/>
    </row>
    <row r="24" spans="2:23" ht="18" customHeight="1" x14ac:dyDescent="0.2">
      <c r="B24" s="488"/>
      <c r="C24" s="508" t="s">
        <v>278</v>
      </c>
      <c r="D24" s="3568">
        <f>IF(SUM(E24:F24)=0,E24,SUM(E24:F24))</f>
        <v>134.65658155446971</v>
      </c>
      <c r="E24" s="3569" t="s">
        <v>2146</v>
      </c>
      <c r="F24" s="3554">
        <v>134.65658155446971</v>
      </c>
      <c r="G24" s="3558">
        <f t="shared" si="6"/>
        <v>8.1153709806307344</v>
      </c>
      <c r="H24" s="3078" t="str">
        <f t="shared" si="6"/>
        <v>NA</v>
      </c>
      <c r="I24" s="3078">
        <f t="shared" si="6"/>
        <v>8.1153709806307344</v>
      </c>
      <c r="J24" s="3078">
        <f t="shared" si="6"/>
        <v>-0.78153181156264673</v>
      </c>
      <c r="K24" s="3078">
        <f t="shared" si="6"/>
        <v>8.3264517959653811E-2</v>
      </c>
      <c r="L24" s="3078" t="str">
        <f t="shared" si="3"/>
        <v>NA</v>
      </c>
      <c r="M24" s="3128">
        <f t="shared" si="4"/>
        <v>-0.25583514866607615</v>
      </c>
      <c r="N24" s="2905">
        <v>1092.7881142980793</v>
      </c>
      <c r="O24" s="2905" t="s">
        <v>2153</v>
      </c>
      <c r="P24" s="3109">
        <f t="shared" si="14"/>
        <v>1092.7881142980793</v>
      </c>
      <c r="Q24" s="2905">
        <v>-105.23840212109799</v>
      </c>
      <c r="R24" s="2906">
        <v>11.21211535322773</v>
      </c>
      <c r="S24" s="2906" t="s">
        <v>2146</v>
      </c>
      <c r="T24" s="2906">
        <v>-34.449886560853365</v>
      </c>
      <c r="U24" s="3570">
        <f t="shared" ref="U24" si="25">IF(SUM(P24:T24)=0,P24,SUM(P24:T24)*-44/12)</f>
        <v>-3535.8104502209712</v>
      </c>
      <c r="W24" s="2398"/>
    </row>
    <row r="25" spans="2:23" ht="18" customHeight="1" x14ac:dyDescent="0.2">
      <c r="B25" s="487" t="s">
        <v>1045</v>
      </c>
      <c r="C25" s="504"/>
      <c r="D25" s="3568">
        <f>D26</f>
        <v>49.802</v>
      </c>
      <c r="E25" s="3571">
        <f t="shared" ref="E25" si="26">E26</f>
        <v>49.802</v>
      </c>
      <c r="F25" s="3572" t="str">
        <f t="shared" ref="F25" si="27">F26</f>
        <v>NO</v>
      </c>
      <c r="G25" s="3558">
        <f t="shared" si="6"/>
        <v>1.795068471145737</v>
      </c>
      <c r="H25" s="3078" t="str">
        <f t="shared" si="6"/>
        <v>NA</v>
      </c>
      <c r="I25" s="3078">
        <f t="shared" si="6"/>
        <v>1.795068471145737</v>
      </c>
      <c r="J25" s="3078">
        <f t="shared" si="6"/>
        <v>7.1462993454078139E-2</v>
      </c>
      <c r="K25" s="3078">
        <f t="shared" si="6"/>
        <v>4.7267178024978922E-2</v>
      </c>
      <c r="L25" s="3078">
        <f t="shared" si="3"/>
        <v>-0.62961326854343203</v>
      </c>
      <c r="M25" s="3128" t="str">
        <f t="shared" si="4"/>
        <v>NA</v>
      </c>
      <c r="N25" s="3078">
        <f t="shared" ref="N25" si="28">N26</f>
        <v>89.397999999999996</v>
      </c>
      <c r="O25" s="3078" t="str">
        <f t="shared" ref="O25" si="29">O26</f>
        <v>IE</v>
      </c>
      <c r="P25" s="3078">
        <f t="shared" ref="P25" si="30">P26</f>
        <v>89.397999999999996</v>
      </c>
      <c r="Q25" s="3078">
        <f t="shared" ref="Q25" si="31">Q26</f>
        <v>3.5589999999999997</v>
      </c>
      <c r="R25" s="3573">
        <f t="shared" ref="R25" si="32">R26</f>
        <v>2.3540000000000001</v>
      </c>
      <c r="S25" s="3573">
        <f t="shared" ref="S25" si="33">S26</f>
        <v>-31.356000000000002</v>
      </c>
      <c r="T25" s="3573" t="str">
        <f t="shared" ref="T25" si="34">T26</f>
        <v>NO</v>
      </c>
      <c r="U25" s="3570">
        <f t="shared" ref="U25" si="35">U26</f>
        <v>-234.50166666666664</v>
      </c>
      <c r="W25" s="2019"/>
    </row>
    <row r="26" spans="2:23" ht="18" customHeight="1" x14ac:dyDescent="0.2">
      <c r="B26" s="488"/>
      <c r="C26" s="508" t="s">
        <v>278</v>
      </c>
      <c r="D26" s="3568">
        <f>IF(SUM(E26:F26)=0,E26,SUM(E26:F26))</f>
        <v>49.802</v>
      </c>
      <c r="E26" s="3569">
        <v>49.802</v>
      </c>
      <c r="F26" s="3554" t="s">
        <v>2146</v>
      </c>
      <c r="G26" s="3558">
        <f t="shared" si="6"/>
        <v>1.795068471145737</v>
      </c>
      <c r="H26" s="3078" t="str">
        <f t="shared" si="6"/>
        <v>NA</v>
      </c>
      <c r="I26" s="3078">
        <f t="shared" si="6"/>
        <v>1.795068471145737</v>
      </c>
      <c r="J26" s="3078">
        <f t="shared" si="6"/>
        <v>7.1462993454078139E-2</v>
      </c>
      <c r="K26" s="3078">
        <f t="shared" si="6"/>
        <v>4.7267178024978922E-2</v>
      </c>
      <c r="L26" s="3078">
        <f t="shared" si="3"/>
        <v>-0.62961326854343203</v>
      </c>
      <c r="M26" s="3128" t="str">
        <f t="shared" si="4"/>
        <v>NA</v>
      </c>
      <c r="N26" s="2905">
        <v>89.397999999999996</v>
      </c>
      <c r="O26" s="2905" t="s">
        <v>2153</v>
      </c>
      <c r="P26" s="3109">
        <f t="shared" si="14"/>
        <v>89.397999999999996</v>
      </c>
      <c r="Q26" s="2905">
        <v>3.5589999999999997</v>
      </c>
      <c r="R26" s="2906">
        <v>2.3540000000000001</v>
      </c>
      <c r="S26" s="2906">
        <v>-31.356000000000002</v>
      </c>
      <c r="T26" s="2906" t="s">
        <v>2146</v>
      </c>
      <c r="U26" s="3570">
        <f t="shared" ref="U26" si="36">IF(SUM(P26:T26)=0,P26,SUM(P26:T26)*-44/12)</f>
        <v>-234.50166666666664</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39914.412281312812</v>
      </c>
      <c r="E10" s="3583">
        <f t="shared" ref="E10:F10" si="0">IF(SUM(E11,E13)=0,"IE",SUM(E11,E13))</f>
        <v>39911.412281312812</v>
      </c>
      <c r="F10" s="3584">
        <f t="shared" si="0"/>
        <v>3</v>
      </c>
      <c r="G10" s="3558" t="str">
        <f>IFERROR(IF(SUM($D10)=0,"NA",M10/$D10),"NA")</f>
        <v>NA</v>
      </c>
      <c r="H10" s="3583">
        <f t="shared" ref="H10:J10" si="1">IFERROR(IF(SUM($D10)=0,"NA",N10/$D10),"NA")</f>
        <v>-2.6750610756798167E-2</v>
      </c>
      <c r="I10" s="3583">
        <f t="shared" si="1"/>
        <v>-2.6750610756798167E-2</v>
      </c>
      <c r="J10" s="3583">
        <f t="shared" si="1"/>
        <v>-5.2852838847577644E-3</v>
      </c>
      <c r="K10" s="3585">
        <f>IFERROR(IF(SUM(E10)=0,"NA",Q10/E10),"NA")</f>
        <v>-2.3502632941514938E-2</v>
      </c>
      <c r="L10" s="3584">
        <f>IFERROR(IF(SUM(F10)=0,"NA",R10/F10),"NA")</f>
        <v>-12.475</v>
      </c>
      <c r="M10" s="3586" t="str">
        <f>IF(SUM(M11,M13)=0,"IE",SUM(M11,M13))</f>
        <v>IE</v>
      </c>
      <c r="N10" s="3583">
        <f t="shared" ref="N10:S10" si="2">IF(SUM(N11,N13)=0,"IE",SUM(N11,N13))</f>
        <v>-1067.7349065237634</v>
      </c>
      <c r="O10" s="3587">
        <f t="shared" si="2"/>
        <v>-1067.7349065237634</v>
      </c>
      <c r="P10" s="3583">
        <f t="shared" si="2"/>
        <v>-210.959</v>
      </c>
      <c r="Q10" s="3585">
        <f t="shared" si="2"/>
        <v>-938.0232730251663</v>
      </c>
      <c r="R10" s="3585">
        <f t="shared" si="2"/>
        <v>-37.424999999999997</v>
      </c>
      <c r="S10" s="3588">
        <f t="shared" si="2"/>
        <v>8265.1879916794096</v>
      </c>
      <c r="U10" s="2261"/>
    </row>
    <row r="11" spans="2:21" ht="18" customHeight="1" x14ac:dyDescent="0.2">
      <c r="B11" s="499" t="s">
        <v>985</v>
      </c>
      <c r="C11" s="2256"/>
      <c r="D11" s="3589">
        <f>D12</f>
        <v>37669.715340285002</v>
      </c>
      <c r="E11" s="3078">
        <f t="shared" ref="E11" si="3">E12</f>
        <v>37669.715340285002</v>
      </c>
      <c r="F11" s="3078" t="str">
        <f t="shared" ref="F11" si="4">F12</f>
        <v>IE</v>
      </c>
      <c r="G11" s="3558" t="str">
        <f t="shared" ref="G11:G23" si="5">IFERROR(IF(SUM($D11)=0,"NA",M11/$D11),"NA")</f>
        <v>NA</v>
      </c>
      <c r="H11" s="3078">
        <f t="shared" ref="H11:H23" si="6">IFERROR(IF(SUM($D11)=0,"NA",N11/$D11),"NA")</f>
        <v>-1.5279888898498881E-3</v>
      </c>
      <c r="I11" s="3078">
        <f t="shared" ref="I11:I23" si="7">IFERROR(IF(SUM($D11)=0,"NA",O11/$D11),"NA")</f>
        <v>-1.5279888898498881E-3</v>
      </c>
      <c r="J11" s="3078" t="str">
        <f t="shared" ref="J11:J23" si="8">IFERROR(IF(SUM($D11)=0,"NA",P11/$D11),"NA")</f>
        <v>NA</v>
      </c>
      <c r="K11" s="3573">
        <f t="shared" ref="K11:K23" si="9">IFERROR(IF(SUM(E11)=0,"NA",Q11/E11),"NA")</f>
        <v>-1.4971748348677486E-2</v>
      </c>
      <c r="L11" s="3128" t="str">
        <f t="shared" ref="L11:L23" si="10">IFERROR(IF(SUM(F11)=0,"NA",R11/F11),"NA")</f>
        <v>NA</v>
      </c>
      <c r="M11" s="3590" t="str">
        <f t="shared" ref="M11" si="11">M12</f>
        <v>IE</v>
      </c>
      <c r="N11" s="3591">
        <f t="shared" ref="N11" si="12">N12</f>
        <v>-57.558906523763383</v>
      </c>
      <c r="O11" s="3592">
        <f t="shared" ref="O11" si="13">O12</f>
        <v>-57.558906523763383</v>
      </c>
      <c r="P11" s="3591" t="str">
        <f t="shared" ref="P11" si="14">P12</f>
        <v>NA</v>
      </c>
      <c r="Q11" s="3593">
        <f t="shared" ref="Q11" si="15">Q12</f>
        <v>-563.98149844106297</v>
      </c>
      <c r="R11" s="3593" t="str">
        <f t="shared" ref="R11" si="16">R12</f>
        <v>IE</v>
      </c>
      <c r="S11" s="3594">
        <f t="shared" ref="S11" si="17">S12</f>
        <v>2278.9814848710303</v>
      </c>
      <c r="U11" s="2258"/>
    </row>
    <row r="12" spans="2:21" ht="18" customHeight="1" x14ac:dyDescent="0.2">
      <c r="B12" s="501"/>
      <c r="C12" s="508" t="s">
        <v>278</v>
      </c>
      <c r="D12" s="3568">
        <f>IF(SUM(E12:F12)=0,E12,SUM(E12:F12))</f>
        <v>37669.715340285002</v>
      </c>
      <c r="E12" s="3569">
        <v>37669.715340285002</v>
      </c>
      <c r="F12" s="3554" t="s">
        <v>2153</v>
      </c>
      <c r="G12" s="3558" t="str">
        <f t="shared" si="5"/>
        <v>NA</v>
      </c>
      <c r="H12" s="3078">
        <f t="shared" si="6"/>
        <v>-1.5279888898498881E-3</v>
      </c>
      <c r="I12" s="3078">
        <f t="shared" si="7"/>
        <v>-1.5279888898498881E-3</v>
      </c>
      <c r="J12" s="3078" t="str">
        <f t="shared" si="8"/>
        <v>NA</v>
      </c>
      <c r="K12" s="3573">
        <f t="shared" si="9"/>
        <v>-1.4971748348677486E-2</v>
      </c>
      <c r="L12" s="3128" t="str">
        <f t="shared" si="10"/>
        <v>NA</v>
      </c>
      <c r="M12" s="2905" t="s">
        <v>2153</v>
      </c>
      <c r="N12" s="2905">
        <v>-57.558906523763383</v>
      </c>
      <c r="O12" s="3109">
        <f>IF(SUM(M12:N12)=0,M12,SUM(M12:N12))</f>
        <v>-57.558906523763383</v>
      </c>
      <c r="P12" s="2905" t="s">
        <v>2147</v>
      </c>
      <c r="Q12" s="2906">
        <v>-563.98149844106297</v>
      </c>
      <c r="R12" s="2906" t="s">
        <v>2153</v>
      </c>
      <c r="S12" s="3594">
        <f>IF(SUM(O12:R12)=0,Q12,SUM(O12:R12)*-44/12)</f>
        <v>2278.9814848710303</v>
      </c>
      <c r="U12" s="2398"/>
    </row>
    <row r="13" spans="2:21" ht="18" customHeight="1" x14ac:dyDescent="0.2">
      <c r="B13" s="485" t="s">
        <v>1054</v>
      </c>
      <c r="C13" s="504"/>
      <c r="D13" s="3589">
        <f>IF(SUM(D14,D16,D18,D20,D22)=0,"IE",SUM(D14,D16,D18,D20,D22))</f>
        <v>2244.696941027812</v>
      </c>
      <c r="E13" s="3591">
        <f t="shared" ref="E13:F13" si="18">IF(SUM(E14,E16,E18,E20,E22)=0,"IE",SUM(E14,E16,E18,E20,E22))</f>
        <v>2241.696941027812</v>
      </c>
      <c r="F13" s="3595">
        <f t="shared" si="18"/>
        <v>3</v>
      </c>
      <c r="G13" s="3558" t="str">
        <f t="shared" si="5"/>
        <v>NA</v>
      </c>
      <c r="H13" s="3078">
        <f t="shared" si="6"/>
        <v>-0.45002778840044927</v>
      </c>
      <c r="I13" s="3078">
        <f t="shared" si="7"/>
        <v>-0.45002778840044927</v>
      </c>
      <c r="J13" s="3078">
        <f t="shared" si="8"/>
        <v>-9.3981060937074715E-2</v>
      </c>
      <c r="K13" s="3573">
        <f t="shared" si="9"/>
        <v>-0.16685653075504764</v>
      </c>
      <c r="L13" s="3128">
        <f t="shared" si="10"/>
        <v>-12.475</v>
      </c>
      <c r="M13" s="3590" t="str">
        <f>IF(SUM(M14,M16,M18,M20,M22)=0,"IE",SUM(M14,M16,M18,M20,M22))</f>
        <v>IE</v>
      </c>
      <c r="N13" s="3591">
        <f t="shared" ref="N13" si="19">IF(SUM(N14,N16,N18,N20,N22)=0,"IE",SUM(N14,N16,N18,N20,N22))</f>
        <v>-1010.1759999999999</v>
      </c>
      <c r="O13" s="3592">
        <f t="shared" ref="O13" si="20">IF(SUM(O14,O16,O18,O20,O22)=0,"IE",SUM(O14,O16,O18,O20,O22))</f>
        <v>-1010.1759999999999</v>
      </c>
      <c r="P13" s="3592">
        <f t="shared" ref="P13" si="21">IF(SUM(P14,P16,P18,P20,P22)=0,"IE",SUM(P14,P16,P18,P20,P22))</f>
        <v>-210.959</v>
      </c>
      <c r="Q13" s="3592">
        <f t="shared" ref="Q13" si="22">IF(SUM(Q14,Q16,Q18,Q20,Q22)=0,"IE",SUM(Q14,Q16,Q18,Q20,Q22))</f>
        <v>-374.04177458410334</v>
      </c>
      <c r="R13" s="3592">
        <f t="shared" ref="R13" si="23">IF(SUM(R14,R16,R18,R20,R22)=0,"IE",SUM(R14,R16,R18,R20,R22))</f>
        <v>-37.424999999999997</v>
      </c>
      <c r="S13" s="3594">
        <f t="shared" ref="S13" si="24">IF(SUM(S14,S16,S18,S20,S22)=0,"IE",SUM(S14,S16,S18,S20,S22))</f>
        <v>5986.2065068083784</v>
      </c>
      <c r="U13" s="503"/>
    </row>
    <row r="14" spans="2:21" ht="18" customHeight="1" x14ac:dyDescent="0.2">
      <c r="B14" s="487" t="s">
        <v>1055</v>
      </c>
      <c r="C14" s="504"/>
      <c r="D14" s="3589">
        <f>D15</f>
        <v>2232.0360000000001</v>
      </c>
      <c r="E14" s="3078">
        <f t="shared" ref="E14" si="25">E15</f>
        <v>2232.0360000000001</v>
      </c>
      <c r="F14" s="3078" t="str">
        <f t="shared" ref="F14" si="26">F15</f>
        <v>IE</v>
      </c>
      <c r="G14" s="3558" t="str">
        <f t="shared" si="5"/>
        <v>NA</v>
      </c>
      <c r="H14" s="3078">
        <f t="shared" si="6"/>
        <v>-0.45258051393436305</v>
      </c>
      <c r="I14" s="3078">
        <f t="shared" si="7"/>
        <v>-0.45258051393436305</v>
      </c>
      <c r="J14" s="3078">
        <f t="shared" si="8"/>
        <v>-9.4514156581703881E-2</v>
      </c>
      <c r="K14" s="3573">
        <f t="shared" si="9"/>
        <v>-0.15493388099475097</v>
      </c>
      <c r="L14" s="3128" t="str">
        <f t="shared" si="10"/>
        <v>NA</v>
      </c>
      <c r="M14" s="3590" t="str">
        <f t="shared" ref="M14" si="27">M15</f>
        <v>IE</v>
      </c>
      <c r="N14" s="3591">
        <f t="shared" ref="N14" si="28">N15</f>
        <v>-1010.1759999999999</v>
      </c>
      <c r="O14" s="3592">
        <f t="shared" ref="O14" si="29">O15</f>
        <v>-1010.1759999999999</v>
      </c>
      <c r="P14" s="3591">
        <f t="shared" ref="P14" si="30">P15</f>
        <v>-210.959</v>
      </c>
      <c r="Q14" s="3593">
        <f t="shared" ref="Q14" si="31">Q15</f>
        <v>-345.81799999999998</v>
      </c>
      <c r="R14" s="3593" t="str">
        <f t="shared" ref="R14" si="32">R15</f>
        <v>IE</v>
      </c>
      <c r="S14" s="3594">
        <f t="shared" ref="S14" si="33">S15</f>
        <v>5745.4943333333331</v>
      </c>
      <c r="U14" s="503"/>
    </row>
    <row r="15" spans="2:21" ht="18" customHeight="1" x14ac:dyDescent="0.2">
      <c r="B15" s="501"/>
      <c r="C15" s="508" t="s">
        <v>278</v>
      </c>
      <c r="D15" s="3568">
        <f>IF(SUM(E15:F15)=0,E15,SUM(E15:F15))</f>
        <v>2232.0360000000001</v>
      </c>
      <c r="E15" s="3569">
        <v>2232.0360000000001</v>
      </c>
      <c r="F15" s="3554" t="s">
        <v>2153</v>
      </c>
      <c r="G15" s="3558" t="str">
        <f t="shared" si="5"/>
        <v>NA</v>
      </c>
      <c r="H15" s="3078">
        <f t="shared" si="6"/>
        <v>-0.45258051393436305</v>
      </c>
      <c r="I15" s="3078">
        <f t="shared" si="7"/>
        <v>-0.45258051393436305</v>
      </c>
      <c r="J15" s="3078">
        <f t="shared" si="8"/>
        <v>-9.4514156581703881E-2</v>
      </c>
      <c r="K15" s="3573">
        <f t="shared" si="9"/>
        <v>-0.15493388099475097</v>
      </c>
      <c r="L15" s="3128" t="str">
        <f t="shared" si="10"/>
        <v>NA</v>
      </c>
      <c r="M15" s="2905" t="s">
        <v>2153</v>
      </c>
      <c r="N15" s="2905">
        <v>-1010.1759999999999</v>
      </c>
      <c r="O15" s="3109">
        <f>IF(SUM(M15:N15)=0,M15,SUM(M15:N15))</f>
        <v>-1010.1759999999999</v>
      </c>
      <c r="P15" s="2905">
        <v>-210.959</v>
      </c>
      <c r="Q15" s="2906">
        <v>-345.81799999999998</v>
      </c>
      <c r="R15" s="2906" t="s">
        <v>2153</v>
      </c>
      <c r="S15" s="3594">
        <f>IF(SUM(O15:R15)=0,Q15,SUM(O15:R15)*-44/12)</f>
        <v>5745.4943333333331</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521602.64399719698</v>
      </c>
      <c r="E10" s="3583">
        <f t="shared" ref="E10:F10" si="0">IF(SUM(E11,E15)=0,"IE",SUM(E11,E15))</f>
        <v>521601.64399719698</v>
      </c>
      <c r="F10" s="3584">
        <f t="shared" si="0"/>
        <v>1</v>
      </c>
      <c r="G10" s="3558">
        <f>IFERROR(IF(SUM($D10)=0,"NA",M10/$D10),"NA")</f>
        <v>1.0961835653211446E-3</v>
      </c>
      <c r="H10" s="3583">
        <f t="shared" ref="H10:J10" si="1">IFERROR(IF(SUM($D10)=0,"NA",N10/$D10),"NA")</f>
        <v>-3.1733710652364466E-2</v>
      </c>
      <c r="I10" s="3583">
        <f t="shared" si="1"/>
        <v>-3.0637527087043325E-2</v>
      </c>
      <c r="J10" s="3583">
        <f t="shared" si="1"/>
        <v>-1.0806677473585674E-3</v>
      </c>
      <c r="K10" s="3585">
        <f>IFERROR(IF(SUM(E10)=0,"NA",Q10/E10),"NA")</f>
        <v>-4.1859265461451104E-3</v>
      </c>
      <c r="L10" s="3584">
        <f>IFERROR(IF(SUM(F10)=0,"NA",R10/F10),"NA")</f>
        <v>-8.7249999999999996</v>
      </c>
      <c r="M10" s="3586">
        <f>IF(SUM(M11,M15)=0,"IE",SUM(M11,M15))</f>
        <v>571.77224597778309</v>
      </c>
      <c r="N10" s="3583">
        <f t="shared" ref="N10:S10" si="2">IF(SUM(N11,N15)=0,"IE",SUM(N11,N15))</f>
        <v>-16552.38738011532</v>
      </c>
      <c r="O10" s="3587">
        <f t="shared" si="2"/>
        <v>-15980.615134137539</v>
      </c>
      <c r="P10" s="3583">
        <f t="shared" si="2"/>
        <v>-563.67915430472362</v>
      </c>
      <c r="Q10" s="3585">
        <f t="shared" si="2"/>
        <v>-2183.3861681207982</v>
      </c>
      <c r="R10" s="3585">
        <f t="shared" si="2"/>
        <v>-8.7249999999999996</v>
      </c>
      <c r="S10" s="3588">
        <f t="shared" si="2"/>
        <v>68700.153340731194</v>
      </c>
      <c r="U10" s="2261"/>
    </row>
    <row r="11" spans="2:21" ht="18" customHeight="1" x14ac:dyDescent="0.2">
      <c r="B11" s="493" t="s">
        <v>988</v>
      </c>
      <c r="C11" s="483"/>
      <c r="D11" s="3599">
        <f>IF(SUM(D12:D14)=0,"IE",SUM(D12:D14))</f>
        <v>509415.77670137101</v>
      </c>
      <c r="E11" s="3564">
        <f t="shared" ref="E11:F11" si="3">IF(SUM(E12:E14)=0,"IE",SUM(E12:E14))</f>
        <v>509415.77670137101</v>
      </c>
      <c r="F11" s="3565" t="str">
        <f t="shared" si="3"/>
        <v>IE</v>
      </c>
      <c r="G11" s="3599">
        <f t="shared" ref="G11:G26" si="4">IFERROR(IF(SUM($D11)=0,"NA",M11/$D11),"NA")</f>
        <v>1.1030272875036579E-3</v>
      </c>
      <c r="H11" s="3109">
        <f t="shared" ref="H11:H26" si="5">IFERROR(IF(SUM($D11)=0,"NA",N11/$D11),"NA")</f>
        <v>-7.0280218142892048E-4</v>
      </c>
      <c r="I11" s="3109">
        <f t="shared" ref="I11:I26" si="6">IFERROR(IF(SUM($D11)=0,"NA",O11/$D11),"NA")</f>
        <v>4.0022510607473747E-4</v>
      </c>
      <c r="J11" s="3109">
        <f t="shared" ref="J11:J26" si="7">IFERROR(IF(SUM($D11)=0,"NA",P11/$D11),"NA")</f>
        <v>4.8631073373376233E-4</v>
      </c>
      <c r="K11" s="3566">
        <f t="shared" ref="K11:K26" si="8">IFERROR(IF(SUM(E11)=0,"NA",Q11/E11),"NA")</f>
        <v>-2.5631231345800437E-4</v>
      </c>
      <c r="L11" s="3249" t="str">
        <f t="shared" ref="L11:L26" si="9">IFERROR(IF(SUM(F11)=0,"NA",R11/F11),"NA")</f>
        <v>NA</v>
      </c>
      <c r="M11" s="3109">
        <f>IF(SUM(M12:M14)=0,"IE",SUM(M12:M14))</f>
        <v>561.89950238648237</v>
      </c>
      <c r="N11" s="3109">
        <f t="shared" ref="N11:O11" si="10">IF(SUM(N12:N14)=0,"IE",SUM(N12:N14))</f>
        <v>-358.01851912003139</v>
      </c>
      <c r="O11" s="3109">
        <f t="shared" si="10"/>
        <v>203.88098326645098</v>
      </c>
      <c r="P11" s="3109">
        <f t="shared" ref="P11" si="11">IF(SUM(P12:P14)=0,"IE",SUM(P12:P14))</f>
        <v>247.73436014319816</v>
      </c>
      <c r="Q11" s="3566">
        <f t="shared" ref="Q11" si="12">IF(SUM(Q12:Q14)=0,"IE",SUM(Q12:Q14))</f>
        <v>-130.56953623833456</v>
      </c>
      <c r="R11" s="3566" t="str">
        <f t="shared" ref="R11" si="13">IF(SUM(R12:R14)=0,"IE",SUM(R12:R14))</f>
        <v>IE</v>
      </c>
      <c r="S11" s="3567">
        <f t="shared" ref="S11" si="14">IF(SUM(S12:S14)=0,"IE",SUM(S12:S14))</f>
        <v>-1177.1679596281538</v>
      </c>
      <c r="U11" s="2397"/>
    </row>
    <row r="12" spans="2:21" ht="18" customHeight="1" x14ac:dyDescent="0.2">
      <c r="B12" s="499"/>
      <c r="C12" s="484" t="s">
        <v>2226</v>
      </c>
      <c r="D12" s="3600">
        <f>IF(SUM(E12:F12)=0,E12,SUM(E12:F12))</f>
        <v>70456.100045431187</v>
      </c>
      <c r="E12" s="3569">
        <v>70456.100045431187</v>
      </c>
      <c r="F12" s="3554" t="s">
        <v>2153</v>
      </c>
      <c r="G12" s="3558" t="str">
        <f t="shared" si="4"/>
        <v>NA</v>
      </c>
      <c r="H12" s="3078">
        <f t="shared" si="5"/>
        <v>-5.0814410517921868E-3</v>
      </c>
      <c r="I12" s="3078">
        <f t="shared" si="6"/>
        <v>-5.0814410517921868E-3</v>
      </c>
      <c r="J12" s="3078">
        <f t="shared" si="7"/>
        <v>-1.0162882103584361E-3</v>
      </c>
      <c r="K12" s="3573">
        <f t="shared" si="8"/>
        <v>-4.0651528414337446E-3</v>
      </c>
      <c r="L12" s="3128" t="str">
        <f t="shared" si="9"/>
        <v>NA</v>
      </c>
      <c r="M12" s="2905" t="s">
        <v>2153</v>
      </c>
      <c r="N12" s="2905">
        <v>-358.01851912003139</v>
      </c>
      <c r="O12" s="3109">
        <f>IF(SUM(M12:N12)=0,M12,SUM(M12:N12))</f>
        <v>-358.01851912003139</v>
      </c>
      <c r="P12" s="2905">
        <v>-71.603703824006189</v>
      </c>
      <c r="Q12" s="2906">
        <v>-286.41481529602476</v>
      </c>
      <c r="R12" s="2906" t="s">
        <v>2153</v>
      </c>
      <c r="S12" s="3570">
        <f>IF(SUM(O12:R12)=0,Q12,SUM(O12:R12)*-44/12)</f>
        <v>2625.4691402135618</v>
      </c>
      <c r="U12" s="2398"/>
    </row>
    <row r="13" spans="2:21" ht="18" customHeight="1" x14ac:dyDescent="0.2">
      <c r="B13" s="499"/>
      <c r="C13" s="484" t="s">
        <v>2227</v>
      </c>
      <c r="D13" s="3600">
        <f>IF(SUM(E13:F13)=0,E13,SUM(E13:F13))</f>
        <v>438959.67665593984</v>
      </c>
      <c r="E13" s="3569">
        <v>438959.67665593984</v>
      </c>
      <c r="F13" s="3554" t="s">
        <v>2153</v>
      </c>
      <c r="G13" s="3558" t="str">
        <f t="shared" si="4"/>
        <v>NA</v>
      </c>
      <c r="H13" s="3078" t="str">
        <f t="shared" si="5"/>
        <v>NA</v>
      </c>
      <c r="I13" s="3078" t="str">
        <f t="shared" si="6"/>
        <v>NA</v>
      </c>
      <c r="J13" s="3078" t="str">
        <f t="shared" si="7"/>
        <v>NA</v>
      </c>
      <c r="K13" s="3573">
        <f t="shared" si="8"/>
        <v>3.5503324643607981E-4</v>
      </c>
      <c r="L13" s="3128" t="str">
        <f t="shared" si="9"/>
        <v>NA</v>
      </c>
      <c r="M13" s="2905" t="s">
        <v>2147</v>
      </c>
      <c r="N13" s="2905" t="s">
        <v>2147</v>
      </c>
      <c r="O13" s="3109" t="str">
        <f>IF(SUM(M13:N13)=0,M13,SUM(M13:N13))</f>
        <v>NA</v>
      </c>
      <c r="P13" s="2905" t="s">
        <v>2147</v>
      </c>
      <c r="Q13" s="2906">
        <v>155.84527905769019</v>
      </c>
      <c r="R13" s="2906" t="s">
        <v>2153</v>
      </c>
      <c r="S13" s="3570">
        <f>IF(SUM(O13:R13)=0,Q13,SUM(O13:R13)*-44/12)</f>
        <v>-571.43268987819738</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561.89950238648237</v>
      </c>
      <c r="N14" s="2905" t="s">
        <v>2153</v>
      </c>
      <c r="O14" s="3109">
        <f>IF(SUM(M14:N14)=0,M14,SUM(M14:N14))</f>
        <v>561.89950238648237</v>
      </c>
      <c r="P14" s="2905">
        <v>319.33806396720433</v>
      </c>
      <c r="Q14" s="2906" t="s">
        <v>2147</v>
      </c>
      <c r="R14" s="2906" t="s">
        <v>2147</v>
      </c>
      <c r="S14" s="3570">
        <f>IF(SUM(O14:R14)=0,Q14,SUM(O14:R14)*-44/12)</f>
        <v>-3231.2044099635182</v>
      </c>
      <c r="U14" s="2398"/>
    </row>
    <row r="15" spans="2:21" ht="18" customHeight="1" x14ac:dyDescent="0.2">
      <c r="B15" s="485" t="s">
        <v>1066</v>
      </c>
      <c r="C15" s="486"/>
      <c r="D15" s="3589">
        <f>IF(SUM(D16,D19,D21,D23,D25)=0,"IE",SUM(D16,D19,D21,D23,D25))</f>
        <v>12186.867295825956</v>
      </c>
      <c r="E15" s="3591">
        <f t="shared" ref="E15:F15" si="15">IF(SUM(E16,E19,E21,E23,E25)=0,"IE",SUM(E16,E19,E21,E23,E25))</f>
        <v>12185.867295825956</v>
      </c>
      <c r="F15" s="3595">
        <f t="shared" si="15"/>
        <v>1</v>
      </c>
      <c r="G15" s="3558">
        <f t="shared" si="4"/>
        <v>8.1011332540579487E-4</v>
      </c>
      <c r="H15" s="3078">
        <f t="shared" si="5"/>
        <v>-1.3288377125877064</v>
      </c>
      <c r="I15" s="3078">
        <f t="shared" si="6"/>
        <v>-1.3280275992623005</v>
      </c>
      <c r="J15" s="3078">
        <f t="shared" si="7"/>
        <v>-6.6580975631517186E-2</v>
      </c>
      <c r="K15" s="3573">
        <f t="shared" si="8"/>
        <v>-0.1684588041251375</v>
      </c>
      <c r="L15" s="3128">
        <f t="shared" si="9"/>
        <v>-8.7249999999999996</v>
      </c>
      <c r="M15" s="3590">
        <f>IF(SUM(M16,M19,M21,M23,M25)=0,"IE",SUM(M16,M19,M21,M23,M25))</f>
        <v>9.8727435913006918</v>
      </c>
      <c r="N15" s="3591">
        <f t="shared" ref="N15:S15" si="16">IF(SUM(N16,N19,N21,N23,N25)=0,"IE",SUM(N16,N19,N21,N23,N25))</f>
        <v>-16194.36886099529</v>
      </c>
      <c r="O15" s="3592">
        <f t="shared" si="16"/>
        <v>-16184.496117403989</v>
      </c>
      <c r="P15" s="3592">
        <f t="shared" si="16"/>
        <v>-811.41351444792178</v>
      </c>
      <c r="Q15" s="3592">
        <f t="shared" si="16"/>
        <v>-2052.8166318824638</v>
      </c>
      <c r="R15" s="3592">
        <f t="shared" si="16"/>
        <v>-8.7249999999999996</v>
      </c>
      <c r="S15" s="3594">
        <f t="shared" si="16"/>
        <v>69877.321300359356</v>
      </c>
      <c r="U15" s="2019"/>
    </row>
    <row r="16" spans="2:21" ht="18" customHeight="1" x14ac:dyDescent="0.2">
      <c r="B16" s="500" t="s">
        <v>1067</v>
      </c>
      <c r="C16" s="486"/>
      <c r="D16" s="3599">
        <f>IF(SUM(D17:D18)=0,"IE",SUM(D17:D18))</f>
        <v>12137.989863289409</v>
      </c>
      <c r="E16" s="3564">
        <f t="shared" ref="E16:F16" si="17">IF(SUM(E17:E18)=0,"IE",SUM(E17:E18))</f>
        <v>12137.989863289409</v>
      </c>
      <c r="F16" s="3565" t="str">
        <f t="shared" si="17"/>
        <v>IE</v>
      </c>
      <c r="G16" s="3558">
        <f t="shared" si="4"/>
        <v>8.1337550142138333E-4</v>
      </c>
      <c r="H16" s="3078">
        <f t="shared" si="5"/>
        <v>-1.3341886954424096</v>
      </c>
      <c r="I16" s="3078">
        <f t="shared" si="6"/>
        <v>-1.3333753199409883</v>
      </c>
      <c r="J16" s="3078">
        <f t="shared" si="7"/>
        <v>-6.6849084863877764E-2</v>
      </c>
      <c r="K16" s="3573">
        <f t="shared" si="8"/>
        <v>-0.15936929068568523</v>
      </c>
      <c r="L16" s="3128" t="str">
        <f t="shared" si="9"/>
        <v>NA</v>
      </c>
      <c r="M16" s="3506">
        <f>IF(SUM(M17:M18)=0,"IE",SUM(M17:M18))</f>
        <v>9.8727435913006918</v>
      </c>
      <c r="N16" s="3506">
        <f t="shared" ref="N16:O16" si="18">IF(SUM(N17:N18)=0,"IE",SUM(N17:N18))</f>
        <v>-16194.36886099529</v>
      </c>
      <c r="O16" s="3506">
        <f t="shared" si="18"/>
        <v>-16184.496117403989</v>
      </c>
      <c r="P16" s="3506">
        <f t="shared" ref="P16" si="19">IF(SUM(P17:P18)=0,"IE",SUM(P17:P18))</f>
        <v>-811.41351444792178</v>
      </c>
      <c r="Q16" s="3601">
        <f t="shared" ref="Q16" si="20">IF(SUM(Q17:Q18)=0,"IE",SUM(Q17:Q18))</f>
        <v>-1934.4228348624706</v>
      </c>
      <c r="R16" s="3601" t="str">
        <f t="shared" ref="R16" si="21">IF(SUM(R17:R18)=0,"IE",SUM(R17:R18))</f>
        <v>IE</v>
      </c>
      <c r="S16" s="3287">
        <f t="shared" ref="S16" si="22">IF(SUM(S17:S18)=0,"IE",SUM(S17:S18))</f>
        <v>69411.219044619385</v>
      </c>
      <c r="U16" s="2400"/>
    </row>
    <row r="17" spans="2:21" ht="18" customHeight="1" x14ac:dyDescent="0.2">
      <c r="B17" s="500"/>
      <c r="C17" s="484" t="s">
        <v>2228</v>
      </c>
      <c r="D17" s="3600">
        <f>IF(SUM(E17:F17)=0,E17,SUM(E17:F17))</f>
        <v>12137.989863289409</v>
      </c>
      <c r="E17" s="3569">
        <v>12137.989863289409</v>
      </c>
      <c r="F17" s="3554" t="s">
        <v>2153</v>
      </c>
      <c r="G17" s="3558" t="str">
        <f t="shared" si="4"/>
        <v>NA</v>
      </c>
      <c r="H17" s="3078">
        <f t="shared" si="5"/>
        <v>-1.3341886954424096</v>
      </c>
      <c r="I17" s="3078">
        <f t="shared" si="6"/>
        <v>-1.3341886954424096</v>
      </c>
      <c r="J17" s="3078">
        <f t="shared" si="7"/>
        <v>-6.6795744812286062E-2</v>
      </c>
      <c r="K17" s="3573">
        <f t="shared" si="8"/>
        <v>-0.15936929068568523</v>
      </c>
      <c r="L17" s="3128" t="str">
        <f t="shared" si="9"/>
        <v>NA</v>
      </c>
      <c r="M17" s="2905" t="s">
        <v>2153</v>
      </c>
      <c r="N17" s="2905">
        <v>-16194.36886099529</v>
      </c>
      <c r="O17" s="3109">
        <f>IF(SUM(M17:N17)=0,M17,SUM(M17:N17))</f>
        <v>-16194.36886099529</v>
      </c>
      <c r="P17" s="2905">
        <v>-810.76607344239437</v>
      </c>
      <c r="Q17" s="2906">
        <v>-1934.4228348624706</v>
      </c>
      <c r="R17" s="2906" t="s">
        <v>2153</v>
      </c>
      <c r="S17" s="3570">
        <f>IF(SUM(O17:R17)=0,Q17,SUM(O17:R17)*-44/12)</f>
        <v>69445.04515410056</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v>9.8727435913006918</v>
      </c>
      <c r="N18" s="2905" t="s">
        <v>2153</v>
      </c>
      <c r="O18" s="3109">
        <f>IF(SUM(M18:N18)=0,M18,SUM(M18:N18))</f>
        <v>9.8727435913006918</v>
      </c>
      <c r="P18" s="2905">
        <v>-0.64744100552745554</v>
      </c>
      <c r="Q18" s="2906" t="s">
        <v>2147</v>
      </c>
      <c r="R18" s="2906" t="s">
        <v>2147</v>
      </c>
      <c r="S18" s="3570">
        <f>IF(SUM(O18:R18)=0,Q18,SUM(O18:R18)*-44/12)</f>
        <v>-33.82610948116853</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13275.639326149001</v>
      </c>
      <c r="E10" s="3583">
        <f>IF(SUM(E11,E23)=0,"IE",SUM(E11,E23))</f>
        <v>13208.397691432787</v>
      </c>
      <c r="F10" s="3584">
        <f>IF(SUM(F11,F23)=0,"IE",SUM(F11,F23))</f>
        <v>67.241634716214293</v>
      </c>
      <c r="G10" s="3608">
        <f>IFERROR(IF(SUM($D10)=0,"NA",M10/$D10),"NA")</f>
        <v>1.2210569246298292E-3</v>
      </c>
      <c r="H10" s="3609">
        <f t="shared" ref="H10:J10" si="0">IFERROR(IF(SUM($D10)=0,"NA",N10/$D10),"NA")</f>
        <v>-2.4786706132449744E-3</v>
      </c>
      <c r="I10" s="3610">
        <f t="shared" si="0"/>
        <v>-1.2576136886151452E-3</v>
      </c>
      <c r="J10" s="3609">
        <f t="shared" si="0"/>
        <v>-4.8752869507200173E-4</v>
      </c>
      <c r="K10" s="3609">
        <f>IFERROR(IF(SUM(E10)=0,"NA",Q10/E10),"NA")</f>
        <v>-1.5349590563102284E-3</v>
      </c>
      <c r="L10" s="3611" t="str">
        <f>IFERROR(IF(SUM(F10)=0,"NA",R10/F10),"NA")</f>
        <v>NA</v>
      </c>
      <c r="M10" s="3610">
        <f t="shared" ref="M10:S10" si="1">IF(SUM(M11,M23)=0,"IE",SUM(M11,M23))</f>
        <v>16.210311328082316</v>
      </c>
      <c r="N10" s="3609">
        <f t="shared" si="1"/>
        <v>-32.905937069764846</v>
      </c>
      <c r="O10" s="3610">
        <f t="shared" si="1"/>
        <v>-16.695625741682527</v>
      </c>
      <c r="P10" s="3609">
        <f t="shared" si="1"/>
        <v>-6.4722551169239706</v>
      </c>
      <c r="Q10" s="3612">
        <f t="shared" si="1"/>
        <v>-20.274349655811871</v>
      </c>
      <c r="R10" s="3612" t="str">
        <f t="shared" si="1"/>
        <v>IE</v>
      </c>
      <c r="S10" s="3588">
        <f t="shared" si="1"/>
        <v>159.28817855286738</v>
      </c>
      <c r="U10" s="2401"/>
    </row>
    <row r="11" spans="1:23" ht="18" customHeight="1" x14ac:dyDescent="0.2">
      <c r="B11" s="501" t="s">
        <v>990</v>
      </c>
      <c r="C11" s="483"/>
      <c r="D11" s="3613">
        <f>IF(SUM(D12,D14,D17)=0,"IE",SUM(D12,D14,D17))</f>
        <v>13238.456326149</v>
      </c>
      <c r="E11" s="3614">
        <f t="shared" ref="E11:S11" si="2">IF(SUM(E12,E14,E17)=0,"IE",SUM(E12,E14,E17))</f>
        <v>13171.214691432786</v>
      </c>
      <c r="F11" s="3615">
        <f t="shared" si="2"/>
        <v>67.241634716214293</v>
      </c>
      <c r="G11" s="3616">
        <f t="shared" ref="G11:G56" si="3">IFERROR(IF(SUM($D11)=0,"NA",M11/$D11),"NA")</f>
        <v>1.2244865208387791E-3</v>
      </c>
      <c r="H11" s="3617">
        <f t="shared" ref="H11:H56" si="4">IFERROR(IF(SUM($D11)=0,"NA",N11/$D11),"NA")</f>
        <v>-1.9143423104177719E-3</v>
      </c>
      <c r="I11" s="3618">
        <f t="shared" ref="I11:I56" si="5">IFERROR(IF(SUM($D11)=0,"NA",O11/$D11),"NA")</f>
        <v>-6.8985578957899253E-4</v>
      </c>
      <c r="J11" s="3617">
        <f t="shared" ref="J11:J56" si="6">IFERROR(IF(SUM($D11)=0,"NA",P11/$D11),"NA")</f>
        <v>-4.8889802235777111E-4</v>
      </c>
      <c r="K11" s="3617">
        <f t="shared" ref="K11:K56" si="7">IFERROR(IF(SUM(E11)=0,"NA",Q11/E11),"NA")</f>
        <v>-1.5392923227498007E-3</v>
      </c>
      <c r="L11" s="3619" t="str">
        <f t="shared" ref="L11:L56" si="8">IFERROR(IF(SUM(F11)=0,"NA",R11/F11),"NA")</f>
        <v>NA</v>
      </c>
      <c r="M11" s="3618">
        <f t="shared" si="2"/>
        <v>16.210311328082316</v>
      </c>
      <c r="N11" s="3617">
        <f t="shared" si="2"/>
        <v>-25.342937069764844</v>
      </c>
      <c r="O11" s="3618">
        <f t="shared" si="2"/>
        <v>-9.1326257416825278</v>
      </c>
      <c r="P11" s="3617">
        <f t="shared" si="2"/>
        <v>-6.4722551169239706</v>
      </c>
      <c r="Q11" s="3620">
        <f t="shared" si="2"/>
        <v>-20.274349655811871</v>
      </c>
      <c r="R11" s="3620" t="str">
        <f t="shared" si="2"/>
        <v>IE</v>
      </c>
      <c r="S11" s="3621">
        <f t="shared" si="2"/>
        <v>131.55717855286738</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812.30999347714055</v>
      </c>
      <c r="E14" s="3564">
        <f>IF(SUM(E15:E16)=0,"IE",SUM(E15:E16))</f>
        <v>812.30999347714055</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479.51990000000012</v>
      </c>
      <c r="E15" s="3569">
        <v>479.51990000000012</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12426.14633267186</v>
      </c>
      <c r="E17" s="3564">
        <f>IF(SUM(E18:E21)=0,"IE",SUM(E18:E21))</f>
        <v>12358.904697955646</v>
      </c>
      <c r="F17" s="3565">
        <f>IF(SUM(F18:F21)=0,"IE",SUM(F18:F21))</f>
        <v>67.241634716214293</v>
      </c>
      <c r="G17" s="3622">
        <f t="shared" si="3"/>
        <v>1.304532466792284E-3</v>
      </c>
      <c r="H17" s="3591">
        <f t="shared" si="4"/>
        <v>-2.0394848403749344E-3</v>
      </c>
      <c r="I17" s="3623">
        <f t="shared" si="5"/>
        <v>-7.3495237358265015E-4</v>
      </c>
      <c r="J17" s="3591">
        <f t="shared" si="6"/>
        <v>-5.2085778998969118E-4</v>
      </c>
      <c r="K17" s="3591">
        <f t="shared" si="7"/>
        <v>-1.6404649239803234E-3</v>
      </c>
      <c r="L17" s="3595" t="str">
        <f t="shared" si="8"/>
        <v>NA</v>
      </c>
      <c r="M17" s="3564">
        <f t="shared" ref="M17:S17" si="16">IF(SUM(M18:M21)=0,"IE",SUM(M18:M21))</f>
        <v>16.210311328082316</v>
      </c>
      <c r="N17" s="3617">
        <f t="shared" si="16"/>
        <v>-25.342937069764844</v>
      </c>
      <c r="O17" s="3618">
        <f t="shared" si="16"/>
        <v>-9.1326257416825278</v>
      </c>
      <c r="P17" s="3617">
        <f t="shared" si="16"/>
        <v>-6.4722551169239706</v>
      </c>
      <c r="Q17" s="3620">
        <f t="shared" si="16"/>
        <v>-20.274349655811871</v>
      </c>
      <c r="R17" s="3620" t="str">
        <f t="shared" si="16"/>
        <v>IE</v>
      </c>
      <c r="S17" s="3634">
        <f t="shared" si="16"/>
        <v>131.55717855286738</v>
      </c>
      <c r="U17" s="2402"/>
    </row>
    <row r="18" spans="1:23" ht="18" customHeight="1" x14ac:dyDescent="0.2">
      <c r="A18" s="2502"/>
      <c r="B18" s="2682"/>
      <c r="C18" s="2503" t="s">
        <v>2231</v>
      </c>
      <c r="D18" s="3600">
        <f>IF(SUM(E18:F18)=0,E18,SUM(E18:F18))</f>
        <v>1716.6986404464244</v>
      </c>
      <c r="E18" s="3569">
        <v>1716.6986404464244</v>
      </c>
      <c r="F18" s="3635" t="s">
        <v>2153</v>
      </c>
      <c r="G18" s="3630" t="str">
        <f t="shared" si="3"/>
        <v>NA</v>
      </c>
      <c r="H18" s="3631">
        <f t="shared" si="4"/>
        <v>-1.4762601002103932E-2</v>
      </c>
      <c r="I18" s="3632">
        <f t="shared" si="5"/>
        <v>-1.4762601002103932E-2</v>
      </c>
      <c r="J18" s="3631">
        <f t="shared" si="6"/>
        <v>-2.952520200420786E-3</v>
      </c>
      <c r="K18" s="3631">
        <f t="shared" si="7"/>
        <v>-1.1810080801683144E-2</v>
      </c>
      <c r="L18" s="3633" t="str">
        <f t="shared" si="8"/>
        <v>NA</v>
      </c>
      <c r="M18" s="3624" t="s">
        <v>2153</v>
      </c>
      <c r="N18" s="3625">
        <v>-25.342937069764844</v>
      </c>
      <c r="O18" s="3109">
        <f>IF(SUM(M18:N18)=0,M18,SUM(M18:N18))</f>
        <v>-25.342937069764844</v>
      </c>
      <c r="P18" s="3625">
        <v>-5.0685874139529679</v>
      </c>
      <c r="Q18" s="3626">
        <v>-20.274349655811871</v>
      </c>
      <c r="R18" s="3636" t="s">
        <v>2153</v>
      </c>
      <c r="S18" s="3570">
        <f>IF(SUM(O18:R18)=0,Q18,SUM(O18:R18)*-44/12)</f>
        <v>185.84820517827552</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v>16.210311328082316</v>
      </c>
      <c r="N19" s="3625" t="s">
        <v>2153</v>
      </c>
      <c r="O19" s="3109">
        <f t="shared" ref="O19:O22" si="18">IF(SUM(M19:N19)=0,M19,SUM(M19:N19))</f>
        <v>16.210311328082316</v>
      </c>
      <c r="P19" s="3625">
        <v>-1.403667702971003</v>
      </c>
      <c r="Q19" s="3628" t="s">
        <v>2147</v>
      </c>
      <c r="R19" s="3627" t="s">
        <v>2147</v>
      </c>
      <c r="S19" s="3570">
        <f t="shared" ref="S19:S22" si="19">IF(SUM(O19:R19)=0,Q19,SUM(O19:R19)*-44/12)</f>
        <v>-54.291026625408144</v>
      </c>
      <c r="T19" s="2502"/>
      <c r="U19" s="2684"/>
      <c r="V19" s="2502"/>
      <c r="W19" s="2502"/>
    </row>
    <row r="20" spans="1:23" ht="18" customHeight="1" x14ac:dyDescent="0.2">
      <c r="A20" s="2502"/>
      <c r="B20" s="2682"/>
      <c r="C20" s="2683" t="s">
        <v>2234</v>
      </c>
      <c r="D20" s="3600">
        <f t="shared" si="17"/>
        <v>10642.206057509222</v>
      </c>
      <c r="E20" s="3607">
        <v>10642.206057509222</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67.241634716214293</v>
      </c>
      <c r="E21" s="3564" t="str">
        <f t="shared" ref="E21:F21" si="20">E22</f>
        <v>IE</v>
      </c>
      <c r="F21" s="3565">
        <f t="shared" si="20"/>
        <v>67.241634716214293</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67.241634716214293</v>
      </c>
      <c r="E22" s="3569" t="s">
        <v>2153</v>
      </c>
      <c r="F22" s="3554">
        <v>67.241634716214293</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37.183</v>
      </c>
      <c r="E23" s="3591">
        <f t="shared" ref="E23:F23" si="22">IF(SUM(E24,E35,E46)=0,"IE",SUM(E24,E35,E46))</f>
        <v>37.183</v>
      </c>
      <c r="F23" s="3595" t="str">
        <f t="shared" si="22"/>
        <v>IE</v>
      </c>
      <c r="G23" s="3622" t="str">
        <f t="shared" si="3"/>
        <v>NA</v>
      </c>
      <c r="H23" s="3591">
        <f t="shared" si="4"/>
        <v>-0.20339940295296238</v>
      </c>
      <c r="I23" s="3623">
        <f t="shared" si="5"/>
        <v>-0.20339940295296238</v>
      </c>
      <c r="J23" s="3591" t="str">
        <f t="shared" si="6"/>
        <v>NA</v>
      </c>
      <c r="K23" s="3591" t="str">
        <f t="shared" si="7"/>
        <v>NA</v>
      </c>
      <c r="L23" s="3595" t="str">
        <f t="shared" si="8"/>
        <v>NA</v>
      </c>
      <c r="M23" s="3591" t="str">
        <f t="shared" ref="M23" si="23">IF(SUM(M24,M35,M46)=0,"IE",SUM(M24,M35,M46))</f>
        <v>IE</v>
      </c>
      <c r="N23" s="3591">
        <f t="shared" ref="N23" si="24">IF(SUM(N24,N35,N46)=0,"IE",SUM(N24,N35,N46))</f>
        <v>-7.5629999999999997</v>
      </c>
      <c r="O23" s="3623">
        <f t="shared" ref="O23" si="25">IF(SUM(O24,O35,O46)=0,"IE",SUM(O24,O35,O46))</f>
        <v>-7.5629999999999997</v>
      </c>
      <c r="P23" s="3591" t="str">
        <f>IF(SUM(P24,P35,P46)=0,"NO",SUM(P24,P35,P46))</f>
        <v>NO</v>
      </c>
      <c r="Q23" s="3590" t="str">
        <f>IF(SUM(Q24,Q35,Q46)=0,"NO",SUM(Q24,Q35,Q46))</f>
        <v>NO</v>
      </c>
      <c r="R23" s="3590" t="str">
        <f>IF(SUM(R24,R35,R46)=0,"NO",SUM(R24,R35,R46))</f>
        <v>NO</v>
      </c>
      <c r="S23" s="3594">
        <f t="shared" ref="S23" si="26">IF(SUM(S24,S35,S46)=0,"IE",SUM(S24,S35,S46))</f>
        <v>27.730999999999998</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37.183</v>
      </c>
      <c r="E35" s="3591">
        <f>IF(SUM(E36,E38,E40,E42,E44)=0,"IE",SUM(E36,E38,E40,E42,E44))</f>
        <v>37.183</v>
      </c>
      <c r="F35" s="3595" t="str">
        <f>IF(SUM(F36,F38,F40,F42,F44)=0,"IE",SUM(F36,F38,F40,F42,F44))</f>
        <v>IE</v>
      </c>
      <c r="G35" s="3622" t="str">
        <f t="shared" si="3"/>
        <v>NA</v>
      </c>
      <c r="H35" s="3591">
        <f t="shared" si="4"/>
        <v>-0.20339940295296238</v>
      </c>
      <c r="I35" s="3623">
        <f t="shared" si="5"/>
        <v>-0.20339940295296238</v>
      </c>
      <c r="J35" s="3591" t="str">
        <f t="shared" si="6"/>
        <v>NA</v>
      </c>
      <c r="K35" s="3591" t="str">
        <f t="shared" si="7"/>
        <v>NA</v>
      </c>
      <c r="L35" s="3595" t="str">
        <f t="shared" si="8"/>
        <v>NA</v>
      </c>
      <c r="M35" s="3591" t="str">
        <f t="shared" ref="M35:S35" si="48">IF(SUM(M36,M38,M40,M42,M44)=0,"IE",SUM(M36,M38,M40,M42,M44))</f>
        <v>IE</v>
      </c>
      <c r="N35" s="3591">
        <f t="shared" si="48"/>
        <v>-7.5629999999999997</v>
      </c>
      <c r="O35" s="3623">
        <f t="shared" si="48"/>
        <v>-7.5629999999999997</v>
      </c>
      <c r="P35" s="3591" t="str">
        <f>IF(SUM(P36,P38,P40,P42,P44)=0,"NO",SUM(P36,P38,P40,P42,P44))</f>
        <v>NO</v>
      </c>
      <c r="Q35" s="3590" t="str">
        <f>IF(SUM(Q36,Q38,Q40,Q42,Q44)=0,"NO",SUM(Q36,Q38,Q40,Q42,Q44))</f>
        <v>NO</v>
      </c>
      <c r="R35" s="3590" t="str">
        <f>IF(SUM(R36,R38,R40,R42,R44)=0,"NO",SUM(R36,R38,R40,R42,R44))</f>
        <v>NO</v>
      </c>
      <c r="S35" s="3594">
        <f t="shared" si="48"/>
        <v>27.730999999999998</v>
      </c>
      <c r="U35" s="503"/>
    </row>
    <row r="36" spans="2:21" ht="18" customHeight="1" x14ac:dyDescent="0.2">
      <c r="B36" s="505" t="s">
        <v>1087</v>
      </c>
      <c r="C36" s="486"/>
      <c r="D36" s="3600">
        <f>D37</f>
        <v>37.183</v>
      </c>
      <c r="E36" s="3564">
        <f t="shared" ref="E36:F36" si="49">E37</f>
        <v>37.183</v>
      </c>
      <c r="F36" s="3565" t="str">
        <f t="shared" si="49"/>
        <v>IE</v>
      </c>
      <c r="G36" s="3558" t="str">
        <f t="shared" si="3"/>
        <v>NA</v>
      </c>
      <c r="H36" s="3078">
        <f t="shared" si="4"/>
        <v>-0.20339940295296238</v>
      </c>
      <c r="I36" s="3078">
        <f t="shared" si="5"/>
        <v>-0.20339940295296238</v>
      </c>
      <c r="J36" s="3078" t="str">
        <f t="shared" si="6"/>
        <v>NA</v>
      </c>
      <c r="K36" s="3573" t="str">
        <f t="shared" si="7"/>
        <v>NA</v>
      </c>
      <c r="L36" s="3128" t="str">
        <f t="shared" si="8"/>
        <v>NA</v>
      </c>
      <c r="M36" s="3505" t="str">
        <f t="shared" ref="M36:S36" si="50">M37</f>
        <v>IE</v>
      </c>
      <c r="N36" s="3506">
        <f t="shared" si="50"/>
        <v>-7.5629999999999997</v>
      </c>
      <c r="O36" s="3506">
        <f t="shared" si="50"/>
        <v>-7.5629999999999997</v>
      </c>
      <c r="P36" s="3506" t="str">
        <f t="shared" si="50"/>
        <v>NA</v>
      </c>
      <c r="Q36" s="3601" t="str">
        <f t="shared" si="50"/>
        <v>NA</v>
      </c>
      <c r="R36" s="3601" t="str">
        <f t="shared" si="50"/>
        <v>NA</v>
      </c>
      <c r="S36" s="3287">
        <f t="shared" si="50"/>
        <v>27.730999999999998</v>
      </c>
      <c r="U36" s="2402"/>
    </row>
    <row r="37" spans="2:21" ht="18" customHeight="1" x14ac:dyDescent="0.2">
      <c r="B37" s="1479"/>
      <c r="C37" s="885" t="s">
        <v>278</v>
      </c>
      <c r="D37" s="3600">
        <f>IF(SUM(E37:F37)=0,E37,SUM(E37:F37))</f>
        <v>37.183</v>
      </c>
      <c r="E37" s="3569">
        <v>37.183</v>
      </c>
      <c r="F37" s="3554" t="s">
        <v>2153</v>
      </c>
      <c r="G37" s="3622" t="str">
        <f t="shared" si="3"/>
        <v>NA</v>
      </c>
      <c r="H37" s="3591">
        <f t="shared" si="4"/>
        <v>-0.20339940295296238</v>
      </c>
      <c r="I37" s="3623">
        <f t="shared" si="5"/>
        <v>-0.20339940295296238</v>
      </c>
      <c r="J37" s="3591" t="str">
        <f t="shared" si="6"/>
        <v>NA</v>
      </c>
      <c r="K37" s="3591" t="str">
        <f t="shared" si="7"/>
        <v>NA</v>
      </c>
      <c r="L37" s="3595" t="str">
        <f t="shared" si="8"/>
        <v>NA</v>
      </c>
      <c r="M37" s="3624" t="s">
        <v>2153</v>
      </c>
      <c r="N37" s="3625">
        <v>-7.5629999999999997</v>
      </c>
      <c r="O37" s="3109">
        <f t="shared" ref="O37" si="51">IF(SUM(M37:N37)=0,M37,SUM(M37:N37))</f>
        <v>-7.5629999999999997</v>
      </c>
      <c r="P37" s="3625" t="s">
        <v>2147</v>
      </c>
      <c r="Q37" s="3626" t="s">
        <v>2147</v>
      </c>
      <c r="R37" s="3626" t="s">
        <v>2147</v>
      </c>
      <c r="S37" s="3570">
        <f t="shared" ref="S37" si="52">IF(SUM(O37:R37)=0,Q37,SUM(O37:R37)*-44/12)</f>
        <v>27.730999999999998</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1374.2526403570814</v>
      </c>
      <c r="E10" s="3583">
        <f t="shared" ref="E10:F10" si="0">IF(SUM(E11,E13)=0,"IE",SUM(E11,E13))</f>
        <v>1298.0659601110001</v>
      </c>
      <c r="F10" s="3584">
        <f t="shared" si="0"/>
        <v>76.186680246081508</v>
      </c>
      <c r="G10" s="3582" t="str">
        <f>IFERROR(IF(SUM($D10)=0,"NA",M10/$D10),"NA")</f>
        <v>NA</v>
      </c>
      <c r="H10" s="3583">
        <f t="shared" ref="H10:J10" si="1">IFERROR(IF(SUM($D10)=0,"NA",N10/$D10),"NA")</f>
        <v>-0.88212761046391275</v>
      </c>
      <c r="I10" s="3583">
        <f t="shared" si="1"/>
        <v>-0.88212761046391275</v>
      </c>
      <c r="J10" s="3583">
        <f t="shared" si="1"/>
        <v>-0.11197562185581018</v>
      </c>
      <c r="K10" s="3585">
        <f>IFERROR(IF(SUM(E10)=0,"NA",Q10/E10),"NA")</f>
        <v>-8.1320067686979428E-2</v>
      </c>
      <c r="L10" s="3584">
        <f>IFERROR(IF(SUM(F10)=0,"NA",R10/F10),"NA")</f>
        <v>0.5557881113340003</v>
      </c>
      <c r="M10" s="3586" t="str">
        <f>IF(SUM(M11,M13)=0,"IE",SUM(M11,M13))</f>
        <v>IE</v>
      </c>
      <c r="N10" s="3583">
        <f t="shared" ref="N10:S10" si="2">IF(SUM(N11,N13)=0,"IE",SUM(N11,N13))</f>
        <v>-1212.2661978119152</v>
      </c>
      <c r="O10" s="3587">
        <f t="shared" si="2"/>
        <v>-1212.2661978119152</v>
      </c>
      <c r="P10" s="3583">
        <f t="shared" si="2"/>
        <v>-153.88279399097325</v>
      </c>
      <c r="Q10" s="3585">
        <f t="shared" si="2"/>
        <v>-105.55881173839046</v>
      </c>
      <c r="R10" s="3585">
        <f t="shared" si="2"/>
        <v>42.343651122777032</v>
      </c>
      <c r="S10" s="3588">
        <f t="shared" si="2"/>
        <v>5241.0018922011732</v>
      </c>
      <c r="U10" s="2261"/>
    </row>
    <row r="11" spans="2:21" ht="18" customHeight="1" x14ac:dyDescent="0.2">
      <c r="B11" s="493" t="s">
        <v>993</v>
      </c>
      <c r="C11" s="2256"/>
      <c r="D11" s="3589">
        <f>D12</f>
        <v>973.06896011100002</v>
      </c>
      <c r="E11" s="3078">
        <f t="shared" ref="E11:F11" si="3">E12</f>
        <v>973.06896011100002</v>
      </c>
      <c r="F11" s="3078" t="str">
        <f t="shared" si="3"/>
        <v>IE</v>
      </c>
      <c r="G11" s="3558" t="str">
        <f t="shared" ref="G11:G24" si="4">IFERROR(IF(SUM($D11)=0,"NA",M11/$D11),"NA")</f>
        <v>NA</v>
      </c>
      <c r="H11" s="3078">
        <f t="shared" ref="H11:H24" si="5">IFERROR(IF(SUM($D11)=0,"NA",N11/$D11),"NA")</f>
        <v>-3.6467247630458631E-3</v>
      </c>
      <c r="I11" s="3078">
        <f t="shared" ref="I11:I24" si="6">IFERROR(IF(SUM($D11)=0,"NA",O11/$D11),"NA")</f>
        <v>-3.6467247630458631E-3</v>
      </c>
      <c r="J11" s="3078">
        <f t="shared" ref="J11:J24" si="7">IFERROR(IF(SUM($D11)=0,"NA",P11/$D11),"NA")</f>
        <v>-7.2934495260917301E-4</v>
      </c>
      <c r="K11" s="3573">
        <f t="shared" ref="K11:K24" si="8">IFERROR(IF(SUM(E11)=0,"NA",Q11/E11),"NA")</f>
        <v>-2.917379810436692E-3</v>
      </c>
      <c r="L11" s="3128" t="str">
        <f t="shared" ref="L11:L24" si="9">IFERROR(IF(SUM(F11)=0,"NA",R11/F11),"NA")</f>
        <v>NA</v>
      </c>
      <c r="M11" s="3590" t="str">
        <f t="shared" ref="M11:S11" si="10">M12</f>
        <v>IE</v>
      </c>
      <c r="N11" s="3591">
        <f t="shared" si="10"/>
        <v>-3.548514672988071</v>
      </c>
      <c r="O11" s="3592">
        <f t="shared" si="10"/>
        <v>-3.548514672988071</v>
      </c>
      <c r="P11" s="3591">
        <f t="shared" si="10"/>
        <v>-0.70970293459761458</v>
      </c>
      <c r="Q11" s="3593">
        <f t="shared" si="10"/>
        <v>-2.8388117383904583</v>
      </c>
      <c r="R11" s="3593" t="str">
        <f t="shared" si="10"/>
        <v>IE</v>
      </c>
      <c r="S11" s="3594">
        <f t="shared" si="10"/>
        <v>26.022440935245864</v>
      </c>
      <c r="U11" s="2397"/>
    </row>
    <row r="12" spans="2:21" ht="18" customHeight="1" x14ac:dyDescent="0.2">
      <c r="B12" s="501"/>
      <c r="C12" s="885" t="s">
        <v>278</v>
      </c>
      <c r="D12" s="3600">
        <f>IF(SUM(E12:F12)=0,E12,SUM(E12:F12))</f>
        <v>973.06896011100002</v>
      </c>
      <c r="E12" s="3569">
        <v>973.06896011100002</v>
      </c>
      <c r="F12" s="3554" t="s">
        <v>2153</v>
      </c>
      <c r="G12" s="3558" t="str">
        <f t="shared" si="4"/>
        <v>NA</v>
      </c>
      <c r="H12" s="3078">
        <f t="shared" si="5"/>
        <v>-3.6467247630458631E-3</v>
      </c>
      <c r="I12" s="3078">
        <f t="shared" si="6"/>
        <v>-3.6467247630458631E-3</v>
      </c>
      <c r="J12" s="3078">
        <f t="shared" si="7"/>
        <v>-7.2934495260917301E-4</v>
      </c>
      <c r="K12" s="3573">
        <f t="shared" si="8"/>
        <v>-2.917379810436692E-3</v>
      </c>
      <c r="L12" s="3128" t="str">
        <f t="shared" si="9"/>
        <v>NA</v>
      </c>
      <c r="M12" s="2905" t="s">
        <v>2153</v>
      </c>
      <c r="N12" s="2905">
        <v>-3.548514672988071</v>
      </c>
      <c r="O12" s="3109">
        <f>IF(SUM(M12:N12)=0,M12,SUM(M12:N12))</f>
        <v>-3.548514672988071</v>
      </c>
      <c r="P12" s="2905">
        <v>-0.70970293459761458</v>
      </c>
      <c r="Q12" s="2906">
        <v>-2.8388117383904583</v>
      </c>
      <c r="R12" s="2906" t="s">
        <v>2153</v>
      </c>
      <c r="S12" s="3570">
        <f>IF(SUM(O12:R12)=0,Q12,SUM(O12:R12)*-44/12)</f>
        <v>26.022440935245864</v>
      </c>
      <c r="U12" s="2398"/>
    </row>
    <row r="13" spans="2:21" ht="18" customHeight="1" x14ac:dyDescent="0.2">
      <c r="B13" s="493" t="s">
        <v>994</v>
      </c>
      <c r="C13" s="504"/>
      <c r="D13" s="3589">
        <f>IF(SUM(D14,D17,D19,D21,D23)=0,"IE",SUM(D14,D17,D19,D21,D23))</f>
        <v>401.18368024608151</v>
      </c>
      <c r="E13" s="3591">
        <f t="shared" ref="E13:S13" si="11">IF(SUM(E14,E17,E19,E21,E23)=0,"IE",SUM(E14,E17,E19,E21,E23))</f>
        <v>324.99700000000001</v>
      </c>
      <c r="F13" s="3595">
        <f t="shared" si="11"/>
        <v>76.186680246081508</v>
      </c>
      <c r="G13" s="3558" t="str">
        <f t="shared" si="4"/>
        <v>NA</v>
      </c>
      <c r="H13" s="3078">
        <f t="shared" si="5"/>
        <v>-3.0128784959485722</v>
      </c>
      <c r="I13" s="3078">
        <f t="shared" si="6"/>
        <v>-3.0128784959485722</v>
      </c>
      <c r="J13" s="3078">
        <f t="shared" si="7"/>
        <v>-0.38180289627539443</v>
      </c>
      <c r="K13" s="3573">
        <f t="shared" si="8"/>
        <v>-0.31606445597959365</v>
      </c>
      <c r="L13" s="3128">
        <f t="shared" si="9"/>
        <v>0.5557881113340003</v>
      </c>
      <c r="M13" s="3078" t="str">
        <f t="shared" si="11"/>
        <v>IE</v>
      </c>
      <c r="N13" s="3078">
        <f t="shared" si="11"/>
        <v>-1208.717683138927</v>
      </c>
      <c r="O13" s="3078">
        <f t="shared" si="11"/>
        <v>-1208.717683138927</v>
      </c>
      <c r="P13" s="3078">
        <f t="shared" si="11"/>
        <v>-153.17309105637565</v>
      </c>
      <c r="Q13" s="3573">
        <f t="shared" si="11"/>
        <v>-102.72</v>
      </c>
      <c r="R13" s="3573">
        <f t="shared" si="11"/>
        <v>42.343651122777032</v>
      </c>
      <c r="S13" s="3570">
        <f t="shared" si="11"/>
        <v>5214.9794512659273</v>
      </c>
      <c r="U13" s="2019"/>
    </row>
    <row r="14" spans="2:21" ht="18" customHeight="1" x14ac:dyDescent="0.2">
      <c r="B14" s="495" t="s">
        <v>1101</v>
      </c>
      <c r="C14" s="504"/>
      <c r="D14" s="3599">
        <f>IF(SUM(D15:D16)=0,"IE",SUM(D15:D16))</f>
        <v>401.18368024608151</v>
      </c>
      <c r="E14" s="3564">
        <f t="shared" ref="E14:F14" si="12">IF(SUM(E15:E16)=0,"IE",SUM(E15:E16))</f>
        <v>324.99700000000001</v>
      </c>
      <c r="F14" s="3565">
        <f t="shared" si="12"/>
        <v>76.186680246081508</v>
      </c>
      <c r="G14" s="3558" t="str">
        <f t="shared" si="4"/>
        <v>NA</v>
      </c>
      <c r="H14" s="3078">
        <f t="shared" si="5"/>
        <v>-3.0128784959485722</v>
      </c>
      <c r="I14" s="3078">
        <f t="shared" si="6"/>
        <v>-3.0128784959485722</v>
      </c>
      <c r="J14" s="3078">
        <f t="shared" si="7"/>
        <v>-0.38180289627539443</v>
      </c>
      <c r="K14" s="3573">
        <f t="shared" si="8"/>
        <v>-0.31606445597959365</v>
      </c>
      <c r="L14" s="3128">
        <f t="shared" si="9"/>
        <v>0.5557881113340003</v>
      </c>
      <c r="M14" s="3506" t="str">
        <f>IF(SUM(M15:M16)=0,"IE",SUM(M15:M16))</f>
        <v>IE</v>
      </c>
      <c r="N14" s="3506">
        <f t="shared" ref="N14:S14" si="13">IF(SUM(N15:N16)=0,"IE",SUM(N15:N16))</f>
        <v>-1208.717683138927</v>
      </c>
      <c r="O14" s="3506">
        <f t="shared" si="13"/>
        <v>-1208.717683138927</v>
      </c>
      <c r="P14" s="3506">
        <f t="shared" si="13"/>
        <v>-153.17309105637565</v>
      </c>
      <c r="Q14" s="3601">
        <f t="shared" si="13"/>
        <v>-102.72</v>
      </c>
      <c r="R14" s="3601">
        <f t="shared" si="13"/>
        <v>42.343651122777032</v>
      </c>
      <c r="S14" s="3287">
        <f t="shared" si="13"/>
        <v>5214.9794512659273</v>
      </c>
      <c r="U14" s="2019"/>
    </row>
    <row r="15" spans="2:21" ht="18" customHeight="1" x14ac:dyDescent="0.2">
      <c r="B15" s="496"/>
      <c r="C15" s="508" t="s">
        <v>2235</v>
      </c>
      <c r="D15" s="3600">
        <f>IF(SUM(E15:F15)=0,E15,SUM(E15:F15))</f>
        <v>76.186680246081508</v>
      </c>
      <c r="E15" s="3569" t="s">
        <v>2146</v>
      </c>
      <c r="F15" s="3554">
        <v>76.186680246081508</v>
      </c>
      <c r="G15" s="3558" t="str">
        <f t="shared" si="4"/>
        <v>NA</v>
      </c>
      <c r="H15" s="3078">
        <f t="shared" si="5"/>
        <v>-7.3160909668011813</v>
      </c>
      <c r="I15" s="3078">
        <f t="shared" si="6"/>
        <v>-7.3160909668011813</v>
      </c>
      <c r="J15" s="3078">
        <f t="shared" si="7"/>
        <v>-1.1126891312571099</v>
      </c>
      <c r="K15" s="3573" t="str">
        <f t="shared" si="8"/>
        <v>NA</v>
      </c>
      <c r="L15" s="3128">
        <f t="shared" si="9"/>
        <v>0.5557881113340003</v>
      </c>
      <c r="M15" s="2905" t="s">
        <v>2153</v>
      </c>
      <c r="N15" s="2905">
        <v>-557.38868313892692</v>
      </c>
      <c r="O15" s="3109">
        <f>IF(SUM(M15:N15)=0,M15,SUM(M15:N15))</f>
        <v>-557.38868313892692</v>
      </c>
      <c r="P15" s="2905">
        <v>-84.772091056375643</v>
      </c>
      <c r="Q15" s="2906" t="s">
        <v>2146</v>
      </c>
      <c r="R15" s="2906">
        <v>42.343651122777032</v>
      </c>
      <c r="S15" s="3570">
        <f>IF(SUM(O15:R15)=0,Q15,SUM(O15:R15)*-44/12)</f>
        <v>2199.3294512659272</v>
      </c>
      <c r="U15" s="2019"/>
    </row>
    <row r="16" spans="2:21" ht="18" customHeight="1" x14ac:dyDescent="0.2">
      <c r="B16" s="494"/>
      <c r="C16" s="508" t="s">
        <v>2236</v>
      </c>
      <c r="D16" s="3600">
        <f>IF(SUM(E16:F16)=0,E16,SUM(E16:F16))</f>
        <v>324.99700000000001</v>
      </c>
      <c r="E16" s="3569">
        <v>324.99700000000001</v>
      </c>
      <c r="F16" s="3554" t="s">
        <v>2153</v>
      </c>
      <c r="G16" s="3558" t="str">
        <f t="shared" si="4"/>
        <v>NA</v>
      </c>
      <c r="H16" s="3078">
        <f t="shared" si="5"/>
        <v>-2.0041077302252024</v>
      </c>
      <c r="I16" s="3078">
        <f t="shared" si="6"/>
        <v>-2.0041077302252024</v>
      </c>
      <c r="J16" s="3078">
        <f t="shared" si="7"/>
        <v>-0.21046655815284446</v>
      </c>
      <c r="K16" s="3573">
        <f t="shared" si="8"/>
        <v>-0.31606445597959365</v>
      </c>
      <c r="L16" s="3128" t="str">
        <f t="shared" si="9"/>
        <v>NA</v>
      </c>
      <c r="M16" s="2905" t="s">
        <v>2153</v>
      </c>
      <c r="N16" s="2905">
        <v>-651.32900000000006</v>
      </c>
      <c r="O16" s="3109">
        <f>IF(SUM(M16:N16)=0,M16,SUM(M16:N16))</f>
        <v>-651.32900000000006</v>
      </c>
      <c r="P16" s="2905">
        <v>-68.400999999999996</v>
      </c>
      <c r="Q16" s="2906">
        <v>-102.72</v>
      </c>
      <c r="R16" s="2906" t="s">
        <v>2153</v>
      </c>
      <c r="S16" s="3570">
        <f>IF(SUM(O16:R16)=0,Q16,SUM(O16:R16)*-44/12)</f>
        <v>3015.65</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70.964013581269256</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70.964013581269256</v>
      </c>
    </row>
    <row r="270" spans="2:10" ht="18" customHeight="1" x14ac:dyDescent="0.2">
      <c r="B270" s="2827" t="s">
        <v>1187</v>
      </c>
      <c r="C270" s="2828"/>
      <c r="D270" s="2808"/>
      <c r="E270" s="2809"/>
      <c r="F270" s="2810"/>
      <c r="G270" s="2811"/>
      <c r="H270" s="2819" t="s">
        <v>2154</v>
      </c>
      <c r="I270" s="2815" t="s">
        <v>2154</v>
      </c>
      <c r="J270" s="3741">
        <f>J277</f>
        <v>59.957039057137308</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597.8467743248666</v>
      </c>
      <c r="E277" s="2755" t="s">
        <v>2147</v>
      </c>
      <c r="F277" s="2753" t="s">
        <v>2147</v>
      </c>
      <c r="G277" s="3735">
        <f>IF(SUM(D277)=0,"NA",J277*1000/D277)</f>
        <v>100.28830401375886</v>
      </c>
      <c r="H277" s="2778" t="str">
        <f t="shared" ref="H277:J277" si="1">H302</f>
        <v>NE</v>
      </c>
      <c r="I277" s="2777" t="str">
        <f t="shared" si="1"/>
        <v>NE</v>
      </c>
      <c r="J277" s="3734">
        <f t="shared" si="1"/>
        <v>59.957039057137308</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311.56961735960596</v>
      </c>
      <c r="E281" s="2755" t="str">
        <f t="shared" si="2"/>
        <v>NA</v>
      </c>
      <c r="F281" s="2753" t="str">
        <f t="shared" si="2"/>
        <v>NA</v>
      </c>
      <c r="G281" s="3735">
        <f t="shared" si="2"/>
        <v>117.01073297634677</v>
      </c>
      <c r="H281" s="2780" t="str">
        <f t="shared" ref="H281" si="3">H306</f>
        <v>NA</v>
      </c>
      <c r="I281" s="2758" t="str">
        <f t="shared" ref="I281:J281" si="4">I306</f>
        <v>NA</v>
      </c>
      <c r="J281" s="3744">
        <f t="shared" si="4"/>
        <v>36.456989300407386</v>
      </c>
    </row>
    <row r="282" spans="2:10" ht="18" customHeight="1" outlineLevel="1" x14ac:dyDescent="0.2">
      <c r="B282" s="2847" t="str">
        <f>B307</f>
        <v>Other Constructed Water Bodies</v>
      </c>
      <c r="C282" s="2835" t="str">
        <f t="shared" si="2"/>
        <v>Other Constructed Water Bodies</v>
      </c>
      <c r="D282" s="3729">
        <f t="shared" si="2"/>
        <v>286.27715696526059</v>
      </c>
      <c r="E282" s="2755" t="str">
        <f t="shared" si="2"/>
        <v>NA</v>
      </c>
      <c r="F282" s="2753" t="str">
        <f t="shared" si="2"/>
        <v>NA</v>
      </c>
      <c r="G282" s="3735">
        <f t="shared" si="2"/>
        <v>82.088455837157909</v>
      </c>
      <c r="H282" s="2845" t="str">
        <f t="shared" ref="H282" si="5">H307</f>
        <v>NA</v>
      </c>
      <c r="I282" s="2846" t="str">
        <f t="shared" ref="I282:J282" si="6">I307</f>
        <v>NA</v>
      </c>
      <c r="J282" s="3744">
        <f t="shared" si="6"/>
        <v>23.500049756729918</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59.957039057137308</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597.8467743248666</v>
      </c>
      <c r="E302" s="2755" t="s">
        <v>2147</v>
      </c>
      <c r="F302" s="2753" t="s">
        <v>2147</v>
      </c>
      <c r="G302" s="3735">
        <f>IF(SUM(D302)=0,"NA",J302*1000/D302)</f>
        <v>100.28830401375886</v>
      </c>
      <c r="H302" s="2778" t="s">
        <v>2154</v>
      </c>
      <c r="I302" s="2777" t="s">
        <v>2154</v>
      </c>
      <c r="J302" s="3734">
        <f t="shared" ref="J302" si="7">IF(SUM(J306:J307)=0,"NO",SUM(J306:J307))</f>
        <v>59.957039057137308</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311.56961735960596</v>
      </c>
      <c r="E306" s="2755" t="s">
        <v>2147</v>
      </c>
      <c r="F306" s="2753" t="s">
        <v>2147</v>
      </c>
      <c r="G306" s="3735">
        <f>IF(SUM(D306)=0,"NA",J306*1000/D306)</f>
        <v>117.01073297634677</v>
      </c>
      <c r="H306" s="2780" t="s">
        <v>2147</v>
      </c>
      <c r="I306" s="2758" t="s">
        <v>2147</v>
      </c>
      <c r="J306" s="3744">
        <v>36.456989300407386</v>
      </c>
    </row>
    <row r="307" spans="2:10" ht="18" customHeight="1" outlineLevel="2" x14ac:dyDescent="0.2">
      <c r="B307" s="2847" t="s">
        <v>2245</v>
      </c>
      <c r="C307" s="2835" t="s">
        <v>2245</v>
      </c>
      <c r="D307" s="3732">
        <v>286.27715696526059</v>
      </c>
      <c r="E307" s="2755" t="s">
        <v>2147</v>
      </c>
      <c r="F307" s="2753" t="s">
        <v>2147</v>
      </c>
      <c r="G307" s="3735">
        <f>IF(SUM(D307)=0,"NA",J307*1000/D307)</f>
        <v>82.088455837157909</v>
      </c>
      <c r="H307" s="2780" t="s">
        <v>2147</v>
      </c>
      <c r="I307" s="2758" t="s">
        <v>2147</v>
      </c>
      <c r="J307" s="3744">
        <v>23.500049756729918</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11.006974524131946</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53.749312152777783</v>
      </c>
      <c r="E327" s="2776" t="str">
        <f t="shared" ref="E327:J327" si="8">E331</f>
        <v>NA</v>
      </c>
      <c r="F327" s="2777" t="str">
        <f t="shared" si="8"/>
        <v>NA</v>
      </c>
      <c r="G327" s="3737">
        <f t="shared" si="8"/>
        <v>204.78354202646486</v>
      </c>
      <c r="H327" s="2778" t="str">
        <f t="shared" si="8"/>
        <v>IE</v>
      </c>
      <c r="I327" s="2777" t="str">
        <f t="shared" si="8"/>
        <v>NA</v>
      </c>
      <c r="J327" s="3734">
        <f t="shared" si="8"/>
        <v>11.006974524131946</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53.749312152777783</v>
      </c>
      <c r="E331" s="2755" t="str">
        <f t="shared" si="9"/>
        <v>NA</v>
      </c>
      <c r="F331" s="2753" t="str">
        <f t="shared" si="9"/>
        <v>NA</v>
      </c>
      <c r="G331" s="3735">
        <f t="shared" si="9"/>
        <v>204.78354202646486</v>
      </c>
      <c r="H331" s="2765" t="str">
        <f t="shared" si="9"/>
        <v>IE</v>
      </c>
      <c r="I331" s="2758" t="str">
        <f t="shared" si="9"/>
        <v>NA</v>
      </c>
      <c r="J331" s="3744">
        <f t="shared" si="9"/>
        <v>11.006974524131946</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11.006974524131946</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53.749312152777783</v>
      </c>
      <c r="E411" s="2776" t="str">
        <f t="shared" ref="E411:J411" si="10">E415</f>
        <v>NA</v>
      </c>
      <c r="F411" s="2777" t="str">
        <f t="shared" si="10"/>
        <v>NA</v>
      </c>
      <c r="G411" s="3737">
        <f t="shared" si="10"/>
        <v>204.78354202646486</v>
      </c>
      <c r="H411" s="2778" t="str">
        <f t="shared" si="10"/>
        <v>IE</v>
      </c>
      <c r="I411" s="2777" t="str">
        <f t="shared" si="10"/>
        <v>NA</v>
      </c>
      <c r="J411" s="3734">
        <f t="shared" si="10"/>
        <v>11.006974524131946</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53.749312152777783</v>
      </c>
      <c r="E415" s="2755" t="str">
        <f>E427</f>
        <v>NA</v>
      </c>
      <c r="F415" s="2753" t="str">
        <f>F427</f>
        <v>NA</v>
      </c>
      <c r="G415" s="3735">
        <f t="shared" ref="G415:J415" si="11">G427</f>
        <v>204.78354202646486</v>
      </c>
      <c r="H415" s="2780" t="str">
        <f t="shared" si="11"/>
        <v>IE</v>
      </c>
      <c r="I415" s="2758" t="str">
        <f t="shared" si="11"/>
        <v>NA</v>
      </c>
      <c r="J415" s="3744">
        <f t="shared" si="11"/>
        <v>11.006974524131946</v>
      </c>
    </row>
    <row r="416" spans="2:10" ht="18" customHeight="1" outlineLevel="2" x14ac:dyDescent="0.2">
      <c r="B416" s="2842" t="s">
        <v>1199</v>
      </c>
      <c r="C416" s="2828"/>
      <c r="D416" s="3731"/>
      <c r="E416" s="2809"/>
      <c r="F416" s="2810"/>
      <c r="G416" s="3738"/>
      <c r="H416" s="2819" t="s">
        <v>2154</v>
      </c>
      <c r="I416" s="2815" t="s">
        <v>2154</v>
      </c>
      <c r="J416" s="3741">
        <f>J423</f>
        <v>11.006974524131946</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53.749312152777783</v>
      </c>
      <c r="E423" s="2776" t="str">
        <f t="shared" ref="E423:J423" si="12">E427</f>
        <v>NA</v>
      </c>
      <c r="F423" s="2777" t="str">
        <f t="shared" si="12"/>
        <v>NA</v>
      </c>
      <c r="G423" s="3737">
        <f t="shared" si="12"/>
        <v>204.78354202646486</v>
      </c>
      <c r="H423" s="2778" t="str">
        <f t="shared" si="12"/>
        <v>IE</v>
      </c>
      <c r="I423" s="2777" t="str">
        <f t="shared" si="12"/>
        <v>NA</v>
      </c>
      <c r="J423" s="3734">
        <f t="shared" si="12"/>
        <v>11.006974524131946</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53.749312152777783</v>
      </c>
      <c r="E427" s="2755" t="s">
        <v>2147</v>
      </c>
      <c r="F427" s="2753" t="s">
        <v>2147</v>
      </c>
      <c r="G427" s="3735">
        <f>IF(SUM(D427)=0,"NA",J427*1000/D427)</f>
        <v>204.78354202646486</v>
      </c>
      <c r="H427" s="2780" t="s">
        <v>2153</v>
      </c>
      <c r="I427" s="2758" t="s">
        <v>2147</v>
      </c>
      <c r="J427" s="3744">
        <v>11.006974524131946</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657053.2914339347</v>
      </c>
      <c r="D10" s="4332">
        <f>IF(SUM(D11,D20,D28,D37,D46,D55)=0,"NO",SUM(D11,D20,D28,D37,D46,D55))</f>
        <v>52722.941736856723</v>
      </c>
      <c r="E10" s="4333">
        <f t="shared" ref="E10:E12" si="0">IF(SUM(C10)=0,"NA",G10/C10*1000/(44/28))</f>
        <v>1.5606901499641843E-3</v>
      </c>
      <c r="F10" s="4332">
        <f t="shared" ref="F10:F11" si="1">IF(SUM(D10)=0,"NA",H10/D10*1000/(44/28))</f>
        <v>7.4999999999999997E-3</v>
      </c>
      <c r="G10" s="4331">
        <f>IF(SUM(G11,G20,G28,G37,G46,G55)=0,"NO",SUM(G11,G20,G28,G37,G46,G55))</f>
        <v>1.6114317999096248</v>
      </c>
      <c r="H10" s="4334">
        <f>IF(SUM(H11,H20,H28,H37,H46,H55)=0,"NO",SUM(H11,H20,H28,H37,H46,H55))</f>
        <v>0.62137752761295417</v>
      </c>
      <c r="I10" s="4335">
        <f t="shared" ref="I10:I11" si="2">IF(SUM(G10:H10)=0,"NO",SUM(G10:H10))</f>
        <v>2.2328093275225789</v>
      </c>
    </row>
    <row r="11" spans="2:10" ht="18" customHeight="1" x14ac:dyDescent="0.2">
      <c r="B11" s="2848" t="s">
        <v>1901</v>
      </c>
      <c r="C11" s="4336">
        <f>IF(SUM(C12:C13)=0,"NO",SUM(C12:C13))</f>
        <v>131969.42290916335</v>
      </c>
      <c r="D11" s="4337">
        <f>IF(SUM(D12:D13)=0,"NO",SUM(D12:D13))</f>
        <v>18931.144973783248</v>
      </c>
      <c r="E11" s="4336">
        <f t="shared" si="0"/>
        <v>2.094042079138647E-3</v>
      </c>
      <c r="F11" s="4337">
        <f t="shared" si="1"/>
        <v>7.4999999999999997E-3</v>
      </c>
      <c r="G11" s="4336">
        <f>IF(SUM(G12:G13)=0,"NO",SUM(G12:G13))</f>
        <v>0.43426353886367847</v>
      </c>
      <c r="H11" s="4338">
        <f>IF(SUM(H12:H13)=0,"NO",SUM(H12:H13))</f>
        <v>0.22311706576244542</v>
      </c>
      <c r="I11" s="4337">
        <f t="shared" si="2"/>
        <v>0.65738060462612391</v>
      </c>
    </row>
    <row r="12" spans="2:10" ht="18" customHeight="1" x14ac:dyDescent="0.2">
      <c r="B12" s="914" t="s">
        <v>1228</v>
      </c>
      <c r="C12" s="4339">
        <f>Table4.A!E11</f>
        <v>123933.263191683</v>
      </c>
      <c r="D12" s="4340">
        <f>H12/F12*1000/(44/28)</f>
        <v>7193.3404276352676</v>
      </c>
      <c r="E12" s="4341">
        <f t="shared" si="0"/>
        <v>5.358617238051341E-4</v>
      </c>
      <c r="F12" s="4342">
        <v>7.4999999999999997E-3</v>
      </c>
      <c r="G12" s="4339">
        <v>0.10436028750822814</v>
      </c>
      <c r="H12" s="4343">
        <v>8.4778655039987078E-2</v>
      </c>
      <c r="I12" s="4344">
        <f>IF(SUM(G12:H12)=0,"NO",SUM(G12:H12))</f>
        <v>0.18913894254821523</v>
      </c>
    </row>
    <row r="13" spans="2:10" ht="18" customHeight="1" x14ac:dyDescent="0.2">
      <c r="B13" s="914" t="s">
        <v>1902</v>
      </c>
      <c r="C13" s="4345">
        <f>IF(SUM(C15:C19)=0,"NO",SUM(C15:C19))</f>
        <v>8036.1597174803546</v>
      </c>
      <c r="D13" s="4344">
        <f>IF(SUM(D15:D19)=0,"NO",SUM(D15:D19))</f>
        <v>11737.804546147981</v>
      </c>
      <c r="E13" s="4345">
        <f>IF(SUM(C13)=0,"NA",G13/C13*1000/(44/28))</f>
        <v>2.6124223517369927E-2</v>
      </c>
      <c r="F13" s="4344">
        <f>IF(SUM(D13)=0,"NA",H13/D13*1000/(44/28))</f>
        <v>7.4999999999999997E-3</v>
      </c>
      <c r="G13" s="4345">
        <f>IF(SUM(G15:G19)=0,"NO",SUM(G15:G19))</f>
        <v>0.32990325135545034</v>
      </c>
      <c r="H13" s="4346">
        <f>IF(SUM(H15:H19)=0,"NO",SUM(H15:H19))</f>
        <v>0.13833841072245834</v>
      </c>
      <c r="I13" s="4344">
        <f>IF(SUM(G13:H13)=0,"NO",SUM(G13:H13))</f>
        <v>0.46824166207790868</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62.070999999999998</v>
      </c>
      <c r="D15" s="4340">
        <f>H15/F15*1000/(44/28)</f>
        <v>113.92873811531166</v>
      </c>
      <c r="E15" s="4345">
        <f>IF(SUM(C15)=0,"NA",G15/C15*1000/(44/28))</f>
        <v>4.3679281253188554E-2</v>
      </c>
      <c r="F15" s="4342">
        <v>7.4999999999999997E-3</v>
      </c>
      <c r="G15" s="4350">
        <v>4.2604833333333338E-3</v>
      </c>
      <c r="H15" s="4351">
        <v>1.3427315563590302E-3</v>
      </c>
      <c r="I15" s="4344">
        <f>IF(SUM(G15:H15)=0,"NO",SUM(G15:H15))</f>
        <v>5.6032148896923636E-3</v>
      </c>
    </row>
    <row r="16" spans="2:10" ht="18" customHeight="1" x14ac:dyDescent="0.2">
      <c r="B16" s="528" t="s">
        <v>1230</v>
      </c>
      <c r="C16" s="4350">
        <f>Table4.A!E19</f>
        <v>7924.286717480355</v>
      </c>
      <c r="D16" s="4340">
        <f>H16/F16*1000/(44/28)</f>
        <v>11486.705251542924</v>
      </c>
      <c r="E16" s="4345">
        <f t="shared" ref="E16:E21" si="3">IF(SUM(C16)=0,"NA",G16/C16*1000/(44/28))</f>
        <v>2.5688753651273023E-2</v>
      </c>
      <c r="F16" s="4342">
        <v>7.4999999999999997E-3</v>
      </c>
      <c r="G16" s="4350">
        <v>0.31988793468878368</v>
      </c>
      <c r="H16" s="4351">
        <v>0.13537902617889874</v>
      </c>
      <c r="I16" s="4344">
        <f t="shared" ref="I16:I21" si="4">IF(SUM(G16:H16)=0,"NO",SUM(G16:H16))</f>
        <v>0.45526696086768242</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49.802</v>
      </c>
      <c r="D18" s="4340">
        <f>H18/F18*1000/(44/28)</f>
        <v>137.17055648974528</v>
      </c>
      <c r="E18" s="4345">
        <f t="shared" si="3"/>
        <v>7.3534530072420112E-2</v>
      </c>
      <c r="F18" s="4342">
        <v>7.4999999999999997E-3</v>
      </c>
      <c r="G18" s="4350">
        <v>5.7548333333333332E-3</v>
      </c>
      <c r="H18" s="4351">
        <v>1.6166529872005692E-3</v>
      </c>
      <c r="I18" s="4344">
        <f t="shared" si="4"/>
        <v>7.3714863205339024E-3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2232.0360000000001</v>
      </c>
      <c r="D20" s="4360">
        <f>D21</f>
        <v>1908.4913745142751</v>
      </c>
      <c r="E20" s="4359">
        <f t="shared" si="3"/>
        <v>1.8075619449387615E-2</v>
      </c>
      <c r="F20" s="4360">
        <f t="shared" si="5"/>
        <v>7.4999999999999997E-3</v>
      </c>
      <c r="G20" s="4359">
        <f>G21</f>
        <v>6.3399966666666668E-2</v>
      </c>
      <c r="H20" s="4361">
        <f>H21</f>
        <v>2.2492934056775382E-2</v>
      </c>
      <c r="I20" s="4360">
        <f t="shared" si="4"/>
        <v>8.5892900723442051E-2</v>
      </c>
    </row>
    <row r="21" spans="2:9" ht="18" customHeight="1" x14ac:dyDescent="0.2">
      <c r="B21" s="914" t="s">
        <v>1904</v>
      </c>
      <c r="C21" s="4345">
        <f>IF(SUM(C23:C27)=0,"NO",SUM(C23:C27))</f>
        <v>2232.0360000000001</v>
      </c>
      <c r="D21" s="4344">
        <f>IF(SUM(D23:D27)=0,"NO",SUM(D23:D27))</f>
        <v>1908.4913745142751</v>
      </c>
      <c r="E21" s="4345">
        <f t="shared" si="3"/>
        <v>1.8075619449387615E-2</v>
      </c>
      <c r="F21" s="4344">
        <f t="shared" si="5"/>
        <v>7.4999999999999997E-3</v>
      </c>
      <c r="G21" s="4345">
        <f>IF(SUM(G23:G27)=0,"NO",SUM(G23:G27))</f>
        <v>6.3399966666666668E-2</v>
      </c>
      <c r="H21" s="4346">
        <f>IF(SUM(H23:H27)=0,"NO",SUM(H23:H27))</f>
        <v>2.2492934056775382E-2</v>
      </c>
      <c r="I21" s="4344">
        <f t="shared" si="4"/>
        <v>8.5892900723442051E-2</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2232.0360000000001</v>
      </c>
      <c r="D23" s="4340">
        <f>H23/F23*1000/(44/28)</f>
        <v>1908.4913745142751</v>
      </c>
      <c r="E23" s="4345">
        <f>IF(SUM(C23)=0,"NA",G23/C23*1000/(44/28))</f>
        <v>1.8075619449387615E-2</v>
      </c>
      <c r="F23" s="4342">
        <v>7.4999999999999997E-3</v>
      </c>
      <c r="G23" s="4350">
        <v>6.3399966666666668E-2</v>
      </c>
      <c r="H23" s="4351">
        <v>2.2492934056775382E-2</v>
      </c>
      <c r="I23" s="4344">
        <f>IF(SUM(G23:H23)=0,"NO",SUM(G23:H23))</f>
        <v>8.5892900723442051E-2</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521553.76656466041</v>
      </c>
      <c r="D28" s="4337">
        <f>IF(SUM(D29:D30)=0,"NO",SUM(D29:D30))</f>
        <v>31373.395648504189</v>
      </c>
      <c r="E28" s="4336">
        <f t="shared" si="6"/>
        <v>1.3350106389720814E-3</v>
      </c>
      <c r="F28" s="4337">
        <f t="shared" si="7"/>
        <v>7.4999999999999997E-3</v>
      </c>
      <c r="G28" s="4336">
        <f>IF(SUM(G29:G30)=0,"NO",SUM(G29:G30))</f>
        <v>1.0941540141082304</v>
      </c>
      <c r="H28" s="4338">
        <f>IF(SUM(H29:H30)=0,"NO",SUM(H29:H30))</f>
        <v>0.36975787728594223</v>
      </c>
      <c r="I28" s="4360">
        <f t="shared" si="8"/>
        <v>1.4639118913941727</v>
      </c>
    </row>
    <row r="29" spans="2:9" ht="18" customHeight="1" x14ac:dyDescent="0.2">
      <c r="B29" s="914" t="s">
        <v>1239</v>
      </c>
      <c r="C29" s="4339">
        <f>Table4.C!E11</f>
        <v>509415.77670137101</v>
      </c>
      <c r="D29" s="4340">
        <f>H29/F29*1000/(44/28)</f>
        <v>24747.647484520206</v>
      </c>
      <c r="E29" s="4341">
        <f t="shared" si="6"/>
        <v>9.1609726948381823E-4</v>
      </c>
      <c r="F29" s="4342">
        <v>7.4999999999999997E-3</v>
      </c>
      <c r="G29" s="4339">
        <v>0.73334548896416407</v>
      </c>
      <c r="H29" s="4343">
        <v>0.29166870249613103</v>
      </c>
      <c r="I29" s="4344">
        <f t="shared" si="8"/>
        <v>1.025014191460295</v>
      </c>
    </row>
    <row r="30" spans="2:9" ht="18" customHeight="1" x14ac:dyDescent="0.2">
      <c r="B30" s="914" t="s">
        <v>1906</v>
      </c>
      <c r="C30" s="4345">
        <f>IF(SUM(C32:C36)=0,"NO",SUM(C32:C36))</f>
        <v>12137.989863289409</v>
      </c>
      <c r="D30" s="4344">
        <f>IF(SUM(D32:D36)=0,"NO",SUM(D32:D36))</f>
        <v>6625.7481639839825</v>
      </c>
      <c r="E30" s="4345">
        <f>IF(SUM(C30)=0,"NA",G30/C30*1000/(44/28))</f>
        <v>1.8916264363187996E-2</v>
      </c>
      <c r="F30" s="4344">
        <f>IF(SUM(D30)=0,"NA",H30/D30*1000/(44/28))</f>
        <v>7.4999999999999997E-3</v>
      </c>
      <c r="G30" s="4345">
        <f>IF(SUM(G32:G36)=0,"NO",SUM(G32:G36))</f>
        <v>0.36080852514406636</v>
      </c>
      <c r="H30" s="4346">
        <f>IF(SUM(H32:H36)=0,"NO",SUM(H32:H36))</f>
        <v>7.8089174789811228E-2</v>
      </c>
      <c r="I30" s="4344">
        <f t="shared" si="8"/>
        <v>0.43889769993387762</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12137.989863289409</v>
      </c>
      <c r="D32" s="4340">
        <f>H32/F32*1000/(44/28)</f>
        <v>6625.7481639839825</v>
      </c>
      <c r="E32" s="4345">
        <f>IF(SUM(C32)=0,"NA",G32/C32*1000/(44/28))</f>
        <v>1.8916264363187996E-2</v>
      </c>
      <c r="F32" s="4342">
        <v>7.4999999999999997E-3</v>
      </c>
      <c r="G32" s="4350">
        <v>0.36080852514406636</v>
      </c>
      <c r="H32" s="4351">
        <v>7.8089174789811228E-2</v>
      </c>
      <c r="I32" s="4344">
        <f t="shared" si="8"/>
        <v>0.43889769993387762</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1298.0659601110001</v>
      </c>
      <c r="D46" s="4337">
        <f>IF(SUM(D47:D48)=0,"NO",SUM(D47:D48))</f>
        <v>509.90974005500595</v>
      </c>
      <c r="E46" s="4336">
        <f t="shared" si="11"/>
        <v>9.6157014369847998E-3</v>
      </c>
      <c r="F46" s="4337">
        <f t="shared" si="12"/>
        <v>7.4999999999999997E-3</v>
      </c>
      <c r="G46" s="4336">
        <f>IF(SUM(G47:G48)=0,"NO",SUM(G47:G48))</f>
        <v>1.9614280271049195E-2</v>
      </c>
      <c r="H46" s="4338">
        <f>IF(SUM(H47:H48)=0,"NO",SUM(H47:H48))</f>
        <v>6.0096505077911408E-3</v>
      </c>
      <c r="I46" s="4337">
        <f t="shared" si="8"/>
        <v>2.5623930778840336E-2</v>
      </c>
    </row>
    <row r="47" spans="2:9" ht="18" customHeight="1" x14ac:dyDescent="0.2">
      <c r="B47" s="914" t="s">
        <v>1251</v>
      </c>
      <c r="C47" s="4339">
        <f>Table4.E!E11</f>
        <v>973.06896011100002</v>
      </c>
      <c r="D47" s="4340">
        <f>H47/F47*1000/(44/28)</f>
        <v>26.282034196687881</v>
      </c>
      <c r="E47" s="4341">
        <f t="shared" si="11"/>
        <v>3.9793142502071764E-4</v>
      </c>
      <c r="F47" s="4342">
        <v>7.4999999999999997E-3</v>
      </c>
      <c r="G47" s="4339">
        <v>6.0848027104919709E-4</v>
      </c>
      <c r="H47" s="4343">
        <v>3.0975254588953578E-4</v>
      </c>
      <c r="I47" s="4344">
        <f t="shared" si="8"/>
        <v>9.1823281693873286E-4</v>
      </c>
    </row>
    <row r="48" spans="2:9" ht="18" customHeight="1" x14ac:dyDescent="0.2">
      <c r="B48" s="914" t="s">
        <v>1910</v>
      </c>
      <c r="C48" s="4345">
        <f>IF(SUM(C50:C54)=0,"NO",SUM(C50:C54))</f>
        <v>324.99700000000001</v>
      </c>
      <c r="D48" s="4344">
        <f>IF(SUM(D50:D54)=0,"NO",SUM(D50:D54))</f>
        <v>483.62770585831805</v>
      </c>
      <c r="E48" s="4345">
        <f>IF(SUM(C48)=0,"NA",G48/C48*1000/(44/28))</f>
        <v>3.7214497364591051E-2</v>
      </c>
      <c r="F48" s="4344">
        <f>IF(SUM(D48)=0,"NA",H48/D48*1000/(44/28))</f>
        <v>7.4999999999999997E-3</v>
      </c>
      <c r="G48" s="4345">
        <f>IF(SUM(G50:G54)=0,"NO",SUM(G50:G54))</f>
        <v>1.9005799999999996E-2</v>
      </c>
      <c r="H48" s="4346">
        <f>IF(SUM(H50:H54)=0,"NO",SUM(H50:H54))</f>
        <v>5.699897961901605E-3</v>
      </c>
      <c r="I48" s="4344">
        <f t="shared" si="8"/>
        <v>2.4705697961901602E-2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324.99700000000001</v>
      </c>
      <c r="D50" s="4340">
        <f>H50/F50*1000/(44/28)</f>
        <v>483.62770585831805</v>
      </c>
      <c r="E50" s="4345">
        <f>IF(SUM(C50)=0,"NA",G50/C50*1000/(44/28))</f>
        <v>3.7214497364591051E-2</v>
      </c>
      <c r="F50" s="4342">
        <v>7.4999999999999997E-3</v>
      </c>
      <c r="G50" s="4350">
        <v>1.9005799999999996E-2</v>
      </c>
      <c r="H50" s="4351">
        <v>5.699897961901605E-3</v>
      </c>
      <c r="I50" s="4344">
        <f t="shared" si="8"/>
        <v>2.4705697961901602E-2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4881843.2179069193</v>
      </c>
      <c r="D10" s="3076" t="s">
        <v>1814</v>
      </c>
      <c r="E10" s="628"/>
      <c r="F10" s="628"/>
      <c r="G10" s="628"/>
      <c r="H10" s="1913">
        <f>IF(SUM(H11:H15)=0,"NO",SUM(H11:H15))</f>
        <v>350136.19765062846</v>
      </c>
      <c r="I10" s="1913">
        <f t="shared" ref="I10:K10" si="0">IF(SUM(I11:I16)=0,"NO",SUM(I11:I16))</f>
        <v>92.301478096089554</v>
      </c>
      <c r="J10" s="1913">
        <f t="shared" si="0"/>
        <v>12.556681376876513</v>
      </c>
      <c r="K10" s="3085" t="str">
        <f t="shared" si="0"/>
        <v>NO</v>
      </c>
    </row>
    <row r="11" spans="2:11" ht="18" customHeight="1" x14ac:dyDescent="0.2">
      <c r="B11" s="282" t="s">
        <v>132</v>
      </c>
      <c r="C11" s="3086">
        <f>IF(SUM(C18,'Table1.A(a)s2'!C11,'Table1.A(a)s3'!C11,'Table1.A(a)s4'!C11,'Table1.A(a)s4'!C94)=0,"NO",SUM(C18,'Table1.A(a)s2'!C11,'Table1.A(a)s3'!C11,'Table1.A(a)s4'!C11,'Table1.A(a)s4'!C94))</f>
        <v>1615817.6520450539</v>
      </c>
      <c r="D11" s="3077" t="s">
        <v>2145</v>
      </c>
      <c r="E11" s="1913">
        <f>IFERROR(H11*1000/$C11,"NA")</f>
        <v>68.078068613397733</v>
      </c>
      <c r="F11" s="1913">
        <f t="shared" ref="F11:G16" si="1">IFERROR(I11*1000000/$C11,"NA")</f>
        <v>16.62573456651289</v>
      </c>
      <c r="G11" s="1913">
        <f t="shared" si="1"/>
        <v>5.01458611497051</v>
      </c>
      <c r="H11" s="1913">
        <f>IF(SUM(H18,'Table1.A(a)s2'!H11,'Table1.A(a)s3'!H11,'Table1.A(a)s4'!H11,'Table1.A(a)s4'!H94)=0,"NO",SUM(H18,'Table1.A(a)s2'!H11,'Table1.A(a)s3'!H11,'Table1.A(a)s4'!H11,'Table1.A(a)s4'!H94))</f>
        <v>110001.74498266239</v>
      </c>
      <c r="I11" s="1913">
        <f>IF(SUM(I18,'Table1.A(a)s2'!I11,'Table1.A(a)s3'!I11,'Table1.A(a)s4'!I11,'Table1.A(a)s4'!I94)=0,"NO",SUM(I18,'Table1.A(a)s2'!I11,'Table1.A(a)s3'!I11,'Table1.A(a)s4'!I11,'Table1.A(a)s4'!I94))</f>
        <v>26.864155390787147</v>
      </c>
      <c r="J11" s="1913">
        <f>IF(SUM(J18,'Table1.A(a)s2'!J11,'Table1.A(a)s3'!J11,'Table1.A(a)s4'!J11,'Table1.A(a)s4'!J94)=0,"NO",SUM(J18,'Table1.A(a)s2'!J11,'Table1.A(a)s3'!J11,'Table1.A(a)s4'!J11,'Table1.A(a)s4'!J94))</f>
        <v>8.1026567622693779</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2083880.8036104564</v>
      </c>
      <c r="D12" s="3077" t="s">
        <v>1814</v>
      </c>
      <c r="E12" s="1913">
        <f t="shared" ref="E12:E16" si="2">IFERROR(H12*1000/$C12,"NA")</f>
        <v>91.117994387267032</v>
      </c>
      <c r="F12" s="1913">
        <f t="shared" si="1"/>
        <v>0.68651786606900833</v>
      </c>
      <c r="G12" s="1913">
        <f t="shared" si="1"/>
        <v>1.3058211197676608</v>
      </c>
      <c r="H12" s="1913">
        <f>IF(SUM(H19,'Table1.A(a)s2'!H12,'Table1.A(a)s3'!H12,'Table1.A(a)s4'!H12,'Table1.A(a)s4'!H95)=0,"NO",SUM(H19,'Table1.A(a)s2'!H12,'Table1.A(a)s3'!H12,'Table1.A(a)s4'!H12,'Table1.A(a)s4'!H95))</f>
        <v>189879.03936711108</v>
      </c>
      <c r="I12" s="1913">
        <f>IF(SUM(I19,'Table1.A(a)s2'!I12,'Table1.A(a)s3'!I12,'Table1.A(a)s4'!I12,'Table1.A(a)s4'!I95)=0,"NO",SUM(I19,'Table1.A(a)s2'!I12,'Table1.A(a)s3'!I12,'Table1.A(a)s4'!I12,'Table1.A(a)s4'!I95))</f>
        <v>1.4306214024368209</v>
      </c>
      <c r="J12" s="1913">
        <f>IF(SUM(J19,'Table1.A(a)s2'!J12,'Table1.A(a)s3'!J12,'Table1.A(a)s4'!J12,'Table1.A(a)s4'!J95)=0,"NO",SUM(J19,'Table1.A(a)s2'!J12,'Table1.A(a)s3'!J12,'Table1.A(a)s4'!J12,'Table1.A(a)s4'!J95))</f>
        <v>2.7211755644329392</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963910.3153895943</v>
      </c>
      <c r="D13" s="3077" t="s">
        <v>2145</v>
      </c>
      <c r="E13" s="1913">
        <f t="shared" si="2"/>
        <v>51.593534034744145</v>
      </c>
      <c r="F13" s="1913">
        <f t="shared" si="1"/>
        <v>9.7961451638626507</v>
      </c>
      <c r="G13" s="1913">
        <f t="shared" si="1"/>
        <v>0.83647319992197955</v>
      </c>
      <c r="H13" s="1913">
        <f>IF(SUM(H20,'Table1.A(a)s2'!H13,'Table1.A(a)s3'!H13,'Table1.A(a)s4'!H13,'Table1.A(a)s4'!H96)=0,"NO",SUM(H20,'Table1.A(a)s2'!H13,'Table1.A(a)s3'!H13,'Table1.A(a)s4'!H13,'Table1.A(a)s4'!H96))</f>
        <v>49731.539663493997</v>
      </c>
      <c r="I13" s="1913">
        <f>IF(SUM(I20,'Table1.A(a)s2'!I13,'Table1.A(a)s3'!I13,'Table1.A(a)s4'!I13,'Table1.A(a)s4'!I96)=0,"NO",SUM(I20,'Table1.A(a)s2'!I13,'Table1.A(a)s3'!I13,'Table1.A(a)s4'!I13,'Table1.A(a)s4'!I96))</f>
        <v>9.4426053745010954</v>
      </c>
      <c r="J13" s="1913">
        <f>IF(SUM(J20,'Table1.A(a)s2'!J13,'Table1.A(a)s3'!J13,'Table1.A(a)s4'!J13,'Table1.A(a)s4'!J96)=0,"NO",SUM(J20,'Table1.A(a)s2'!J13,'Table1.A(a)s3'!J13,'Table1.A(a)s4'!J13,'Table1.A(a)s4'!J96))</f>
        <v>0.8062851459517385</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5825.5612191128075</v>
      </c>
      <c r="D14" s="3077" t="s">
        <v>2145</v>
      </c>
      <c r="E14" s="1913">
        <f t="shared" si="2"/>
        <v>89.926724251427771</v>
      </c>
      <c r="F14" s="1913">
        <f t="shared" si="1"/>
        <v>31.859591379981342</v>
      </c>
      <c r="G14" s="1913">
        <f t="shared" si="1"/>
        <v>0.99561223062441695</v>
      </c>
      <c r="H14" s="1913">
        <f>IF(SUM(H21,'Table1.A(a)s2'!H14,'Table1.A(a)s3'!H14,'Table1.A(a)s4'!H14,'Table1.A(a)s4'!H97)=0,"NO",SUM(H21,'Table1.A(a)s2'!H14,'Table1.A(a)s3'!H14,'Table1.A(a)s4'!H14,'Table1.A(a)s4'!H97))</f>
        <v>523.87363736096881</v>
      </c>
      <c r="I14" s="1913">
        <f>IF(SUM(I21,'Table1.A(a)s2'!I14,'Table1.A(a)s3'!I14,'Table1.A(a)s4'!I14,'Table1.A(a)s4'!I97)=0,"NO",SUM(I21,'Table1.A(a)s2'!I14,'Table1.A(a)s3'!I14,'Table1.A(a)s4'!I14,'Table1.A(a)s4'!I97))</f>
        <v>0.18559999999999999</v>
      </c>
      <c r="J14" s="1913">
        <f>IF(SUM(J21,'Table1.A(a)s2'!J14,'Table1.A(a)s3'!J14,'Table1.A(a)s4'!J14,'Table1.A(a)s4'!J97)=0,"NO",SUM(J21,'Table1.A(a)s2'!J14,'Table1.A(a)s3'!J14,'Table1.A(a)s4'!J14,'Table1.A(a)s4'!J97))</f>
        <v>5.7999999999999996E-3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212408.88564270188</v>
      </c>
      <c r="D16" s="3079" t="s">
        <v>2145</v>
      </c>
      <c r="E16" s="2880">
        <f t="shared" si="2"/>
        <v>87.083255620769819</v>
      </c>
      <c r="F16" s="1913">
        <f t="shared" si="1"/>
        <v>256.00857404730175</v>
      </c>
      <c r="G16" s="1913">
        <f t="shared" si="1"/>
        <v>4.3348652832315944</v>
      </c>
      <c r="H16" s="2880">
        <f>IF(SUM(H23,'Table1.A(a)s2'!H16,'Table1.A(a)s3'!H15,'Table1.A(a)s4'!H16,'Table1.A(a)s4'!H99)=0,"NO",SUM(H23,'Table1.A(a)s2'!H16,'Table1.A(a)s3'!H15,'Table1.A(a)s4'!H16,'Table1.A(a)s4'!H99))</f>
        <v>18497.257284546271</v>
      </c>
      <c r="I16" s="2880">
        <f>IF(SUM(I23,'Table1.A(a)s2'!I16,'Table1.A(a)s3'!I15,'Table1.A(a)s4'!I16,'Table1.A(a)s4'!I99)=0,"NO",SUM(I23,'Table1.A(a)s2'!I16,'Table1.A(a)s3'!I15,'Table1.A(a)s4'!I16,'Table1.A(a)s4'!I99))</f>
        <v>54.378495928364494</v>
      </c>
      <c r="J16" s="2880">
        <f>IF(SUM(J23,'Table1.A(a)s2'!J16,'Table1.A(a)s3'!J15,'Table1.A(a)s4'!J16,'Table1.A(a)s4'!J99)=0,"NO",SUM(J23,'Table1.A(a)s2'!J16,'Table1.A(a)s3'!J15,'Table1.A(a)s4'!J16,'Table1.A(a)s4'!J99))</f>
        <v>0.92076390422245824</v>
      </c>
      <c r="K16" s="3066" t="str">
        <f>IF(SUM(K23,'Table1.A(a)s2'!K16,'Table1.A(a)s3'!K15,'Table1.A(a)s4'!K16,'Table1.A(a)s4'!K99)=0,"NO",SUM(K23,'Table1.A(a)s2'!K16,'Table1.A(a)s3'!K15,'Table1.A(a)s4'!K16,'Table1.A(a)s4'!K99))</f>
        <v>NO</v>
      </c>
    </row>
    <row r="17" spans="2:12" ht="18" customHeight="1" x14ac:dyDescent="0.2">
      <c r="B17" s="2184" t="s">
        <v>76</v>
      </c>
      <c r="C17" s="3067">
        <f>IF(SUM(C18:C23)=0,"NO",SUM(C18:C23))</f>
        <v>2577599.4318695911</v>
      </c>
      <c r="D17" s="3080" t="s">
        <v>1814</v>
      </c>
      <c r="E17" s="3081"/>
      <c r="F17" s="3081"/>
      <c r="G17" s="3081"/>
      <c r="H17" s="3067">
        <f>IF(SUM(H18:H22)=0,"NO",SUM(H18:H22))</f>
        <v>212910.90226205482</v>
      </c>
      <c r="I17" s="3067">
        <f t="shared" ref="I17" si="3">IF(SUM(I18:I23)=0,"NO",SUM(I18:I23))</f>
        <v>12.464917436025358</v>
      </c>
      <c r="J17" s="3067">
        <f t="shared" ref="J17" si="4">IF(SUM(J18:J23)=0,"NO",SUM(J18:J23))</f>
        <v>3.4547141470598972</v>
      </c>
      <c r="K17" s="3068" t="str">
        <f t="shared" ref="K17" si="5">IF(SUM(K18:K23)=0,"NO",SUM(K18:K23))</f>
        <v>NO</v>
      </c>
    </row>
    <row r="18" spans="2:12" ht="18" customHeight="1" x14ac:dyDescent="0.2">
      <c r="B18" s="282" t="s">
        <v>132</v>
      </c>
      <c r="C18" s="3086">
        <f>IF(SUM(C25,C54,C61)=0,"NO",SUM(C25,C54,C61))</f>
        <v>167379.35315949228</v>
      </c>
      <c r="D18" s="3077" t="s">
        <v>1814</v>
      </c>
      <c r="E18" s="1913">
        <f>IFERROR(H18*1000/$C18,"NA")</f>
        <v>67.627492832362222</v>
      </c>
      <c r="F18" s="1913">
        <f t="shared" ref="F18:G23" si="6">IFERROR(I18*1000000/$C18,"NA")</f>
        <v>2.3098716845390861</v>
      </c>
      <c r="G18" s="1913">
        <f t="shared" si="6"/>
        <v>1.534968517505745</v>
      </c>
      <c r="H18" s="3086">
        <f>IF(SUM(H25,H54,H61)=0,"NO",SUM(H25,H54,H61))</f>
        <v>11319.446006078988</v>
      </c>
      <c r="I18" s="3086">
        <f>IF(SUM(I25,I54,I61)=0,"NO",SUM(I25,I54,I61))</f>
        <v>0.38662482843957907</v>
      </c>
      <c r="J18" s="3086">
        <f>IF(SUM(J25,J54,J61)=0,"NO",SUM(J25,J54,J61))</f>
        <v>0.25692203758029641</v>
      </c>
      <c r="K18" s="3069" t="str">
        <f>IF(SUM(K25,K54,K61)=0,"NO",SUM(K25,K54,K61))</f>
        <v>NO</v>
      </c>
      <c r="L18" s="19"/>
    </row>
    <row r="19" spans="2:12" ht="18" customHeight="1" x14ac:dyDescent="0.2">
      <c r="B19" s="282" t="s">
        <v>133</v>
      </c>
      <c r="C19" s="3086">
        <f t="shared" ref="C19:C23" si="7">IF(SUM(C26,C55,C62)=0,"NO",SUM(C26,C55,C62))</f>
        <v>1952538.2033129369</v>
      </c>
      <c r="D19" s="3077" t="s">
        <v>1814</v>
      </c>
      <c r="E19" s="1913">
        <f t="shared" ref="E19:E23" si="8">IFERROR(H19*1000/$C19,"NA")</f>
        <v>91.774552011178969</v>
      </c>
      <c r="F19" s="1913">
        <f t="shared" si="6"/>
        <v>0.6687753186881884</v>
      </c>
      <c r="G19" s="1913">
        <f t="shared" si="6"/>
        <v>1.3462901588581146</v>
      </c>
      <c r="H19" s="3086">
        <f t="shared" ref="H19:K23" si="9">IF(SUM(H26,H55,H62)=0,"NO",SUM(H26,H55,H62))</f>
        <v>179193.31889375707</v>
      </c>
      <c r="I19" s="3086">
        <f t="shared" si="9"/>
        <v>1.3058093591714723</v>
      </c>
      <c r="J19" s="3086">
        <f t="shared" si="9"/>
        <v>2.6286829679147119</v>
      </c>
      <c r="K19" s="3069" t="str">
        <f t="shared" si="9"/>
        <v>NO</v>
      </c>
      <c r="L19" s="19"/>
    </row>
    <row r="20" spans="2:12" ht="18" customHeight="1" x14ac:dyDescent="0.2">
      <c r="B20" s="282" t="s">
        <v>134</v>
      </c>
      <c r="C20" s="3086">
        <f t="shared" si="7"/>
        <v>433137.17273572681</v>
      </c>
      <c r="D20" s="3077" t="s">
        <v>1814</v>
      </c>
      <c r="E20" s="1913">
        <f t="shared" si="8"/>
        <v>51.711417934301139</v>
      </c>
      <c r="F20" s="1913">
        <f t="shared" si="6"/>
        <v>20.081543684307931</v>
      </c>
      <c r="G20" s="1913">
        <f t="shared" si="6"/>
        <v>1.0671552053774072</v>
      </c>
      <c r="H20" s="3086">
        <f t="shared" si="9"/>
        <v>22398.137362218753</v>
      </c>
      <c r="I20" s="3086">
        <f t="shared" si="9"/>
        <v>8.6980630555901293</v>
      </c>
      <c r="J20" s="3086">
        <f t="shared" si="9"/>
        <v>0.46222458852738402</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24544.702661435036</v>
      </c>
      <c r="D23" s="3077" t="s">
        <v>1814</v>
      </c>
      <c r="E23" s="1913">
        <f t="shared" si="8"/>
        <v>78.822346291565779</v>
      </c>
      <c r="F23" s="1913">
        <f t="shared" si="6"/>
        <v>84.516004183808462</v>
      </c>
      <c r="G23" s="1913">
        <f t="shared" si="6"/>
        <v>4.354689258690561</v>
      </c>
      <c r="H23" s="3086">
        <f t="shared" si="9"/>
        <v>1934.6710528031485</v>
      </c>
      <c r="I23" s="3086">
        <f t="shared" si="9"/>
        <v>2.0744201928241783</v>
      </c>
      <c r="J23" s="3086">
        <f t="shared" si="9"/>
        <v>0.10688455303750477</v>
      </c>
      <c r="K23" s="3069" t="str">
        <f t="shared" si="9"/>
        <v>NO</v>
      </c>
      <c r="L23" s="19"/>
    </row>
    <row r="24" spans="2:12" ht="18" customHeight="1" x14ac:dyDescent="0.2">
      <c r="B24" s="1237" t="s">
        <v>138</v>
      </c>
      <c r="C24" s="3086">
        <f>IF(SUM(C25:C30)=0,"NO",SUM(C25:C30))</f>
        <v>2259970.6318668076</v>
      </c>
      <c r="D24" s="3077" t="s">
        <v>1814</v>
      </c>
      <c r="E24" s="628"/>
      <c r="F24" s="628"/>
      <c r="G24" s="628"/>
      <c r="H24" s="3086">
        <f>IF(SUM(H25:H29)=0,"NO",SUM(H25:H29))</f>
        <v>193871.65983439214</v>
      </c>
      <c r="I24" s="3086">
        <f t="shared" ref="I24" si="10">IF(SUM(I25:I30)=0,"NO",SUM(I25:I30))</f>
        <v>5.9812877057626475</v>
      </c>
      <c r="J24" s="3086">
        <f t="shared" ref="J24" si="11">IF(SUM(J25:J30)=0,"NO",SUM(J25:J30))</f>
        <v>3.0598204389403669</v>
      </c>
      <c r="K24" s="3069" t="str">
        <f t="shared" ref="K24" si="12">IF(SUM(K25:K30)=0,"NO",SUM(K25:K30))</f>
        <v>NO</v>
      </c>
      <c r="L24" s="19"/>
    </row>
    <row r="25" spans="2:12" ht="18" customHeight="1" x14ac:dyDescent="0.2">
      <c r="B25" s="160" t="s">
        <v>132</v>
      </c>
      <c r="C25" s="3074">
        <f>IF(SUM(C33,C40,C47)=0,"NO",SUM(C33,C40,C47))</f>
        <v>34981.570706643688</v>
      </c>
      <c r="D25" s="3082" t="s">
        <v>1814</v>
      </c>
      <c r="E25" s="3086">
        <f>IFERROR(H25*1000/$C25,"NA")</f>
        <v>69.913251374134589</v>
      </c>
      <c r="F25" s="1913">
        <f t="shared" ref="F25:G30" si="13">IFERROR(I25*1000000/$C25,"NA")</f>
        <v>3.5550072555034018</v>
      </c>
      <c r="G25" s="1913">
        <f t="shared" si="13"/>
        <v>0.3729987386392431</v>
      </c>
      <c r="H25" s="3086">
        <f>IF(SUM(H33,H40,H47)=0,"NO",SUM(H33,H40,H47))</f>
        <v>2445.6753462756428</v>
      </c>
      <c r="I25" s="3086">
        <f>IF(SUM(I33,I40,I47)=0,"NO",SUM(I33,I40,I47))</f>
        <v>0.12435973767102357</v>
      </c>
      <c r="J25" s="3086">
        <f>IF(SUM(J33,J40,J47)=0,"NO",SUM(J33,J40,J47))</f>
        <v>1.3048081749197592E-2</v>
      </c>
      <c r="K25" s="3069" t="str">
        <f>IF(SUM(K33,K40,K47)=0,"NO",SUM(K33,K40,K47))</f>
        <v>NO</v>
      </c>
      <c r="L25" s="19"/>
    </row>
    <row r="26" spans="2:12" ht="18" customHeight="1" x14ac:dyDescent="0.2">
      <c r="B26" s="160" t="s">
        <v>133</v>
      </c>
      <c r="C26" s="3086">
        <f t="shared" ref="C26:C30" si="14">IF(SUM(C34,C41,C48)=0,"NO",SUM(C34,C41,C48))</f>
        <v>1932038.8021265387</v>
      </c>
      <c r="D26" s="3082" t="s">
        <v>1814</v>
      </c>
      <c r="E26" s="3086">
        <f t="shared" ref="E26:E30" si="15">IFERROR(H26*1000/$C26,"NA")</f>
        <v>91.866718427236435</v>
      </c>
      <c r="F26" s="1913">
        <f t="shared" si="13"/>
        <v>0.66570915075329917</v>
      </c>
      <c r="G26" s="1913">
        <f t="shared" si="13"/>
        <v>1.3528018910431101</v>
      </c>
      <c r="H26" s="3086">
        <f t="shared" ref="H26:K30" si="16">IF(SUM(H34,H41,H48)=0,"NO",SUM(H34,H41,H48))</f>
        <v>177490.0646254539</v>
      </c>
      <c r="I26" s="3086">
        <f t="shared" si="16"/>
        <v>1.2861759101860795</v>
      </c>
      <c r="J26" s="3086">
        <f t="shared" si="16"/>
        <v>2.6136657450854468</v>
      </c>
      <c r="K26" s="3069" t="str">
        <f t="shared" si="16"/>
        <v>NO</v>
      </c>
      <c r="L26" s="19"/>
    </row>
    <row r="27" spans="2:12" ht="18" customHeight="1" x14ac:dyDescent="0.2">
      <c r="B27" s="160" t="s">
        <v>134</v>
      </c>
      <c r="C27" s="3086">
        <f t="shared" si="14"/>
        <v>268547.76503518858</v>
      </c>
      <c r="D27" s="3082" t="s">
        <v>1814</v>
      </c>
      <c r="E27" s="3086">
        <f t="shared" si="15"/>
        <v>51.893635610173618</v>
      </c>
      <c r="F27" s="1913">
        <f t="shared" si="13"/>
        <v>9.2975768088975155</v>
      </c>
      <c r="G27" s="1913">
        <f t="shared" si="13"/>
        <v>1.216663753680314</v>
      </c>
      <c r="H27" s="3086">
        <f t="shared" si="16"/>
        <v>13935.9198626626</v>
      </c>
      <c r="I27" s="3086">
        <f t="shared" si="16"/>
        <v>2.4968434722724284</v>
      </c>
      <c r="J27" s="3086">
        <f t="shared" si="16"/>
        <v>0.32673233185017148</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24402.493998436868</v>
      </c>
      <c r="D30" s="3082" t="s">
        <v>1814</v>
      </c>
      <c r="E30" s="3086">
        <f t="shared" si="15"/>
        <v>78.884775797397225</v>
      </c>
      <c r="F30" s="1913">
        <f t="shared" si="13"/>
        <v>84.987566671093646</v>
      </c>
      <c r="G30" s="1913">
        <f t="shared" si="13"/>
        <v>4.3591560871755473</v>
      </c>
      <c r="H30" s="3086">
        <f t="shared" si="16"/>
        <v>1924.9852679640237</v>
      </c>
      <c r="I30" s="3086">
        <f t="shared" si="16"/>
        <v>2.0739085856331161</v>
      </c>
      <c r="J30" s="3086">
        <f t="shared" si="16"/>
        <v>0.10637428025555082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2259970.6318668076</v>
      </c>
      <c r="D32" s="3077" t="s">
        <v>1814</v>
      </c>
      <c r="E32" s="1914"/>
      <c r="F32" s="1914"/>
      <c r="G32" s="1914"/>
      <c r="H32" s="3086">
        <f>IF(SUM(H33:H37)=0,"NO",SUM(H33:H37))</f>
        <v>193871.65983439214</v>
      </c>
      <c r="I32" s="3086">
        <f t="shared" ref="I32" si="17">IF(SUM(I33:I38)=0,"NO",SUM(I33:I38))</f>
        <v>5.9812877057626475</v>
      </c>
      <c r="J32" s="3086">
        <f t="shared" ref="J32" si="18">IF(SUM(J33:J38)=0,"NO",SUM(J33:J38))</f>
        <v>3.0598204389403669</v>
      </c>
      <c r="K32" s="3069" t="str">
        <f t="shared" ref="K32" si="19">IF(SUM(K33:K38)=0,"NO",SUM(K33:K38))</f>
        <v>NO</v>
      </c>
      <c r="L32" s="19"/>
    </row>
    <row r="33" spans="2:12" ht="18" customHeight="1" x14ac:dyDescent="0.2">
      <c r="B33" s="160" t="s">
        <v>132</v>
      </c>
      <c r="C33" s="3033">
        <v>34981.570706643688</v>
      </c>
      <c r="D33" s="3077" t="s">
        <v>1814</v>
      </c>
      <c r="E33" s="1913">
        <f>IFERROR(H33*1000/$C33,"NA")</f>
        <v>69.913251374134589</v>
      </c>
      <c r="F33" s="1913">
        <f t="shared" ref="F33:G38" si="20">IFERROR(I33*1000000/$C33,"NA")</f>
        <v>3.5550072555034018</v>
      </c>
      <c r="G33" s="1913">
        <f t="shared" si="20"/>
        <v>0.3729987386392431</v>
      </c>
      <c r="H33" s="3033">
        <v>2445.6753462756428</v>
      </c>
      <c r="I33" s="3033">
        <v>0.12435973767102357</v>
      </c>
      <c r="J33" s="3033">
        <v>1.3048081749197592E-2</v>
      </c>
      <c r="K33" s="3072" t="s">
        <v>2146</v>
      </c>
      <c r="L33" s="19"/>
    </row>
    <row r="34" spans="2:12" ht="18" customHeight="1" x14ac:dyDescent="0.2">
      <c r="B34" s="160" t="s">
        <v>133</v>
      </c>
      <c r="C34" s="3033">
        <v>1932038.8021265387</v>
      </c>
      <c r="D34" s="3077" t="s">
        <v>1814</v>
      </c>
      <c r="E34" s="1913">
        <f t="shared" ref="E34:E38" si="21">IFERROR(H34*1000/$C34,"NA")</f>
        <v>91.866718427236435</v>
      </c>
      <c r="F34" s="1913">
        <f t="shared" si="20"/>
        <v>0.66570915075329917</v>
      </c>
      <c r="G34" s="1913">
        <f t="shared" si="20"/>
        <v>1.3528018910431101</v>
      </c>
      <c r="H34" s="3033">
        <v>177490.0646254539</v>
      </c>
      <c r="I34" s="3033">
        <v>1.2861759101860795</v>
      </c>
      <c r="J34" s="3033">
        <v>2.6136657450854468</v>
      </c>
      <c r="K34" s="3072" t="s">
        <v>2146</v>
      </c>
      <c r="L34" s="19"/>
    </row>
    <row r="35" spans="2:12" ht="18" customHeight="1" x14ac:dyDescent="0.2">
      <c r="B35" s="160" t="s">
        <v>134</v>
      </c>
      <c r="C35" s="3033">
        <v>268547.76503518858</v>
      </c>
      <c r="D35" s="3077" t="s">
        <v>1814</v>
      </c>
      <c r="E35" s="1913">
        <f t="shared" si="21"/>
        <v>51.893635610173618</v>
      </c>
      <c r="F35" s="1913">
        <f t="shared" si="20"/>
        <v>9.2975768088975155</v>
      </c>
      <c r="G35" s="1913">
        <f t="shared" si="20"/>
        <v>1.216663753680314</v>
      </c>
      <c r="H35" s="3033">
        <v>13935.9198626626</v>
      </c>
      <c r="I35" s="3033">
        <v>2.4968434722724284</v>
      </c>
      <c r="J35" s="3033">
        <v>0.32673233185017148</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24402.493998436868</v>
      </c>
      <c r="D38" s="3077" t="s">
        <v>1814</v>
      </c>
      <c r="E38" s="1913">
        <f t="shared" si="21"/>
        <v>78.884775797397225</v>
      </c>
      <c r="F38" s="1913">
        <f t="shared" si="20"/>
        <v>84.987566671093646</v>
      </c>
      <c r="G38" s="1913">
        <f t="shared" si="20"/>
        <v>4.3591560871755473</v>
      </c>
      <c r="H38" s="3033">
        <v>1924.9852679640237</v>
      </c>
      <c r="I38" s="3033">
        <v>2.0739085856331161</v>
      </c>
      <c r="J38" s="3033">
        <v>0.10637428025555082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89709.499999999913</v>
      </c>
      <c r="D53" s="3077" t="s">
        <v>1814</v>
      </c>
      <c r="E53" s="628"/>
      <c r="F53" s="628"/>
      <c r="G53" s="628"/>
      <c r="H53" s="3086">
        <f>IF(SUM(H54:H58)=0,"NO",SUM(H54:H58))</f>
        <v>5521.2655108613108</v>
      </c>
      <c r="I53" s="3086">
        <f t="shared" ref="I53:K53" si="28">IF(SUM(I54:I59)=0,"NO",SUM(I54:I59))</f>
        <v>6.7972735653679589E-2</v>
      </c>
      <c r="J53" s="3086">
        <f t="shared" si="28"/>
        <v>4.5743816692640653E-2</v>
      </c>
      <c r="K53" s="3069" t="str">
        <f t="shared" si="28"/>
        <v>NO</v>
      </c>
      <c r="L53" s="19"/>
    </row>
    <row r="54" spans="2:12" ht="18" customHeight="1" x14ac:dyDescent="0.2">
      <c r="B54" s="160" t="s">
        <v>132</v>
      </c>
      <c r="C54" s="3033">
        <v>67009.499999999927</v>
      </c>
      <c r="D54" s="3077" t="s">
        <v>1814</v>
      </c>
      <c r="E54" s="1913">
        <f>IFERROR(H54*1000/$C54,"NA")</f>
        <v>64.97906960296676</v>
      </c>
      <c r="F54" s="1913">
        <f t="shared" ref="F54:G59" si="29">IFERROR(I54*1000000/$C54,"NA")</f>
        <v>0.66606986145177005</v>
      </c>
      <c r="G54" s="1913">
        <f t="shared" si="29"/>
        <v>0.53879780088040119</v>
      </c>
      <c r="H54" s="3033">
        <v>4354.2149645599966</v>
      </c>
      <c r="I54" s="3033">
        <v>4.4633008380952334E-2</v>
      </c>
      <c r="J54" s="3033">
        <v>3.6104571238095205E-2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22699.999999999978</v>
      </c>
      <c r="D56" s="3077" t="s">
        <v>1814</v>
      </c>
      <c r="E56" s="1913">
        <f t="shared" si="30"/>
        <v>51.411918339265</v>
      </c>
      <c r="F56" s="1913">
        <f t="shared" si="29"/>
        <v>1.0281818181818181</v>
      </c>
      <c r="G56" s="1913">
        <f t="shared" si="29"/>
        <v>0.42463636363636365</v>
      </c>
      <c r="H56" s="3033">
        <v>1167.0505463013144</v>
      </c>
      <c r="I56" s="3033">
        <v>2.3339727272727248E-2</v>
      </c>
      <c r="J56" s="3033">
        <v>9.6392454545454458E-3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227919.30000278333</v>
      </c>
      <c r="D60" s="3077" t="s">
        <v>1814</v>
      </c>
      <c r="E60" s="628"/>
      <c r="F60" s="628"/>
      <c r="G60" s="628"/>
      <c r="H60" s="3086">
        <f>IF(SUM(H61:H65)=0,"NO",SUM(H61:H65))</f>
        <v>13517.976916801352</v>
      </c>
      <c r="I60" s="3086">
        <f t="shared" ref="I60:K60" si="31">IF(SUM(I61:I66)=0,"NO",SUM(I61:I66))</f>
        <v>6.4156569946090318</v>
      </c>
      <c r="J60" s="3086">
        <f t="shared" si="31"/>
        <v>0.34914989142688985</v>
      </c>
      <c r="K60" s="3069" t="str">
        <f t="shared" si="31"/>
        <v>NO</v>
      </c>
      <c r="L60" s="19"/>
    </row>
    <row r="61" spans="2:12" ht="18" customHeight="1" x14ac:dyDescent="0.2">
      <c r="B61" s="160" t="s">
        <v>132</v>
      </c>
      <c r="C61" s="3074">
        <f>IF(SUM(C69,C76,C83)=0,"NO",SUM(C69,C76,C83))</f>
        <v>65388.282452848667</v>
      </c>
      <c r="D61" s="3077" t="s">
        <v>1814</v>
      </c>
      <c r="E61" s="1913">
        <f>IFERROR(H61*1000/$C61,"NA")</f>
        <v>69.118740020467584</v>
      </c>
      <c r="F61" s="1913">
        <f t="shared" ref="F61:G66" si="32">IFERROR(I61*1000000/$C61,"NA")</f>
        <v>3.328304005301518</v>
      </c>
      <c r="G61" s="1913">
        <f t="shared" si="32"/>
        <v>3.1774712043067597</v>
      </c>
      <c r="H61" s="3074">
        <f>IF(SUM(H69,H76,H83)=0,"NO",SUM(H69,H76,H83))</f>
        <v>4519.555695243349</v>
      </c>
      <c r="I61" s="3074">
        <f>IF(SUM(I69,I76,I83)=0,"NO",SUM(I69,I76,I83))</f>
        <v>0.21763208238760318</v>
      </c>
      <c r="J61" s="3074">
        <f>IF(SUM(J69,J76,J83)=0,"NO",SUM(J69,J76,J83))</f>
        <v>0.20776938459300359</v>
      </c>
      <c r="K61" s="3088" t="str">
        <f>IF(SUM(K69,K76,K83)=0,"NO",SUM(K69,K76,K83))</f>
        <v>NO</v>
      </c>
    </row>
    <row r="62" spans="2:12" ht="18" customHeight="1" x14ac:dyDescent="0.2">
      <c r="B62" s="160" t="s">
        <v>133</v>
      </c>
      <c r="C62" s="3074">
        <f t="shared" ref="C62:C66" si="33">IF(SUM(C70,C77,C84)=0,"NO",SUM(C70,C77,C84))</f>
        <v>20499.401186398267</v>
      </c>
      <c r="D62" s="3077" t="s">
        <v>1814</v>
      </c>
      <c r="E62" s="1913">
        <f t="shared" ref="E62:E66" si="34">IFERROR(H62*1000/$C62,"NA")</f>
        <v>83.088001098944403</v>
      </c>
      <c r="F62" s="1913">
        <f t="shared" si="32"/>
        <v>0.95775719528919434</v>
      </c>
      <c r="G62" s="1913">
        <f t="shared" si="32"/>
        <v>0.73256885372970493</v>
      </c>
      <c r="H62" s="3074">
        <f t="shared" ref="H62:K66" si="35">IF(SUM(H70,H77,H84)=0,"NO",SUM(H70,H77,H84))</f>
        <v>1703.2542683031613</v>
      </c>
      <c r="I62" s="3074">
        <f t="shared" si="35"/>
        <v>1.9633448985392789E-2</v>
      </c>
      <c r="J62" s="3074">
        <f t="shared" si="35"/>
        <v>1.5017222829265132E-2</v>
      </c>
      <c r="K62" s="3088" t="str">
        <f t="shared" si="35"/>
        <v>NO</v>
      </c>
    </row>
    <row r="63" spans="2:12" ht="18" customHeight="1" x14ac:dyDescent="0.2">
      <c r="B63" s="160" t="s">
        <v>134</v>
      </c>
      <c r="C63" s="3074">
        <f t="shared" si="33"/>
        <v>141889.40770053823</v>
      </c>
      <c r="D63" s="3077" t="s">
        <v>1814</v>
      </c>
      <c r="E63" s="1913">
        <f t="shared" si="34"/>
        <v>51.414457720843437</v>
      </c>
      <c r="F63" s="1913">
        <f t="shared" si="32"/>
        <v>43.540106031618443</v>
      </c>
      <c r="G63" s="1913">
        <f t="shared" si="32"/>
        <v>0.88697960800769293</v>
      </c>
      <c r="H63" s="3074">
        <f t="shared" si="35"/>
        <v>7295.1669532548403</v>
      </c>
      <c r="I63" s="3074">
        <f t="shared" si="35"/>
        <v>6.1778798560449735</v>
      </c>
      <c r="J63" s="3074">
        <f t="shared" si="35"/>
        <v>0.12585301122266712</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142.20866299816717</v>
      </c>
      <c r="D66" s="3077" t="s">
        <v>1814</v>
      </c>
      <c r="E66" s="1913">
        <f t="shared" si="34"/>
        <v>68.109668109668092</v>
      </c>
      <c r="F66" s="1913">
        <f t="shared" si="32"/>
        <v>3.5975810493976872</v>
      </c>
      <c r="G66" s="1913">
        <f t="shared" si="32"/>
        <v>3.5881975907510708</v>
      </c>
      <c r="H66" s="3074">
        <f t="shared" si="35"/>
        <v>9.6857848391248034</v>
      </c>
      <c r="I66" s="3074">
        <f t="shared" si="35"/>
        <v>5.1160719106238832E-4</v>
      </c>
      <c r="J66" s="3074">
        <f t="shared" si="35"/>
        <v>5.1027278195395437E-4</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21408.001186398265</v>
      </c>
      <c r="D68" s="3077" t="s">
        <v>1814</v>
      </c>
      <c r="E68" s="628"/>
      <c r="F68" s="628"/>
      <c r="G68" s="628"/>
      <c r="H68" s="3086">
        <f>IF(SUM(H69:H73)=0,"NO",SUM(H69:H73))</f>
        <v>1766.0774483031614</v>
      </c>
      <c r="I68" s="3086">
        <f t="shared" ref="I68:K68" si="36">IF(SUM(I69:I74)=0,"NO",SUM(I69:I74))</f>
        <v>2.1761267445090424E-2</v>
      </c>
      <c r="J68" s="3086">
        <f t="shared" si="36"/>
        <v>1.5644518991218402E-2</v>
      </c>
      <c r="K68" s="3069" t="str">
        <f t="shared" si="36"/>
        <v>NO</v>
      </c>
    </row>
    <row r="69" spans="2:11" ht="18" customHeight="1" x14ac:dyDescent="0.2">
      <c r="B69" s="282" t="s">
        <v>132</v>
      </c>
      <c r="C69" s="3033">
        <v>1086.5</v>
      </c>
      <c r="D69" s="3076" t="s">
        <v>1814</v>
      </c>
      <c r="E69" s="1913">
        <f>IFERROR(H69*1000/$C69,"NA")</f>
        <v>73.376603773584918</v>
      </c>
      <c r="F69" s="1913">
        <f t="shared" ref="F69:G74" si="37">IFERROR(I69*1000000/$C69,"NA")</f>
        <v>2.1143552978612083</v>
      </c>
      <c r="G69" s="1913">
        <f t="shared" si="37"/>
        <v>0.70167015103187058</v>
      </c>
      <c r="H69" s="3033">
        <v>79.723680000000002</v>
      </c>
      <c r="I69" s="3033">
        <v>2.2972470311262028E-3</v>
      </c>
      <c r="J69" s="3033">
        <v>7.6236461909612741E-4</v>
      </c>
      <c r="K69" s="3072" t="s">
        <v>2146</v>
      </c>
    </row>
    <row r="70" spans="2:11" ht="18" customHeight="1" x14ac:dyDescent="0.2">
      <c r="B70" s="282" t="s">
        <v>133</v>
      </c>
      <c r="C70" s="3033">
        <v>20321.501186398265</v>
      </c>
      <c r="D70" s="3076" t="s">
        <v>1814</v>
      </c>
      <c r="E70" s="1913">
        <f t="shared" ref="E70:E74" si="38">IFERROR(H70*1000/$C70,"NA")</f>
        <v>82.983720190508549</v>
      </c>
      <c r="F70" s="1913">
        <f t="shared" si="37"/>
        <v>0.95780426039548783</v>
      </c>
      <c r="G70" s="1913">
        <f t="shared" si="37"/>
        <v>0.73233538386835839</v>
      </c>
      <c r="H70" s="3033">
        <v>1686.3537683031614</v>
      </c>
      <c r="I70" s="3033">
        <v>1.9464020413964219E-2</v>
      </c>
      <c r="J70" s="3033">
        <v>1.4882154372122276E-2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138248.26912838273</v>
      </c>
      <c r="D75" s="3077" t="s">
        <v>1814</v>
      </c>
      <c r="E75" s="628"/>
      <c r="F75" s="628"/>
      <c r="G75" s="628"/>
      <c r="H75" s="3086">
        <f>IF(SUM(H76:H80)=0,"NO",SUM(H76:H80))</f>
        <v>7219.8482499822039</v>
      </c>
      <c r="I75" s="3086">
        <f t="shared" ref="I75:K75" si="39">IF(SUM(I76:I81)=0,"NO",SUM(I76:I81))</f>
        <v>6.1505926082476465</v>
      </c>
      <c r="J75" s="3086">
        <f t="shared" si="39"/>
        <v>0.12353653963836307</v>
      </c>
      <c r="K75" s="3069" t="str">
        <f t="shared" si="39"/>
        <v>NO</v>
      </c>
    </row>
    <row r="76" spans="2:11" ht="18" customHeight="1" x14ac:dyDescent="0.2">
      <c r="B76" s="282" t="s">
        <v>132</v>
      </c>
      <c r="C76" s="3033">
        <v>8993.7614278444853</v>
      </c>
      <c r="D76" s="3076" t="s">
        <v>1814</v>
      </c>
      <c r="E76" s="1913">
        <f>IFERROR(H76*1000/$C76,"NA")</f>
        <v>63.891627514290441</v>
      </c>
      <c r="F76" s="1913">
        <f t="shared" ref="F76:G81" si="40">IFERROR(I76*1000000/$C76,"NA")</f>
        <v>1.7680186187715614</v>
      </c>
      <c r="G76" s="1913">
        <f t="shared" si="40"/>
        <v>1.0195735362269196</v>
      </c>
      <c r="H76" s="3033">
        <v>574.62605510023286</v>
      </c>
      <c r="I76" s="3033">
        <v>1.5901137657218553E-2</v>
      </c>
      <c r="J76" s="3033">
        <v>9.1698011429686716E-3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129254.50770053823</v>
      </c>
      <c r="D78" s="3076" t="s">
        <v>1814</v>
      </c>
      <c r="E78" s="1913">
        <f t="shared" si="41"/>
        <v>51.411918339265</v>
      </c>
      <c r="F78" s="1913">
        <f t="shared" si="40"/>
        <v>47.462108515422265</v>
      </c>
      <c r="G78" s="1913">
        <f t="shared" si="40"/>
        <v>0.88481818181818161</v>
      </c>
      <c r="H78" s="3033">
        <v>6645.2221948819706</v>
      </c>
      <c r="I78" s="3033">
        <v>6.1346914705904281</v>
      </c>
      <c r="J78" s="3033">
        <v>0.1143667384953944</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68263.029688002352</v>
      </c>
      <c r="D82" s="3077" t="s">
        <v>1814</v>
      </c>
      <c r="E82" s="628"/>
      <c r="F82" s="628"/>
      <c r="G82" s="628"/>
      <c r="H82" s="3086">
        <f>IF(SUM(H83:H87)=0,"NO",SUM(H83:H87))</f>
        <v>4532.051218515986</v>
      </c>
      <c r="I82" s="3086">
        <f t="shared" ref="I82:K82" si="42">IF(SUM(I83:I88)=0,"NO",SUM(I83:I88))</f>
        <v>0.24330311891629483</v>
      </c>
      <c r="J82" s="3086">
        <f t="shared" si="42"/>
        <v>0.20996883279730835</v>
      </c>
      <c r="K82" s="3069" t="str">
        <f t="shared" si="42"/>
        <v>NO</v>
      </c>
    </row>
    <row r="83" spans="2:11" ht="18" customHeight="1" x14ac:dyDescent="0.2">
      <c r="B83" s="282" t="s">
        <v>132</v>
      </c>
      <c r="C83" s="3033">
        <v>55308.021025004186</v>
      </c>
      <c r="D83" s="3076" t="s">
        <v>1814</v>
      </c>
      <c r="E83" s="1913">
        <f>IFERROR(H83*1000/$C83,"NA")</f>
        <v>69.88508879020813</v>
      </c>
      <c r="F83" s="1913">
        <f t="shared" ref="F83:G88" si="43">IFERROR(I83*1000000/$C83,"NA")</f>
        <v>3.6058729638707647</v>
      </c>
      <c r="G83" s="1913">
        <f t="shared" si="43"/>
        <v>3.5770077316904656</v>
      </c>
      <c r="H83" s="3033">
        <v>3865.205960143116</v>
      </c>
      <c r="I83" s="3033">
        <v>0.19943369769925842</v>
      </c>
      <c r="J83" s="3033">
        <v>0.1978372188309388</v>
      </c>
      <c r="K83" s="3072" t="s">
        <v>2146</v>
      </c>
    </row>
    <row r="84" spans="2:11" ht="18" customHeight="1" x14ac:dyDescent="0.2">
      <c r="B84" s="282" t="s">
        <v>133</v>
      </c>
      <c r="C84" s="3033">
        <v>177.9</v>
      </c>
      <c r="D84" s="3076" t="s">
        <v>1814</v>
      </c>
      <c r="E84" s="1913">
        <f t="shared" ref="E84:E88" si="44">IFERROR(H84*1000/$C84,"NA")</f>
        <v>95</v>
      </c>
      <c r="F84" s="1913">
        <f t="shared" si="43"/>
        <v>0.95238095238095244</v>
      </c>
      <c r="G84" s="1913">
        <f t="shared" si="43"/>
        <v>0.75923809523809516</v>
      </c>
      <c r="H84" s="3033">
        <v>16.900500000000001</v>
      </c>
      <c r="I84" s="3033">
        <v>1.6942857142857146E-4</v>
      </c>
      <c r="J84" s="3033">
        <v>1.3506845714285714E-4</v>
      </c>
      <c r="K84" s="3072" t="s">
        <v>2146</v>
      </c>
    </row>
    <row r="85" spans="2:11" ht="18" customHeight="1" x14ac:dyDescent="0.2">
      <c r="B85" s="282" t="s">
        <v>134</v>
      </c>
      <c r="C85" s="3033">
        <v>12634.899999999998</v>
      </c>
      <c r="D85" s="3076" t="s">
        <v>1814</v>
      </c>
      <c r="E85" s="1913">
        <f t="shared" si="44"/>
        <v>51.440435490021258</v>
      </c>
      <c r="F85" s="1913">
        <f t="shared" si="43"/>
        <v>3.4181818181818184</v>
      </c>
      <c r="G85" s="1913">
        <f t="shared" si="43"/>
        <v>0.90909090909090917</v>
      </c>
      <c r="H85" s="3033">
        <v>649.9447583728695</v>
      </c>
      <c r="I85" s="3033">
        <v>4.3188385454545453E-2</v>
      </c>
      <c r="J85" s="3033">
        <v>1.1486272727272727E-2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142.20866299816717</v>
      </c>
      <c r="D88" s="3084" t="s">
        <v>1814</v>
      </c>
      <c r="E88" s="2880">
        <f t="shared" si="44"/>
        <v>68.109668109668092</v>
      </c>
      <c r="F88" s="2880">
        <f t="shared" si="43"/>
        <v>3.5975810493976872</v>
      </c>
      <c r="G88" s="2880">
        <f t="shared" si="43"/>
        <v>3.5881975907510708</v>
      </c>
      <c r="H88" s="3040">
        <v>9.6857848391248034</v>
      </c>
      <c r="I88" s="3040">
        <v>5.1160719106238832E-4</v>
      </c>
      <c r="J88" s="3040">
        <v>5.1027278195395437E-4</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25452975.25123167</v>
      </c>
      <c r="G10" s="3657" t="s">
        <v>2147</v>
      </c>
      <c r="H10" s="3658">
        <f t="shared" ref="H10:H13" si="0">IF(SUM($F10)=0,"NA",K10*1000/$F10)</f>
        <v>2.3362800806410448E-2</v>
      </c>
      <c r="I10" s="3659">
        <f t="shared" ref="I10:I13" si="1">IF(SUM($F10)=0,"NA",L10*1000/$F10)</f>
        <v>5.2666363740437345E-4</v>
      </c>
      <c r="J10" s="3499" t="str">
        <f>IF(SUM(J11,J25,J36,J48,J59,J70,J76)=0,"IE",SUM(J11,J25,J36,J48,J59,J70,J76))</f>
        <v>IE</v>
      </c>
      <c r="K10" s="3500">
        <f>IF(SUM(K11,K25,K36,K48,K59,K70,K76)=0,"NO",SUM(K11,K25,K36,K48,K59,K70,K76))</f>
        <v>594.65279072502051</v>
      </c>
      <c r="L10" s="3501">
        <f>IF(SUM(L11,L25,L36,L48,L59,L70,L76)=0,"NO",SUM(L11,L25,L36,L48,L59,L70,L76))</f>
        <v>13.405156528577168</v>
      </c>
    </row>
    <row r="11" spans="2:13" ht="18" customHeight="1" x14ac:dyDescent="0.2">
      <c r="B11" s="933" t="s">
        <v>1985</v>
      </c>
      <c r="C11" s="934"/>
      <c r="D11" s="2850"/>
      <c r="E11" s="2854" t="s">
        <v>2250</v>
      </c>
      <c r="F11" s="3679">
        <f>IF(SUM(F12,F19)=0,"NO",SUM(F12,F19))</f>
        <v>6652319.2104761349</v>
      </c>
      <c r="G11" s="3660" t="s">
        <v>2147</v>
      </c>
      <c r="H11" s="3661">
        <f t="shared" si="0"/>
        <v>3.560731165873441E-2</v>
      </c>
      <c r="I11" s="3662">
        <f t="shared" si="1"/>
        <v>5.8719472636434896E-4</v>
      </c>
      <c r="J11" s="3502" t="str">
        <f>IF(SUM(J12,J19)=0,"IE",SUM(J12,J19))</f>
        <v>IE</v>
      </c>
      <c r="K11" s="3503">
        <f>IF(SUM(K12,K19)=0,"NO",SUM(K12,K19))</f>
        <v>236.87120338080976</v>
      </c>
      <c r="L11" s="3504">
        <f>IF(SUM(L12,L19)=0,"NO",SUM(L12,L19))</f>
        <v>3.9062067584838358</v>
      </c>
      <c r="M11" s="482"/>
    </row>
    <row r="12" spans="2:13" ht="18" customHeight="1" x14ac:dyDescent="0.2">
      <c r="B12" s="903" t="s">
        <v>1912</v>
      </c>
      <c r="C12" s="476"/>
      <c r="D12" s="298"/>
      <c r="E12" s="2852" t="s">
        <v>2250</v>
      </c>
      <c r="F12" s="3680">
        <f>IF(SUM(F13,F17)=0,"NO",SUM(F13,F17))</f>
        <v>6632927.2706217077</v>
      </c>
      <c r="G12" s="3663" t="str">
        <f>IFERROR(IF(SUM($F12)=0,"NA",J12*1000/$F12),"NA")</f>
        <v>NA</v>
      </c>
      <c r="H12" s="3664">
        <f t="shared" si="0"/>
        <v>3.542110828256971E-2</v>
      </c>
      <c r="I12" s="3665">
        <f t="shared" si="1"/>
        <v>5.8438410821288849E-4</v>
      </c>
      <c r="J12" s="3505" t="str">
        <f>IF(SUM(J13,J17)=0,"IE",SUM(J13,J17))</f>
        <v>IE</v>
      </c>
      <c r="K12" s="3506">
        <f>IF(SUM(K13,K17)=0,"NO",SUM(K13,K17))</f>
        <v>234.94563508310108</v>
      </c>
      <c r="L12" s="3507">
        <f>IF(SUM(L13,L17)=0,"NO",SUM(L13,L17))</f>
        <v>3.8761772878832148</v>
      </c>
    </row>
    <row r="13" spans="2:13" ht="18" customHeight="1" x14ac:dyDescent="0.2">
      <c r="B13" s="923" t="s">
        <v>1270</v>
      </c>
      <c r="C13" s="476"/>
      <c r="D13" s="298"/>
      <c r="E13" s="2852" t="s">
        <v>2250</v>
      </c>
      <c r="F13" s="3681">
        <f>IF(SUM(F14:F16)=0,"NO",SUM(F14:F16))</f>
        <v>6543546.8636788307</v>
      </c>
      <c r="G13" s="3666" t="str">
        <f t="shared" ref="G13:G76" si="2">IFERROR(IF(SUM($F13)=0,"NA",J13*1000/$F13),"NA")</f>
        <v>NA</v>
      </c>
      <c r="H13" s="3667">
        <f t="shared" si="0"/>
        <v>2.673622797302723E-2</v>
      </c>
      <c r="I13" s="3668">
        <f t="shared" si="1"/>
        <v>5.0467808942811329E-4</v>
      </c>
      <c r="J13" s="3505" t="str">
        <f>IF(SUM(J14:J16)=0,"IE",SUM(J14:J16))</f>
        <v>IE</v>
      </c>
      <c r="K13" s="3505">
        <f>IF(SUM(K14:K16)=0,"NO",SUM(K14:K16))</f>
        <v>174.94976069950454</v>
      </c>
      <c r="L13" s="3508">
        <f>IF(SUM(L14:L16)=0,"NO",SUM(L14:L16))</f>
        <v>3.3023847292447548</v>
      </c>
      <c r="M13" s="482"/>
    </row>
    <row r="14" spans="2:13" ht="24" x14ac:dyDescent="0.2">
      <c r="B14" s="923"/>
      <c r="C14" s="4367" t="s">
        <v>2247</v>
      </c>
      <c r="D14" s="542" t="s">
        <v>940</v>
      </c>
      <c r="E14" s="2851" t="s">
        <v>2250</v>
      </c>
      <c r="F14" s="3654">
        <v>372602.02093002206</v>
      </c>
      <c r="G14" s="3666" t="str">
        <f t="shared" si="2"/>
        <v>NA</v>
      </c>
      <c r="H14" s="3667">
        <f>IF(SUM($F14)=0,"NA",K14*1000/$F14)</f>
        <v>8.4595784007142405E-2</v>
      </c>
      <c r="I14" s="3668">
        <f>IF(SUM($F14)=0,"NA",L14*1000/$F14)</f>
        <v>9.2373624136002147E-4</v>
      </c>
      <c r="J14" s="3509" t="s">
        <v>2153</v>
      </c>
      <c r="K14" s="3510">
        <v>31.520560083220904</v>
      </c>
      <c r="L14" s="3511">
        <v>0.34418599033704661</v>
      </c>
      <c r="M14" s="482"/>
    </row>
    <row r="15" spans="2:13" ht="18" customHeight="1" x14ac:dyDescent="0.2">
      <c r="B15" s="923"/>
      <c r="C15" s="4367" t="s">
        <v>2248</v>
      </c>
      <c r="D15" s="542" t="s">
        <v>940</v>
      </c>
      <c r="E15" s="543" t="s">
        <v>2250</v>
      </c>
      <c r="F15" s="3655">
        <v>46791.636704414479</v>
      </c>
      <c r="G15" s="3666" t="str">
        <f t="shared" si="2"/>
        <v>NA</v>
      </c>
      <c r="H15" s="3667">
        <f t="shared" ref="H15:H77" si="3">IF(SUM($F15)=0,"NA",K15*1000/$F15)</f>
        <v>0.32302347368330242</v>
      </c>
      <c r="I15" s="3668">
        <f t="shared" ref="I15:I77" si="4">IF(SUM($F15)=0,"NA",L15*1000/$F15)</f>
        <v>5.9714478260066038E-3</v>
      </c>
      <c r="J15" s="3509" t="s">
        <v>2153</v>
      </c>
      <c r="K15" s="3510">
        <v>15.114797027587077</v>
      </c>
      <c r="L15" s="3512">
        <v>0.27941381727386666</v>
      </c>
      <c r="M15" s="482"/>
    </row>
    <row r="16" spans="2:13" ht="18" customHeight="1" x14ac:dyDescent="0.2">
      <c r="B16" s="923"/>
      <c r="C16" s="4367" t="s">
        <v>2263</v>
      </c>
      <c r="D16" s="542" t="s">
        <v>940</v>
      </c>
      <c r="E16" s="543" t="s">
        <v>2250</v>
      </c>
      <c r="F16" s="3655">
        <v>6124153.2060443945</v>
      </c>
      <c r="G16" s="3666" t="str">
        <f t="shared" si="2"/>
        <v>NA</v>
      </c>
      <c r="H16" s="3667">
        <f t="shared" si="3"/>
        <v>2.0952187065152662E-2</v>
      </c>
      <c r="I16" s="3668">
        <f t="shared" si="4"/>
        <v>4.3741311353705914E-4</v>
      </c>
      <c r="J16" s="3509" t="s">
        <v>2153</v>
      </c>
      <c r="K16" s="3510">
        <v>128.31440358869656</v>
      </c>
      <c r="L16" s="3512">
        <v>2.6787849216338415</v>
      </c>
      <c r="M16" s="482"/>
    </row>
    <row r="17" spans="2:13" ht="18" customHeight="1" x14ac:dyDescent="0.2">
      <c r="B17" s="923" t="s">
        <v>1271</v>
      </c>
      <c r="C17" s="4368"/>
      <c r="D17" s="298"/>
      <c r="E17" s="5" t="s">
        <v>2250</v>
      </c>
      <c r="F17" s="3681">
        <f>F18</f>
        <v>89380.406942876842</v>
      </c>
      <c r="G17" s="3666" t="str">
        <f t="shared" si="2"/>
        <v>NA</v>
      </c>
      <c r="H17" s="3667">
        <f t="shared" si="3"/>
        <v>0.67124190228782454</v>
      </c>
      <c r="I17" s="3668">
        <f t="shared" si="4"/>
        <v>6.4196682277937239E-3</v>
      </c>
      <c r="J17" s="3505" t="str">
        <f>J18</f>
        <v>IE</v>
      </c>
      <c r="K17" s="3505">
        <f>K18</f>
        <v>59.995874383596529</v>
      </c>
      <c r="L17" s="3508">
        <f>L18</f>
        <v>0.57379255863846002</v>
      </c>
      <c r="M17" s="482"/>
    </row>
    <row r="18" spans="2:13" ht="18" customHeight="1" x14ac:dyDescent="0.2">
      <c r="B18" s="923"/>
      <c r="C18" s="4367" t="s">
        <v>2249</v>
      </c>
      <c r="D18" s="542" t="s">
        <v>940</v>
      </c>
      <c r="E18" s="543" t="s">
        <v>2250</v>
      </c>
      <c r="F18" s="3654">
        <v>89380.406942876842</v>
      </c>
      <c r="G18" s="3666" t="str">
        <f t="shared" si="2"/>
        <v>NA</v>
      </c>
      <c r="H18" s="3667">
        <f t="shared" si="3"/>
        <v>0.67124190228782454</v>
      </c>
      <c r="I18" s="3668">
        <f t="shared" si="4"/>
        <v>6.4196682277937239E-3</v>
      </c>
      <c r="J18" s="3509" t="s">
        <v>2153</v>
      </c>
      <c r="K18" s="3510">
        <v>59.995874383596529</v>
      </c>
      <c r="L18" s="3511">
        <v>0.57379255863846002</v>
      </c>
      <c r="M18" s="482"/>
    </row>
    <row r="19" spans="2:13" ht="18" customHeight="1" x14ac:dyDescent="0.2">
      <c r="B19" s="903" t="s">
        <v>1272</v>
      </c>
      <c r="C19" s="4368"/>
      <c r="D19" s="298"/>
      <c r="E19" s="5" t="s">
        <v>2250</v>
      </c>
      <c r="F19" s="3682">
        <f>IF(SUM(F20,F23)=0,"NO",SUM(F20,F23))</f>
        <v>19391.939854427059</v>
      </c>
      <c r="G19" s="3663" t="s">
        <v>2147</v>
      </c>
      <c r="H19" s="3664">
        <f t="shared" si="3"/>
        <v>9.9297353032428884E-2</v>
      </c>
      <c r="I19" s="3665">
        <f t="shared" si="4"/>
        <v>1.5485542357313677E-3</v>
      </c>
      <c r="J19" s="3505" t="str">
        <f>IF(SUM(J20,J23)=0,"IE",SUM(J20,J23))</f>
        <v>IE</v>
      </c>
      <c r="K19" s="3506">
        <f>IF(SUM(K20,K23)=0,"NO",SUM(K20,K23))</f>
        <v>1.9255682977086712</v>
      </c>
      <c r="L19" s="3507">
        <f>IF(SUM(L20,L23)=0,"NO",SUM(L20,L23))</f>
        <v>3.0029470600620944E-2</v>
      </c>
    </row>
    <row r="20" spans="2:13" ht="18" customHeight="1" x14ac:dyDescent="0.2">
      <c r="B20" s="923" t="s">
        <v>1273</v>
      </c>
      <c r="C20" s="4368"/>
      <c r="D20" s="298"/>
      <c r="E20" s="5" t="s">
        <v>2250</v>
      </c>
      <c r="F20" s="3681">
        <f>IF(SUM(F21:F22)=0,"NO",SUM(F21:F22))</f>
        <v>17097.865040097542</v>
      </c>
      <c r="G20" s="3666" t="str">
        <f t="shared" si="2"/>
        <v>NA</v>
      </c>
      <c r="H20" s="3667">
        <f t="shared" si="3"/>
        <v>7.4365286946340162E-2</v>
      </c>
      <c r="I20" s="3668">
        <f t="shared" si="4"/>
        <v>1.3856850227472279E-3</v>
      </c>
      <c r="J20" s="3505" t="str">
        <f>IF(SUM(J21:J22)=0,"IE",SUM(J21:J22))</f>
        <v>IE</v>
      </c>
      <c r="K20" s="3505">
        <f>IF(SUM(K21:K22)=0,"NO",SUM(K21:K22))</f>
        <v>1.2714876398766517</v>
      </c>
      <c r="L20" s="3508">
        <f>IF(SUM(L21:L22)=0,"NO",SUM(L21:L22))</f>
        <v>2.3692255507016598E-2</v>
      </c>
      <c r="M20" s="482"/>
    </row>
    <row r="21" spans="2:13" ht="18" customHeight="1" x14ac:dyDescent="0.2">
      <c r="B21" s="923"/>
      <c r="C21" s="4367" t="s">
        <v>2248</v>
      </c>
      <c r="D21" s="542" t="s">
        <v>940</v>
      </c>
      <c r="E21" s="543" t="s">
        <v>2250</v>
      </c>
      <c r="F21" s="3654">
        <v>12367.877644551272</v>
      </c>
      <c r="G21" s="3666" t="str">
        <f t="shared" si="2"/>
        <v>NA</v>
      </c>
      <c r="H21" s="3667">
        <f t="shared" si="3"/>
        <v>9.603311024836772E-2</v>
      </c>
      <c r="I21" s="3668">
        <f t="shared" si="4"/>
        <v>1.7752787463969086E-3</v>
      </c>
      <c r="J21" s="3509" t="s">
        <v>2153</v>
      </c>
      <c r="K21" s="3510">
        <v>1.1877257573775148</v>
      </c>
      <c r="L21" s="3511">
        <v>2.1956430320409333E-2</v>
      </c>
      <c r="M21" s="482"/>
    </row>
    <row r="22" spans="2:13" ht="18" customHeight="1" x14ac:dyDescent="0.2">
      <c r="B22" s="923"/>
      <c r="C22" s="4367" t="s">
        <v>2263</v>
      </c>
      <c r="D22" s="542" t="s">
        <v>940</v>
      </c>
      <c r="E22" s="543" t="s">
        <v>2250</v>
      </c>
      <c r="F22" s="3655">
        <v>4729.987395546269</v>
      </c>
      <c r="G22" s="3666" t="str">
        <f t="shared" si="2"/>
        <v>NA</v>
      </c>
      <c r="H22" s="3667">
        <f t="shared" si="3"/>
        <v>1.7708690424419884E-2</v>
      </c>
      <c r="I22" s="3668">
        <f t="shared" si="4"/>
        <v>3.6698304698268503E-4</v>
      </c>
      <c r="J22" s="3509" t="s">
        <v>2153</v>
      </c>
      <c r="K22" s="3510">
        <v>8.3761882499136964E-2</v>
      </c>
      <c r="L22" s="3512">
        <v>1.7358251866072644E-3</v>
      </c>
      <c r="M22" s="482"/>
    </row>
    <row r="23" spans="2:13" ht="18" customHeight="1" x14ac:dyDescent="0.2">
      <c r="B23" s="923" t="s">
        <v>1274</v>
      </c>
      <c r="C23" s="4368"/>
      <c r="D23" s="298"/>
      <c r="E23" s="5" t="s">
        <v>2250</v>
      </c>
      <c r="F23" s="3681">
        <f>F24</f>
        <v>2294.074814329515</v>
      </c>
      <c r="G23" s="3666" t="str">
        <f t="shared" si="2"/>
        <v>NA</v>
      </c>
      <c r="H23" s="3667">
        <f t="shared" si="3"/>
        <v>0.2851174049540256</v>
      </c>
      <c r="I23" s="3668">
        <f t="shared" si="4"/>
        <v>2.7624273864217943E-3</v>
      </c>
      <c r="J23" s="3505" t="str">
        <f>J24</f>
        <v>IE</v>
      </c>
      <c r="K23" s="3505">
        <f>K24</f>
        <v>0.65408065783201941</v>
      </c>
      <c r="L23" s="3508">
        <f>L24</f>
        <v>6.337215093604345E-3</v>
      </c>
      <c r="M23" s="482"/>
    </row>
    <row r="24" spans="2:13" ht="18" customHeight="1" thickBot="1" x14ac:dyDescent="0.25">
      <c r="B24" s="938"/>
      <c r="C24" s="4369" t="s">
        <v>2251</v>
      </c>
      <c r="D24" s="939" t="s">
        <v>940</v>
      </c>
      <c r="E24" s="940" t="s">
        <v>2250</v>
      </c>
      <c r="F24" s="3656">
        <v>2294.074814329515</v>
      </c>
      <c r="G24" s="3669" t="str">
        <f t="shared" si="2"/>
        <v>NA</v>
      </c>
      <c r="H24" s="3670">
        <f t="shared" si="3"/>
        <v>0.2851174049540256</v>
      </c>
      <c r="I24" s="3671">
        <f t="shared" si="4"/>
        <v>2.7624273864217943E-3</v>
      </c>
      <c r="J24" s="3513" t="s">
        <v>2153</v>
      </c>
      <c r="K24" s="3514">
        <v>0.65408065783201941</v>
      </c>
      <c r="L24" s="3515">
        <v>6.337215093604345E-3</v>
      </c>
      <c r="M24" s="482"/>
    </row>
    <row r="25" spans="2:13" ht="18" customHeight="1" x14ac:dyDescent="0.2">
      <c r="B25" s="933" t="s">
        <v>1986</v>
      </c>
      <c r="C25" s="4370"/>
      <c r="D25" s="2850"/>
      <c r="E25" s="935" t="s">
        <v>2250</v>
      </c>
      <c r="F25" s="3683">
        <f>IF(SUM(F26,F31)=0,"IE",SUM(F26,F31))</f>
        <v>23529</v>
      </c>
      <c r="G25" s="3660" t="str">
        <f t="shared" si="2"/>
        <v>NA</v>
      </c>
      <c r="H25" s="3661">
        <f t="shared" si="3"/>
        <v>0.17734968761953332</v>
      </c>
      <c r="I25" s="3662">
        <f t="shared" si="4"/>
        <v>3.2785060308555408E-3</v>
      </c>
      <c r="J25" s="3502" t="str">
        <f>IF(SUM(J26,J31)=0,"IE",SUM(J26,J31))</f>
        <v>IE</v>
      </c>
      <c r="K25" s="3503">
        <f>IF(SUM(K26,K31)=0,"IE",SUM(K26,K31))</f>
        <v>4.1728607999999996</v>
      </c>
      <c r="L25" s="3504">
        <f>IF(SUM(L26,L31)=0,"IE",SUM(L26,L31))</f>
        <v>7.7139968400000009E-2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23529</v>
      </c>
      <c r="G31" s="3663" t="str">
        <f t="shared" si="2"/>
        <v>NA</v>
      </c>
      <c r="H31" s="3664">
        <f t="shared" si="3"/>
        <v>0.17734968761953332</v>
      </c>
      <c r="I31" s="3665">
        <f t="shared" si="4"/>
        <v>3.2785060308555408E-3</v>
      </c>
      <c r="J31" s="3505" t="str">
        <f>IF(SUM(J32,J34)=0,"IE",SUM(J32,J34))</f>
        <v>IE</v>
      </c>
      <c r="K31" s="3505">
        <f t="shared" ref="K31:L31" si="6">IF(SUM(K32,K34)=0,"IE",SUM(K32,K34))</f>
        <v>4.1728607999999996</v>
      </c>
      <c r="L31" s="3508">
        <f t="shared" si="6"/>
        <v>7.7139968400000009E-2</v>
      </c>
    </row>
    <row r="32" spans="2:13" ht="18" customHeight="1" x14ac:dyDescent="0.2">
      <c r="B32" s="923" t="s">
        <v>1278</v>
      </c>
      <c r="C32" s="4368"/>
      <c r="D32" s="298"/>
      <c r="E32" s="5" t="s">
        <v>2250</v>
      </c>
      <c r="F32" s="3681">
        <f>F33</f>
        <v>23529</v>
      </c>
      <c r="G32" s="3663" t="str">
        <f t="shared" si="2"/>
        <v>NA</v>
      </c>
      <c r="H32" s="3664">
        <f t="shared" si="3"/>
        <v>0.17734968761953332</v>
      </c>
      <c r="I32" s="3665">
        <f t="shared" si="4"/>
        <v>3.2785060308555408E-3</v>
      </c>
      <c r="J32" s="3505" t="str">
        <f>J33</f>
        <v>IE</v>
      </c>
      <c r="K32" s="3505">
        <f>K33</f>
        <v>4.1728607999999996</v>
      </c>
      <c r="L32" s="3508">
        <f>L33</f>
        <v>7.7139968400000009E-2</v>
      </c>
      <c r="M32" s="482"/>
    </row>
    <row r="33" spans="2:13" ht="18" customHeight="1" x14ac:dyDescent="0.2">
      <c r="B33" s="923"/>
      <c r="C33" s="4367" t="s">
        <v>2252</v>
      </c>
      <c r="D33" s="542" t="s">
        <v>940</v>
      </c>
      <c r="E33" s="543" t="s">
        <v>2250</v>
      </c>
      <c r="F33" s="3654">
        <v>23529</v>
      </c>
      <c r="G33" s="3666" t="str">
        <f t="shared" si="2"/>
        <v>NA</v>
      </c>
      <c r="H33" s="3667">
        <f t="shared" si="3"/>
        <v>0.17734968761953332</v>
      </c>
      <c r="I33" s="3668">
        <f t="shared" si="4"/>
        <v>3.2785060308555408E-3</v>
      </c>
      <c r="J33" s="3509" t="s">
        <v>2153</v>
      </c>
      <c r="K33" s="3510">
        <v>4.1728607999999996</v>
      </c>
      <c r="L33" s="3511">
        <v>7.7139968400000009E-2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18083351.308110796</v>
      </c>
      <c r="G36" s="3660" t="str">
        <f t="shared" si="2"/>
        <v>NA</v>
      </c>
      <c r="H36" s="3661">
        <f t="shared" ref="H36" si="7">IF(SUM($F36)=0,"NA",K36*1000/$F36)</f>
        <v>1.8534874085107868E-2</v>
      </c>
      <c r="I36" s="3662">
        <f t="shared" ref="I36" si="8">IF(SUM($F36)=0,"NA",L36*1000/$F36)</f>
        <v>5.0010781488458241E-4</v>
      </c>
      <c r="J36" s="3502" t="str">
        <f>IF(SUM(J37,J42)=0,"IE",SUM(J37,J42))</f>
        <v>IE</v>
      </c>
      <c r="K36" s="3503">
        <f>IF(SUM(K37,K42)=0,"NO",SUM(K37,K42))</f>
        <v>335.17263953260425</v>
      </c>
      <c r="L36" s="3504">
        <f>IF(SUM(L37,L42)=0,"NO",SUM(L37,L42))</f>
        <v>9.0436253084895455</v>
      </c>
      <c r="M36" s="482"/>
    </row>
    <row r="37" spans="2:13" ht="18" customHeight="1" x14ac:dyDescent="0.2">
      <c r="B37" s="903" t="s">
        <v>1876</v>
      </c>
      <c r="C37" s="4368"/>
      <c r="D37" s="298"/>
      <c r="E37" s="5" t="s">
        <v>2250</v>
      </c>
      <c r="F37" s="3680">
        <f>IF(SUM(F38,F40)=0,"NO",SUM(F38,F40))</f>
        <v>17448716.054056101</v>
      </c>
      <c r="G37" s="3666" t="str">
        <f t="shared" si="2"/>
        <v>NA</v>
      </c>
      <c r="H37" s="3664">
        <f t="shared" si="3"/>
        <v>1.396506470823485E-2</v>
      </c>
      <c r="I37" s="3665">
        <f t="shared" si="4"/>
        <v>4.2114147027949681E-4</v>
      </c>
      <c r="J37" s="3505" t="str">
        <f>IF(SUM(J38,J40)=0,"IE",SUM(J38,J40))</f>
        <v>IE</v>
      </c>
      <c r="K37" s="3506">
        <f>IF(SUM(K38,K40)=0,"NO",SUM(K38,K40))</f>
        <v>243.6724487705097</v>
      </c>
      <c r="L37" s="3507">
        <f>IF(SUM(L38,L40)=0,"NO",SUM(L38,L40))</f>
        <v>7.3483779334946453</v>
      </c>
    </row>
    <row r="38" spans="2:13" ht="18" customHeight="1" x14ac:dyDescent="0.2">
      <c r="B38" s="923" t="s">
        <v>1280</v>
      </c>
      <c r="C38" s="4368"/>
      <c r="D38" s="298"/>
      <c r="E38" s="5" t="s">
        <v>2250</v>
      </c>
      <c r="F38" s="3681">
        <f>F39</f>
        <v>17448716.054056101</v>
      </c>
      <c r="G38" s="3666" t="str">
        <f t="shared" si="2"/>
        <v>NA</v>
      </c>
      <c r="H38" s="3667">
        <f t="shared" si="3"/>
        <v>1.396506470823485E-2</v>
      </c>
      <c r="I38" s="3668">
        <f t="shared" si="4"/>
        <v>4.2114147027949681E-4</v>
      </c>
      <c r="J38" s="3505" t="str">
        <f>J39</f>
        <v>IE</v>
      </c>
      <c r="K38" s="3505">
        <f>K39</f>
        <v>243.6724487705097</v>
      </c>
      <c r="L38" s="3508">
        <f>L39</f>
        <v>7.3483779334946453</v>
      </c>
      <c r="M38" s="482"/>
    </row>
    <row r="39" spans="2:13" ht="18" customHeight="1" x14ac:dyDescent="0.2">
      <c r="B39" s="923"/>
      <c r="C39" s="4367" t="s">
        <v>2263</v>
      </c>
      <c r="D39" s="542" t="s">
        <v>940</v>
      </c>
      <c r="E39" s="543" t="s">
        <v>2250</v>
      </c>
      <c r="F39" s="3655">
        <v>17448716.054056101</v>
      </c>
      <c r="G39" s="3666" t="str">
        <f t="shared" si="2"/>
        <v>NA</v>
      </c>
      <c r="H39" s="3667">
        <f t="shared" ref="H39:H40" si="9">IF(SUM($F39)=0,"NA",K39*1000/$F39)</f>
        <v>1.396506470823485E-2</v>
      </c>
      <c r="I39" s="3668">
        <f t="shared" ref="I39:I40" si="10">IF(SUM($F39)=0,"NA",L39*1000/$F39)</f>
        <v>4.2114147027949681E-4</v>
      </c>
      <c r="J39" s="3509" t="s">
        <v>2153</v>
      </c>
      <c r="K39" s="3510">
        <v>243.6724487705097</v>
      </c>
      <c r="L39" s="3512">
        <v>7.3483779334946453</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634635.25405469665</v>
      </c>
      <c r="G42" s="3663" t="str">
        <f t="shared" si="2"/>
        <v>NA</v>
      </c>
      <c r="H42" s="3664">
        <f t="shared" si="11"/>
        <v>0.14417760465952384</v>
      </c>
      <c r="I42" s="3665">
        <f t="shared" si="12"/>
        <v>2.6712152597321561E-3</v>
      </c>
      <c r="J42" s="3505" t="str">
        <f>IF(SUM(J43,J46)=0,"IE",SUM(J43,J46))</f>
        <v>IE</v>
      </c>
      <c r="K42" s="3506">
        <f>IF(SUM(K43,K46)=0,"NO",SUM(K43,K46))</f>
        <v>91.500190762094533</v>
      </c>
      <c r="L42" s="3507">
        <f>IF(SUM(L43,L46)=0,"NO",SUM(L43,L46))</f>
        <v>1.6952473749948995</v>
      </c>
    </row>
    <row r="43" spans="2:13" ht="18" customHeight="1" x14ac:dyDescent="0.2">
      <c r="B43" s="923" t="s">
        <v>1283</v>
      </c>
      <c r="C43" s="4368"/>
      <c r="D43" s="298"/>
      <c r="E43" s="5" t="s">
        <v>2250</v>
      </c>
      <c r="F43" s="3681">
        <f>IF(SUM(F44:F45)=0,"NO",SUM(F44:F45))</f>
        <v>634635.25405469665</v>
      </c>
      <c r="G43" s="3666" t="str">
        <f t="shared" si="2"/>
        <v>NA</v>
      </c>
      <c r="H43" s="3667">
        <f t="shared" ref="H43" si="13">IF(SUM($F43)=0,"NA",K43*1000/$F43)</f>
        <v>0.14417760465952384</v>
      </c>
      <c r="I43" s="3668">
        <f t="shared" ref="I43" si="14">IF(SUM($F43)=0,"NA",L43*1000/$F43)</f>
        <v>2.6712152597321561E-3</v>
      </c>
      <c r="J43" s="3505" t="str">
        <f>IF(SUM(J44:J45)=0,"IE",SUM(J44:J45))</f>
        <v>IE</v>
      </c>
      <c r="K43" s="3505">
        <f>IF(SUM(K44:K45)=0,"NO",SUM(K44:K45))</f>
        <v>91.500190762094533</v>
      </c>
      <c r="L43" s="3508">
        <f>IF(SUM(L44:L45)=0,"NO",SUM(L44:L45))</f>
        <v>1.6952473749948995</v>
      </c>
      <c r="M43" s="482"/>
    </row>
    <row r="44" spans="2:13" ht="18" customHeight="1" x14ac:dyDescent="0.2">
      <c r="B44" s="923"/>
      <c r="C44" s="4367" t="s">
        <v>2252</v>
      </c>
      <c r="D44" s="542" t="s">
        <v>940</v>
      </c>
      <c r="E44" s="543" t="s">
        <v>2250</v>
      </c>
      <c r="F44" s="3655">
        <v>596559.67486494815</v>
      </c>
      <c r="G44" s="3666" t="str">
        <f t="shared" si="2"/>
        <v>NA</v>
      </c>
      <c r="H44" s="3667">
        <f t="shared" ref="H44:H46" si="15">IF(SUM($F44)=0,"NA",K44*1000/$F44)</f>
        <v>0.15207858119499368</v>
      </c>
      <c r="I44" s="3668">
        <f t="shared" ref="I44:I46" si="16">IF(SUM($F44)=0,"NA",L44*1000/$F44)</f>
        <v>2.8113415495907863E-3</v>
      </c>
      <c r="J44" s="3509" t="s">
        <v>2153</v>
      </c>
      <c r="K44" s="3510">
        <v>90.723948951608051</v>
      </c>
      <c r="L44" s="3512">
        <v>1.6771330007581988</v>
      </c>
      <c r="M44" s="482"/>
    </row>
    <row r="45" spans="2:13" ht="18" customHeight="1" x14ac:dyDescent="0.2">
      <c r="B45" s="923"/>
      <c r="C45" s="4367" t="s">
        <v>2263</v>
      </c>
      <c r="D45" s="542" t="s">
        <v>940</v>
      </c>
      <c r="E45" s="543" t="s">
        <v>2250</v>
      </c>
      <c r="F45" s="3655">
        <v>38075.579189748518</v>
      </c>
      <c r="G45" s="3666" t="str">
        <f t="shared" si="2"/>
        <v>NA</v>
      </c>
      <c r="H45" s="3667">
        <f t="shared" si="15"/>
        <v>2.0386868092487916E-2</v>
      </c>
      <c r="I45" s="3668">
        <f t="shared" si="16"/>
        <v>4.7574783160692736E-4</v>
      </c>
      <c r="J45" s="3509" t="s">
        <v>2153</v>
      </c>
      <c r="K45" s="3510">
        <v>0.776241810486481</v>
      </c>
      <c r="L45" s="3512">
        <v>1.8114374236700703E-2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672468.73264473863</v>
      </c>
      <c r="G48" s="3660" t="str">
        <f t="shared" si="2"/>
        <v>NA</v>
      </c>
      <c r="H48" s="3661">
        <f t="shared" si="17"/>
        <v>2.1386393022386402E-2</v>
      </c>
      <c r="I48" s="3662">
        <f t="shared" si="18"/>
        <v>4.5092696698506926E-4</v>
      </c>
      <c r="J48" s="3502" t="str">
        <f>IF(SUM(J49,J54)=0,"IE",SUM(J49,J54))</f>
        <v>IE</v>
      </c>
      <c r="K48" s="3503">
        <f>IF(SUM(K49,K54)=0,"NO",SUM(K49,K54))</f>
        <v>14.381680611606466</v>
      </c>
      <c r="L48" s="3504">
        <f>IF(SUM(L49,L54)=0,"NO",SUM(L49,L54))</f>
        <v>0.30323428600378544</v>
      </c>
      <c r="M48" s="482"/>
    </row>
    <row r="49" spans="2:13" ht="18" customHeight="1" x14ac:dyDescent="0.2">
      <c r="B49" s="903" t="s">
        <v>1285</v>
      </c>
      <c r="C49" s="4368"/>
      <c r="D49" s="298"/>
      <c r="E49" s="5" t="s">
        <v>2250</v>
      </c>
      <c r="F49" s="3680">
        <f>IF(SUM(F50,F52)=0,"NO",SUM(F50,F52))</f>
        <v>672468.73264473863</v>
      </c>
      <c r="G49" s="3663" t="str">
        <f t="shared" si="2"/>
        <v>NA</v>
      </c>
      <c r="H49" s="3664">
        <f t="shared" si="17"/>
        <v>2.1386393022386402E-2</v>
      </c>
      <c r="I49" s="3665">
        <f t="shared" si="18"/>
        <v>4.5092696698506926E-4</v>
      </c>
      <c r="J49" s="3505" t="str">
        <f>IF(SUM(J50,J52)=0,"IE",SUM(J50,J52))</f>
        <v>IE</v>
      </c>
      <c r="K49" s="3506">
        <f>IF(SUM(K50,K52)=0,"NO",SUM(K50,K52))</f>
        <v>14.381680611606466</v>
      </c>
      <c r="L49" s="3507">
        <f>IF(SUM(L50,L52)=0,"NO",SUM(L50,L52))</f>
        <v>0.30323428600378544</v>
      </c>
    </row>
    <row r="50" spans="2:13" ht="18" customHeight="1" x14ac:dyDescent="0.2">
      <c r="B50" s="923" t="s">
        <v>1286</v>
      </c>
      <c r="C50" s="4368"/>
      <c r="D50" s="298"/>
      <c r="E50" s="5" t="s">
        <v>2250</v>
      </c>
      <c r="F50" s="3681">
        <f>F51</f>
        <v>672468.73264473863</v>
      </c>
      <c r="G50" s="3666" t="str">
        <f t="shared" si="2"/>
        <v>NA</v>
      </c>
      <c r="H50" s="3667">
        <f t="shared" si="17"/>
        <v>2.1386393022386402E-2</v>
      </c>
      <c r="I50" s="3668">
        <f t="shared" si="18"/>
        <v>4.5092696698506926E-4</v>
      </c>
      <c r="J50" s="3505" t="str">
        <f>J51</f>
        <v>IE</v>
      </c>
      <c r="K50" s="3505">
        <f>K51</f>
        <v>14.381680611606466</v>
      </c>
      <c r="L50" s="3508">
        <f>L51</f>
        <v>0.30323428600378544</v>
      </c>
      <c r="M50" s="482"/>
    </row>
    <row r="51" spans="2:13" ht="18" customHeight="1" x14ac:dyDescent="0.2">
      <c r="B51" s="923"/>
      <c r="C51" s="4367" t="s">
        <v>2263</v>
      </c>
      <c r="D51" s="542" t="s">
        <v>940</v>
      </c>
      <c r="E51" s="543" t="s">
        <v>2250</v>
      </c>
      <c r="F51" s="3655">
        <v>672468.73264473863</v>
      </c>
      <c r="G51" s="3666" t="str">
        <f t="shared" si="2"/>
        <v>NA</v>
      </c>
      <c r="H51" s="3667">
        <f t="shared" si="17"/>
        <v>2.1386393022386402E-2</v>
      </c>
      <c r="I51" s="3668">
        <f t="shared" si="18"/>
        <v>4.5092696698506926E-4</v>
      </c>
      <c r="J51" s="3509" t="s">
        <v>2153</v>
      </c>
      <c r="K51" s="3510">
        <v>14.381680611606466</v>
      </c>
      <c r="L51" s="3512">
        <v>0.30323428600378544</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21307</v>
      </c>
      <c r="G59" s="3660" t="str">
        <f t="shared" si="2"/>
        <v>NA</v>
      </c>
      <c r="H59" s="3661">
        <f t="shared" si="3"/>
        <v>0.19028518327310276</v>
      </c>
      <c r="I59" s="3662">
        <f t="shared" si="4"/>
        <v>3.517633040784719E-3</v>
      </c>
      <c r="J59" s="3502" t="str">
        <f>IF(SUM(J60,J65)=0,"IE",SUM(J60,J65))</f>
        <v>IE</v>
      </c>
      <c r="K59" s="3503">
        <f>IF(SUM(K60,K65)=0,"NO",SUM(K60,K65))</f>
        <v>4.0544064000000004</v>
      </c>
      <c r="L59" s="3504">
        <f>IF(SUM(L60,L65)=0,"NO",SUM(L60,L65))</f>
        <v>7.4950207200000007E-2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21307</v>
      </c>
      <c r="G65" s="3663" t="str">
        <f t="shared" si="2"/>
        <v>NA</v>
      </c>
      <c r="H65" s="3664">
        <f t="shared" si="3"/>
        <v>0.19028518327310276</v>
      </c>
      <c r="I65" s="3665">
        <f t="shared" si="4"/>
        <v>3.517633040784719E-3</v>
      </c>
      <c r="J65" s="3505" t="str">
        <f>IF(SUM(J66,J68)=0,"IE",SUM(J66,J68))</f>
        <v>IE</v>
      </c>
      <c r="K65" s="3506">
        <f>IF(SUM(K66,K68)=0,"NO",SUM(K66,K68))</f>
        <v>4.0544064000000004</v>
      </c>
      <c r="L65" s="3507">
        <f>IF(SUM(L66,L68)=0,"NO",SUM(L66,L68))</f>
        <v>7.4950207200000007E-2</v>
      </c>
    </row>
    <row r="66" spans="2:13" ht="18" customHeight="1" x14ac:dyDescent="0.2">
      <c r="B66" s="923" t="s">
        <v>1294</v>
      </c>
      <c r="C66" s="4368"/>
      <c r="D66" s="298"/>
      <c r="E66" s="5" t="s">
        <v>2250</v>
      </c>
      <c r="F66" s="3681">
        <f>F67</f>
        <v>21307</v>
      </c>
      <c r="G66" s="3666" t="str">
        <f t="shared" si="2"/>
        <v>NA</v>
      </c>
      <c r="H66" s="3667">
        <f t="shared" si="3"/>
        <v>0.19028518327310276</v>
      </c>
      <c r="I66" s="3668">
        <f t="shared" si="4"/>
        <v>3.517633040784719E-3</v>
      </c>
      <c r="J66" s="3505" t="str">
        <f>J67</f>
        <v>IE</v>
      </c>
      <c r="K66" s="3505">
        <f>K67</f>
        <v>4.0544064000000004</v>
      </c>
      <c r="L66" s="3508">
        <f>L67</f>
        <v>7.4950207200000007E-2</v>
      </c>
      <c r="M66" s="482"/>
    </row>
    <row r="67" spans="2:13" ht="18" customHeight="1" x14ac:dyDescent="0.2">
      <c r="B67" s="923"/>
      <c r="C67" s="4367" t="s">
        <v>2252</v>
      </c>
      <c r="D67" s="542" t="s">
        <v>940</v>
      </c>
      <c r="E67" s="543" t="s">
        <v>2250</v>
      </c>
      <c r="F67" s="3655">
        <v>21307</v>
      </c>
      <c r="G67" s="3666" t="str">
        <f t="shared" si="2"/>
        <v>NA</v>
      </c>
      <c r="H67" s="3667">
        <f t="shared" ref="H67:H68" si="23">IF(SUM($F67)=0,"NA",K67*1000/$F67)</f>
        <v>0.19028518327310276</v>
      </c>
      <c r="I67" s="3668">
        <f t="shared" ref="I67:I68" si="24">IF(SUM($F67)=0,"NA",L67*1000/$F67)</f>
        <v>3.517633040784719E-3</v>
      </c>
      <c r="J67" s="3509" t="s">
        <v>2153</v>
      </c>
      <c r="K67" s="3510">
        <v>4.0544064000000004</v>
      </c>
      <c r="L67" s="3512">
        <v>7.4950207200000007E-2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5355.6225949347117</v>
      </c>
      <c r="D10" s="3521">
        <f>IF(SUM(D11,D16:D17)=0,"NO",SUM(D11,D16:D17))</f>
        <v>-3165.4655080449947</v>
      </c>
      <c r="E10" s="3522"/>
      <c r="F10" s="3523">
        <f>IF(SUM(F11,F16:F17)=0,"NO",SUM(F11,F16:F17))</f>
        <v>2190.157086889717</v>
      </c>
      <c r="G10" s="3524">
        <f>IF(SUM(G11,G16:G17)=0,"NO",SUM(G11,G16:G17))</f>
        <v>-8030.575985262295</v>
      </c>
      <c r="H10" s="226"/>
      <c r="I10" s="2"/>
      <c r="J10" s="2"/>
    </row>
    <row r="11" spans="1:10" ht="18" customHeight="1" x14ac:dyDescent="0.2">
      <c r="B11" s="606" t="s">
        <v>1314</v>
      </c>
      <c r="C11" s="3525">
        <f>IF(SUM(C13:C15)=0,"NO",SUM(C13:C15))</f>
        <v>1807.1011563128066</v>
      </c>
      <c r="D11" s="3526">
        <f>IF(SUM(D13:D15)=0,"NO",SUM(D13:D15))</f>
        <v>-654.35741663820386</v>
      </c>
      <c r="E11" s="3527"/>
      <c r="F11" s="3528">
        <f>IF(SUM(F13:F15)=0,"NO",SUM(F13:F15))</f>
        <v>1152.7437396746027</v>
      </c>
      <c r="G11" s="3529">
        <f>IF(SUM(G13:G15)=0,"NO",SUM(G13:G15))</f>
        <v>-4226.7270454735426</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1297.2863730823565</v>
      </c>
      <c r="D13" s="3534">
        <f>F13-C13</f>
        <v>-401.84038341312134</v>
      </c>
      <c r="E13" s="3535" t="s">
        <v>2147</v>
      </c>
      <c r="F13" s="3536">
        <f>G13/(-44/12)</f>
        <v>895.44598966923513</v>
      </c>
      <c r="G13" s="3537">
        <v>-3283.3019621205285</v>
      </c>
      <c r="H13" s="226"/>
      <c r="I13" s="2"/>
      <c r="J13" s="2"/>
    </row>
    <row r="14" spans="1:10" ht="18" customHeight="1" x14ac:dyDescent="0.2">
      <c r="B14" s="1193" t="s">
        <v>1316</v>
      </c>
      <c r="C14" s="3538">
        <v>509.81478323045013</v>
      </c>
      <c r="D14" s="3539">
        <f>F14-C14</f>
        <v>-252.51703322508257</v>
      </c>
      <c r="E14" s="3235" t="s">
        <v>2147</v>
      </c>
      <c r="F14" s="3540">
        <f>G14/(-44/12)</f>
        <v>257.29775000536756</v>
      </c>
      <c r="G14" s="3537">
        <v>-943.42508335301432</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2054.0655666166226</v>
      </c>
      <c r="D16" s="3539">
        <f>F16-C16</f>
        <v>-1970.654491518693</v>
      </c>
      <c r="E16" s="3235" t="s">
        <v>2147</v>
      </c>
      <c r="F16" s="3540">
        <f>G16/(-44/12)</f>
        <v>83.411075097929597</v>
      </c>
      <c r="G16" s="3537">
        <v>-305.84060869240852</v>
      </c>
      <c r="H16" s="226"/>
      <c r="I16" s="2"/>
      <c r="J16" s="2"/>
    </row>
    <row r="17" spans="2:10" ht="18" customHeight="1" x14ac:dyDescent="0.2">
      <c r="B17" s="1197" t="s">
        <v>1320</v>
      </c>
      <c r="C17" s="3542">
        <f>C18</f>
        <v>1494.4558720052826</v>
      </c>
      <c r="D17" s="3543">
        <f t="shared" ref="D17:F17" si="0">D18</f>
        <v>-540.45359988809798</v>
      </c>
      <c r="E17" s="3544"/>
      <c r="F17" s="3226">
        <f t="shared" si="0"/>
        <v>954.00227211718459</v>
      </c>
      <c r="G17" s="3537">
        <f>-F17*44/12</f>
        <v>-3498.0083310963437</v>
      </c>
      <c r="H17" s="226"/>
      <c r="I17" s="2"/>
      <c r="J17" s="2"/>
    </row>
    <row r="18" spans="2:10" ht="18" customHeight="1" thickBot="1" x14ac:dyDescent="0.25">
      <c r="B18" s="561" t="s">
        <v>2254</v>
      </c>
      <c r="C18" s="3545">
        <v>1494.4558720052826</v>
      </c>
      <c r="D18" s="3546">
        <f>F18-C18</f>
        <v>-540.45359988809798</v>
      </c>
      <c r="E18" s="3238" t="s">
        <v>2147</v>
      </c>
      <c r="F18" s="3547">
        <f>G18/(-44/12)</f>
        <v>954.00227211718459</v>
      </c>
      <c r="G18" s="3548">
        <v>-3498.0083310963432</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28.845923344468943</v>
      </c>
      <c r="D10" s="4371">
        <f t="shared" ref="D10:I10" si="0">IF(SUM(D11,D15,D18,D21)=0,"NO",SUM(D11,D15,D18,D21))</f>
        <v>558.12658053067435</v>
      </c>
      <c r="E10" s="4371">
        <f t="shared" si="0"/>
        <v>0.89207302509492714</v>
      </c>
      <c r="F10" s="4371" t="str">
        <f t="shared" si="0"/>
        <v>NO</v>
      </c>
      <c r="G10" s="4371" t="str">
        <f t="shared" si="0"/>
        <v>NO</v>
      </c>
      <c r="H10" s="4371">
        <f t="shared" si="0"/>
        <v>250.22899501511267</v>
      </c>
      <c r="I10" s="4372" t="str">
        <f t="shared" si="0"/>
        <v>NO</v>
      </c>
      <c r="J10" s="4373">
        <f>IF(SUM(C10:E10)=0,"NO",SUM(C10,IFERROR(28*D10,0),IFERROR(265*E10,0)))</f>
        <v>15892.789529853506</v>
      </c>
    </row>
    <row r="11" spans="1:10" ht="18" customHeight="1" x14ac:dyDescent="0.2">
      <c r="B11" s="1504" t="s">
        <v>1371</v>
      </c>
      <c r="C11" s="4374"/>
      <c r="D11" s="2883">
        <f>IF(SUM(D12:D14)=0,"NO",SUM(D12:D14))</f>
        <v>444.41494939</v>
      </c>
      <c r="E11" s="4374"/>
      <c r="F11" s="2883" t="str">
        <f>IF(SUM(F12:F14)=0,"NO",SUM(F12:F14))</f>
        <v>NO</v>
      </c>
      <c r="G11" s="2883" t="str">
        <f t="shared" ref="G11:H11" si="1">IF(SUM(G12:G14)=0,"NO",SUM(G12:G14))</f>
        <v>NO</v>
      </c>
      <c r="H11" s="2883">
        <f t="shared" si="1"/>
        <v>2.8525287493541911</v>
      </c>
      <c r="I11" s="2153"/>
      <c r="J11" s="2872">
        <f t="shared" ref="J11:J18" si="2">IF(SUM(C11:E11)=0,"NO",SUM(C11,IFERROR(28*D11,0),IFERROR(265*E11,0)))</f>
        <v>12443.61858292</v>
      </c>
    </row>
    <row r="12" spans="1:10" ht="18" customHeight="1" x14ac:dyDescent="0.2">
      <c r="B12" s="1270" t="s">
        <v>1372</v>
      </c>
      <c r="C12" s="4375"/>
      <c r="D12" s="4376">
        <f>IF(SUM(Table5.A!F10:H10)=0,"NO",SUM(Table5.A!F10))</f>
        <v>444.41494939</v>
      </c>
      <c r="E12" s="4375"/>
      <c r="F12" s="4377" t="s">
        <v>2147</v>
      </c>
      <c r="G12" s="4377" t="s">
        <v>2147</v>
      </c>
      <c r="H12" s="4377">
        <v>2.8525287493541911</v>
      </c>
      <c r="I12" s="4378"/>
      <c r="J12" s="4379">
        <f t="shared" si="2"/>
        <v>12443.61858292</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2.2099488508659997</v>
      </c>
      <c r="E15" s="2881">
        <f t="shared" ref="E15" si="3">IF(SUM(E16:E17)=0,"NO",SUM(E16:E17))</f>
        <v>0.28287345291084803</v>
      </c>
      <c r="F15" s="2881" t="s">
        <v>2256</v>
      </c>
      <c r="G15" s="2881" t="s">
        <v>2256</v>
      </c>
      <c r="H15" s="2881" t="s">
        <v>2256</v>
      </c>
      <c r="I15" s="4386"/>
      <c r="J15" s="2873">
        <f t="shared" si="2"/>
        <v>136.84003284562272</v>
      </c>
    </row>
    <row r="16" spans="1:10" ht="18" customHeight="1" x14ac:dyDescent="0.2">
      <c r="B16" s="1883" t="s">
        <v>1376</v>
      </c>
      <c r="C16" s="4387"/>
      <c r="D16" s="4376">
        <f>Table5.B!F10</f>
        <v>2.2099488508659997</v>
      </c>
      <c r="E16" s="4376">
        <f>Table5.B!G10</f>
        <v>0.28287345291084803</v>
      </c>
      <c r="F16" s="4388" t="s">
        <v>2147</v>
      </c>
      <c r="G16" s="4388" t="s">
        <v>2147</v>
      </c>
      <c r="H16" s="4388" t="s">
        <v>2147</v>
      </c>
      <c r="I16" s="4378"/>
      <c r="J16" s="4379">
        <f t="shared" si="2"/>
        <v>136.84003284562272</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28.845923344468943</v>
      </c>
      <c r="D18" s="2871" t="str">
        <f>IF(SUM(D19:D20)=0,"NO,NE",SUM(D19:D20))</f>
        <v>NO,NE</v>
      </c>
      <c r="E18" s="2871" t="str">
        <f>IF(SUM(E19:E20)=0,"NO,NE",SUM(E19:E20))</f>
        <v>NO,NE</v>
      </c>
      <c r="F18" s="2871" t="s">
        <v>2147</v>
      </c>
      <c r="G18" s="2871" t="s">
        <v>2147</v>
      </c>
      <c r="H18" s="2871" t="s">
        <v>2147</v>
      </c>
      <c r="I18" s="2871" t="s">
        <v>2147</v>
      </c>
      <c r="J18" s="2874">
        <f t="shared" si="2"/>
        <v>28.845923344468943</v>
      </c>
    </row>
    <row r="19" spans="2:12" ht="18" customHeight="1" x14ac:dyDescent="0.2">
      <c r="B19" s="1270" t="s">
        <v>1379</v>
      </c>
      <c r="C19" s="4376">
        <f>Table5.C!G10</f>
        <v>28.845923344468943</v>
      </c>
      <c r="D19" s="4376" t="str">
        <f>Table5.C!H10</f>
        <v>NO,NE</v>
      </c>
      <c r="E19" s="4376" t="str">
        <f>Table5.C!I10</f>
        <v>NO,NE</v>
      </c>
      <c r="F19" s="4391" t="s">
        <v>2147</v>
      </c>
      <c r="G19" s="4391" t="s">
        <v>2147</v>
      </c>
      <c r="H19" s="4391" t="s">
        <v>2147</v>
      </c>
      <c r="I19" s="4391" t="s">
        <v>2147</v>
      </c>
      <c r="J19" s="4379">
        <f>IF(SUM(C19:E19)=0,"NO",SUM(C19,IFERROR(28*D19,0),IFERROR(265*E19,0)))</f>
        <v>28.845923344468943</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111.50168228980831</v>
      </c>
      <c r="E21" s="2871">
        <f t="shared" ref="E21:H21" si="5">IF(SUM(E22:E24)=0,"NO",SUM(E22:E24))</f>
        <v>0.60919957218407905</v>
      </c>
      <c r="F21" s="2871" t="str">
        <f t="shared" si="5"/>
        <v>NO</v>
      </c>
      <c r="G21" s="2871" t="str">
        <f t="shared" si="5"/>
        <v>NO</v>
      </c>
      <c r="H21" s="2871">
        <f t="shared" si="5"/>
        <v>247.37646626575849</v>
      </c>
      <c r="I21" s="4393"/>
      <c r="J21" s="2874">
        <f t="shared" si="4"/>
        <v>3283.4849907434141</v>
      </c>
    </row>
    <row r="22" spans="2:12" ht="18" customHeight="1" x14ac:dyDescent="0.2">
      <c r="B22" s="1270" t="s">
        <v>1382</v>
      </c>
      <c r="C22" s="4394"/>
      <c r="D22" s="4376">
        <f>IF(SUM(Table5.D!H10)=0,"NO",SUM(Table5.D!H10))</f>
        <v>56.289447704952416</v>
      </c>
      <c r="E22" s="4376">
        <f>IF(SUM(Table5.D!I10:J10)=0,"NO",SUM(Table5.D!I10:J10))</f>
        <v>0.60919957218407905</v>
      </c>
      <c r="F22" s="4377" t="s">
        <v>2147</v>
      </c>
      <c r="G22" s="4377" t="s">
        <v>2147</v>
      </c>
      <c r="H22" s="4377">
        <v>6.5818757049320933</v>
      </c>
      <c r="I22" s="4378"/>
      <c r="J22" s="4379">
        <f t="shared" si="4"/>
        <v>1737.5424223674486</v>
      </c>
    </row>
    <row r="23" spans="2:12" ht="18" customHeight="1" x14ac:dyDescent="0.2">
      <c r="B23" s="1270" t="s">
        <v>1383</v>
      </c>
      <c r="C23" s="4394"/>
      <c r="D23" s="4376">
        <f>IF(SUM(Table5.D!H11)=0,"NO",SUM(Table5.D!H11))</f>
        <v>55.212234584855906</v>
      </c>
      <c r="E23" s="4376" t="str">
        <f>IF(SUM(Table5.D!I11:J11)=0,"IE",SUM(Table5.D!I11:J11))</f>
        <v>IE</v>
      </c>
      <c r="F23" s="4377" t="s">
        <v>2147</v>
      </c>
      <c r="G23" s="4377" t="s">
        <v>2147</v>
      </c>
      <c r="H23" s="4377">
        <v>240.79459056082641</v>
      </c>
      <c r="I23" s="4378"/>
      <c r="J23" s="4379">
        <f t="shared" si="4"/>
        <v>1545.9425683759655</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-248987.38813341095</v>
      </c>
      <c r="D28" s="4404"/>
      <c r="E28" s="4404"/>
      <c r="F28" s="4404"/>
      <c r="G28" s="4404"/>
      <c r="H28" s="4404"/>
      <c r="I28" s="4405"/>
      <c r="J28" s="4406"/>
      <c r="K28"/>
      <c r="L28"/>
    </row>
    <row r="29" spans="2:12" ht="18" customHeight="1" x14ac:dyDescent="0.2">
      <c r="B29" s="2487" t="s">
        <v>2081</v>
      </c>
      <c r="C29" s="4407">
        <v>-5897.2202958449152</v>
      </c>
      <c r="D29" s="4408"/>
      <c r="E29" s="4408"/>
      <c r="F29" s="4408"/>
      <c r="G29" s="4408"/>
      <c r="H29" s="4408"/>
      <c r="I29" s="4406"/>
      <c r="J29" s="4406"/>
      <c r="K29"/>
      <c r="L29"/>
    </row>
    <row r="30" spans="2:12" ht="29.25" customHeight="1" thickBot="1" x14ac:dyDescent="0.25">
      <c r="B30" s="2488" t="s">
        <v>2082</v>
      </c>
      <c r="C30" s="4409">
        <v>-3498.0083310963432</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20830.652888754608</v>
      </c>
      <c r="D10" s="3752"/>
      <c r="E10" s="3751">
        <f>IF(SUM(C10)=0,"NA",(F10-SUM(G10:H10))/C10)</f>
        <v>3.081108176578002E-2</v>
      </c>
      <c r="F10" s="3753">
        <f>F11</f>
        <v>444.41494939</v>
      </c>
      <c r="G10" s="3753" t="str">
        <f>G11</f>
        <v>IE</v>
      </c>
      <c r="H10" s="3754">
        <f>H11</f>
        <v>-197.4</v>
      </c>
      <c r="I10" s="44"/>
    </row>
    <row r="11" spans="1:13" ht="18" customHeight="1" x14ac:dyDescent="0.2">
      <c r="B11" s="1750" t="s">
        <v>1395</v>
      </c>
      <c r="C11" s="3755">
        <f>IF(SUM(C13:C16)=0,"NO",SUM(C13:C16))</f>
        <v>20830.652888754608</v>
      </c>
      <c r="D11" s="3755">
        <v>1</v>
      </c>
      <c r="E11" s="3755">
        <f>IF(SUM(C11)=0,"NA",(F11-SUM(G11:H11))/C11)</f>
        <v>3.081108176578002E-2</v>
      </c>
      <c r="F11" s="3755">
        <f>IF(SUM(F13:F16)=0,"NO",SUM(F13:F16))</f>
        <v>444.41494939</v>
      </c>
      <c r="G11" s="3756" t="s">
        <v>2153</v>
      </c>
      <c r="H11" s="3757">
        <v>-197.4</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12204.655650629329</v>
      </c>
      <c r="D13" s="3762">
        <v>1</v>
      </c>
      <c r="E13" s="3755" t="s">
        <v>2153</v>
      </c>
      <c r="F13" s="3762">
        <v>16.26150569</v>
      </c>
      <c r="G13" s="3763"/>
      <c r="H13" s="3764"/>
      <c r="I13" s="44"/>
    </row>
    <row r="14" spans="1:13" ht="18" customHeight="1" x14ac:dyDescent="0.2">
      <c r="B14" s="1751" t="s">
        <v>1398</v>
      </c>
      <c r="C14" s="3762">
        <v>3361.5749573217508</v>
      </c>
      <c r="D14" s="3762">
        <v>1</v>
      </c>
      <c r="E14" s="3755" t="s">
        <v>2153</v>
      </c>
      <c r="F14" s="3762">
        <v>190.46007309999999</v>
      </c>
      <c r="G14" s="3763"/>
      <c r="H14" s="3764"/>
      <c r="I14" s="44"/>
    </row>
    <row r="15" spans="1:13" ht="18" customHeight="1" x14ac:dyDescent="0.2">
      <c r="B15" s="1751" t="s">
        <v>1399</v>
      </c>
      <c r="C15" s="3762">
        <v>5264.4222808035302</v>
      </c>
      <c r="D15" s="3762">
        <v>1</v>
      </c>
      <c r="E15" s="3755" t="s">
        <v>2153</v>
      </c>
      <c r="F15" s="3762">
        <v>237.69337060000001</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2946.5984678213299</v>
      </c>
      <c r="D10" s="1913">
        <f>IF(SUM($C10)=0,"NA",F10*1000/$C10)</f>
        <v>0.75000000000000078</v>
      </c>
      <c r="E10" s="1913">
        <f>IF(SUM($C10)=0,"NA",G10*1000/$C10)</f>
        <v>9.6000000000000113E-2</v>
      </c>
      <c r="F10" s="1909">
        <f>IF(SUM(F11:F12)=0,"NO",SUM(F11:F12))</f>
        <v>2.2099488508659997</v>
      </c>
      <c r="G10" s="1909">
        <f>IF(SUM(G11:G12)=0,"NO",SUM(G11:G12))</f>
        <v>0.28287345291084803</v>
      </c>
      <c r="H10" s="1910"/>
      <c r="I10" s="1911"/>
    </row>
    <row r="11" spans="1:9" ht="18" customHeight="1" x14ac:dyDescent="0.2">
      <c r="B11" s="1526" t="s">
        <v>1411</v>
      </c>
      <c r="C11" s="1912">
        <v>2946.5984678213299</v>
      </c>
      <c r="D11" s="1913">
        <f>IF(SUM($C11)=0,"NA",F11*1000/$C11)</f>
        <v>0.75000000000000078</v>
      </c>
      <c r="E11" s="1913">
        <f>IF(SUM($C11)=0,"NA",G11*1000/$C11)</f>
        <v>9.6000000000000113E-2</v>
      </c>
      <c r="F11" s="1912">
        <v>2.2099488508659997</v>
      </c>
      <c r="G11" s="1912">
        <v>0.28287345291084803</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13.21355110432755</v>
      </c>
      <c r="D10" s="2887">
        <f>IF(SUM(G10)=0,"NA",G10*1000/$C10)</f>
        <v>2183.0561002652539</v>
      </c>
      <c r="E10" s="2887" t="str">
        <f t="shared" ref="E10:E20" si="0">IF(SUM(H10)=0,"NA",H10*1000/$C10)</f>
        <v>NA</v>
      </c>
      <c r="F10" s="2887" t="str">
        <f t="shared" ref="F10:F20" si="1">IF(SUM(I10)=0,"NA",I10*1000/$C10)</f>
        <v>NA</v>
      </c>
      <c r="G10" s="2887">
        <f>IF(SUM(G11,G21)=0,"NO",SUM(G11,G21))</f>
        <v>28.845923344468943</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13.21355110432755</v>
      </c>
      <c r="D21" s="116">
        <f>IF(SUM(G21)=0,"NA",G21*1000/$C21)</f>
        <v>2183.0561002652539</v>
      </c>
      <c r="E21" s="116" t="str">
        <f t="shared" ref="E21:F21" si="3">IF(SUM(H21)=0,"NA",H21*1000/$C21)</f>
        <v>NA</v>
      </c>
      <c r="F21" s="116" t="str">
        <f t="shared" si="3"/>
        <v>NA</v>
      </c>
      <c r="G21" s="2889">
        <f>IF(SUM(G22:G23)=0,"NO",SUM(G22:G23))</f>
        <v>28.845923344468943</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13.21355110432755</v>
      </c>
      <c r="D23" s="116">
        <f t="shared" si="4"/>
        <v>2183.0561002652539</v>
      </c>
      <c r="E23" s="151" t="str">
        <f t="shared" si="5"/>
        <v>NA</v>
      </c>
      <c r="F23" s="151" t="str">
        <f t="shared" si="6"/>
        <v>NA</v>
      </c>
      <c r="G23" s="151">
        <f>IF(SUM(G25:G30)=0,"NO",SUM(G25:G30))</f>
        <v>28.845923344468943</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13.21355110432755</v>
      </c>
      <c r="D27" s="116">
        <f t="shared" si="4"/>
        <v>880.00000000000023</v>
      </c>
      <c r="E27" s="116" t="str">
        <f t="shared" si="5"/>
        <v>NA</v>
      </c>
      <c r="F27" s="116" t="str">
        <f t="shared" si="6"/>
        <v>NA</v>
      </c>
      <c r="G27" s="2897">
        <v>11.627924971808246</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20010.11</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35.791944025476305</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2306.7572439778601</v>
      </c>
      <c r="D10" s="3435">
        <v>1770.2189156556201</v>
      </c>
      <c r="E10" s="3435">
        <v>115.272708904213</v>
      </c>
      <c r="F10" s="3436">
        <f>(SUM(H10)-SUM(K10:L10))/C10</f>
        <v>4.6154477441725475E-2</v>
      </c>
      <c r="G10" s="3437">
        <f>SUM(I10:J10)/E10/(44/28)</f>
        <v>3.3630896567926794E-3</v>
      </c>
      <c r="H10" s="3434">
        <v>56.289447704952416</v>
      </c>
      <c r="I10" s="3223">
        <v>0.60919957218407905</v>
      </c>
      <c r="J10" s="3223" t="s">
        <v>2153</v>
      </c>
      <c r="K10" s="3438">
        <v>-15.543587734644881</v>
      </c>
      <c r="L10" s="2911">
        <v>-34.634139741115675</v>
      </c>
      <c r="M10"/>
      <c r="N10" s="1770" t="s">
        <v>1468</v>
      </c>
      <c r="O10" s="3440">
        <v>1</v>
      </c>
    </row>
    <row r="11" spans="1:15" ht="18" customHeight="1" x14ac:dyDescent="0.2">
      <c r="A11"/>
      <c r="B11" s="1749" t="s">
        <v>1383</v>
      </c>
      <c r="C11" s="3435">
        <v>802.64863520275503</v>
      </c>
      <c r="D11" s="3435">
        <v>118.743538359973</v>
      </c>
      <c r="E11" s="691" t="s">
        <v>2153</v>
      </c>
      <c r="F11" s="3162">
        <f>(SUM(H11)-SUM(K11:L11))/C11</f>
        <v>7.1499432531403839E-2</v>
      </c>
      <c r="G11" s="3162" t="s">
        <v>2147</v>
      </c>
      <c r="H11" s="691">
        <v>55.212234584855906</v>
      </c>
      <c r="I11" s="691" t="s">
        <v>2153</v>
      </c>
      <c r="J11" s="691" t="s">
        <v>2153</v>
      </c>
      <c r="K11" s="3147" t="s">
        <v>2153</v>
      </c>
      <c r="L11" s="2911">
        <v>-2.1766873542468428</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416096.33595123357</v>
      </c>
      <c r="D10" s="4213">
        <f t="shared" si="0"/>
        <v>5066.2074466785925</v>
      </c>
      <c r="E10" s="4213">
        <f t="shared" si="0"/>
        <v>83.770385570585432</v>
      </c>
      <c r="F10" s="4213">
        <f t="shared" si="0"/>
        <v>2925.3286647757286</v>
      </c>
      <c r="G10" s="4213">
        <f t="shared" si="0"/>
        <v>1541.4296180492074</v>
      </c>
      <c r="H10" s="4213" t="str">
        <f>IF(SUM(H11,H22,H31,H42,H51)=0,"NO",SUM(H11,H22,H31,H42,H51))</f>
        <v>NO</v>
      </c>
      <c r="I10" s="4213">
        <f t="shared" ref="I10:N10" si="1">IF(SUM(I11,I22,I31,I42,I51)=0,"NO",SUM(I11,I22,I31,I42,I51))</f>
        <v>1.0116868644868732E-2</v>
      </c>
      <c r="J10" s="3834" t="str">
        <f t="shared" si="1"/>
        <v>NO</v>
      </c>
      <c r="K10" s="4213">
        <f t="shared" si="1"/>
        <v>3061.3340630885386</v>
      </c>
      <c r="L10" s="4213">
        <f t="shared" si="1"/>
        <v>28035.818895379794</v>
      </c>
      <c r="M10" s="4213">
        <f t="shared" si="1"/>
        <v>1938.6257021384208</v>
      </c>
      <c r="N10" s="4214">
        <f t="shared" si="1"/>
        <v>2512.3068971723014</v>
      </c>
      <c r="O10" s="3818">
        <f>IF(SUM(C10:J10)=0,"NO",SUM(C10,F10:H10)+28*SUM(D10)+265*SUM(E10)+23500*SUM(I10)+16100*SUM(J10))</f>
        <v>584853.80133041868</v>
      </c>
    </row>
    <row r="11" spans="1:15" ht="18" customHeight="1" x14ac:dyDescent="0.25">
      <c r="B11" s="1120" t="s">
        <v>1476</v>
      </c>
      <c r="C11" s="2552">
        <f>Table1!C10</f>
        <v>356994.1378218829</v>
      </c>
      <c r="D11" s="3810">
        <f>Table1!D10</f>
        <v>1303.9023985495385</v>
      </c>
      <c r="E11" s="3810">
        <f>Table1!E10</f>
        <v>12.639290424972446</v>
      </c>
      <c r="F11" s="4215"/>
      <c r="G11" s="4215"/>
      <c r="H11" s="4216"/>
      <c r="I11" s="4215"/>
      <c r="J11" s="98"/>
      <c r="K11" s="3810">
        <f>Table1!F10</f>
        <v>2086.7232977873437</v>
      </c>
      <c r="L11" s="3810">
        <f>Table1!G10</f>
        <v>4043.7934112299436</v>
      </c>
      <c r="M11" s="3810">
        <f>Table1!H10</f>
        <v>739.20789236476685</v>
      </c>
      <c r="N11" s="4217">
        <f>Table1!I10</f>
        <v>759.2169819031169</v>
      </c>
      <c r="O11" s="3781">
        <f t="shared" ref="O11:O58" si="2">IF(SUM(C11:J11)=0,"NO",SUM(C11,F11:H11)+28*SUM(D11)+265*SUM(E11)+23500*SUM(I11)+16100*SUM(J11))</f>
        <v>396852.81694388768</v>
      </c>
    </row>
    <row r="12" spans="1:15" ht="18" customHeight="1" x14ac:dyDescent="0.25">
      <c r="B12" s="1370" t="s">
        <v>1477</v>
      </c>
      <c r="C12" s="4218">
        <f>Table1!C11</f>
        <v>350136.1976506284</v>
      </c>
      <c r="D12" s="4219">
        <f>Table1!D11</f>
        <v>92.301478096089568</v>
      </c>
      <c r="E12" s="4219">
        <f>Table1!E11</f>
        <v>12.556681376876513</v>
      </c>
      <c r="F12" s="69"/>
      <c r="G12" s="69"/>
      <c r="H12" s="69"/>
      <c r="I12" s="69"/>
      <c r="J12" s="69"/>
      <c r="K12" s="4219">
        <f>Table1!F11</f>
        <v>2084.1407074531676</v>
      </c>
      <c r="L12" s="4219">
        <f>Table1!G11</f>
        <v>4028.8842872917235</v>
      </c>
      <c r="M12" s="4219">
        <f>Table1!H11</f>
        <v>535.77535310277563</v>
      </c>
      <c r="N12" s="4220">
        <f>Table1!I11</f>
        <v>759.2169819031169</v>
      </c>
      <c r="O12" s="3782">
        <f t="shared" si="2"/>
        <v>356048.15960219112</v>
      </c>
    </row>
    <row r="13" spans="1:15" ht="18" customHeight="1" x14ac:dyDescent="0.25">
      <c r="B13" s="1371" t="s">
        <v>1478</v>
      </c>
      <c r="C13" s="4218">
        <f>Table1!C12</f>
        <v>212910.90226205479</v>
      </c>
      <c r="D13" s="4219">
        <f>Table1!D12</f>
        <v>12.46491743602536</v>
      </c>
      <c r="E13" s="4219">
        <f>Table1!E12</f>
        <v>3.4547141470598972</v>
      </c>
      <c r="F13" s="69"/>
      <c r="G13" s="69"/>
      <c r="H13" s="69"/>
      <c r="I13" s="69"/>
      <c r="J13" s="69"/>
      <c r="K13" s="4219">
        <f>Table1!F12</f>
        <v>830.16587606124926</v>
      </c>
      <c r="L13" s="4219">
        <f>Table1!G12</f>
        <v>151.65608614977458</v>
      </c>
      <c r="M13" s="4219">
        <f>Table1!H12</f>
        <v>35.423750952389092</v>
      </c>
      <c r="N13" s="4220">
        <f>Table1!I12</f>
        <v>628.74955781646315</v>
      </c>
      <c r="O13" s="3783">
        <f t="shared" si="2"/>
        <v>214175.41919923437</v>
      </c>
    </row>
    <row r="14" spans="1:15" ht="18" customHeight="1" x14ac:dyDescent="0.25">
      <c r="B14" s="1371" t="s">
        <v>1479</v>
      </c>
      <c r="C14" s="4218">
        <f>Table1!C16</f>
        <v>40063.565027746365</v>
      </c>
      <c r="D14" s="4221">
        <f>Table1!D16</f>
        <v>2.1866889799163549</v>
      </c>
      <c r="E14" s="4221">
        <f>Table1!E16</f>
        <v>1.2935425084862127</v>
      </c>
      <c r="F14" s="3784"/>
      <c r="G14" s="3784"/>
      <c r="H14" s="3784"/>
      <c r="I14" s="3784"/>
      <c r="J14" s="69"/>
      <c r="K14" s="4221">
        <f>Table1!F16</f>
        <v>536.74174600980973</v>
      </c>
      <c r="L14" s="4221">
        <f>Table1!G16</f>
        <v>162.36815310293406</v>
      </c>
      <c r="M14" s="4221">
        <f>Table1!H16</f>
        <v>60.785976745731475</v>
      </c>
      <c r="N14" s="4222">
        <f>Table1!I16</f>
        <v>95.240553126245672</v>
      </c>
      <c r="O14" s="3785">
        <f t="shared" si="2"/>
        <v>40467.58108393287</v>
      </c>
    </row>
    <row r="15" spans="1:15" ht="18" customHeight="1" x14ac:dyDescent="0.25">
      <c r="B15" s="1371" t="s">
        <v>1480</v>
      </c>
      <c r="C15" s="4218">
        <f>Table1!C24</f>
        <v>78429.970225474623</v>
      </c>
      <c r="D15" s="4219">
        <f>Table1!D24</f>
        <v>24.925571185755999</v>
      </c>
      <c r="E15" s="4219">
        <f>Table1!E24</f>
        <v>7.1292786174709928</v>
      </c>
      <c r="F15" s="69"/>
      <c r="G15" s="69"/>
      <c r="H15" s="69"/>
      <c r="I15" s="69"/>
      <c r="J15" s="69"/>
      <c r="K15" s="4219">
        <f>Table1!F24</f>
        <v>360.06799074202553</v>
      </c>
      <c r="L15" s="4219">
        <f>Table1!G24</f>
        <v>2884.3235108434542</v>
      </c>
      <c r="M15" s="4219">
        <f>Table1!H24</f>
        <v>308.84242174276341</v>
      </c>
      <c r="N15" s="4220">
        <f>Table1!I24</f>
        <v>27.45814172758914</v>
      </c>
      <c r="O15" s="3783">
        <f t="shared" si="2"/>
        <v>81017.145052305597</v>
      </c>
    </row>
    <row r="16" spans="1:15" ht="18" customHeight="1" x14ac:dyDescent="0.25">
      <c r="B16" s="1371" t="s">
        <v>1481</v>
      </c>
      <c r="C16" s="4218">
        <f>Table1!C30</f>
        <v>18154.119522443081</v>
      </c>
      <c r="D16" s="4219">
        <f>Table1!D30</f>
        <v>52.702605381084553</v>
      </c>
      <c r="E16" s="4219">
        <f>Table1!E30</f>
        <v>0.66328647233038751</v>
      </c>
      <c r="F16" s="69"/>
      <c r="G16" s="69"/>
      <c r="H16" s="69"/>
      <c r="I16" s="69"/>
      <c r="J16" s="69"/>
      <c r="K16" s="4219">
        <f>Table1!F30</f>
        <v>353.03462912301882</v>
      </c>
      <c r="L16" s="4219">
        <f>Table1!G30</f>
        <v>825.88883944749659</v>
      </c>
      <c r="M16" s="4219">
        <f>Table1!H30</f>
        <v>130.25864859109691</v>
      </c>
      <c r="N16" s="4220">
        <f>Table1!I30</f>
        <v>7.6008153436725205</v>
      </c>
      <c r="O16" s="3783">
        <f t="shared" si="2"/>
        <v>19805.563388281</v>
      </c>
    </row>
    <row r="17" spans="2:15" ht="18" customHeight="1" x14ac:dyDescent="0.25">
      <c r="B17" s="1371" t="s">
        <v>1482</v>
      </c>
      <c r="C17" s="4218">
        <f>Table1!C34</f>
        <v>577.64061290953441</v>
      </c>
      <c r="D17" s="4219">
        <f>Table1!D34</f>
        <v>2.1695113307296923E-2</v>
      </c>
      <c r="E17" s="4219">
        <f>Table1!E34</f>
        <v>1.5859631529023716E-2</v>
      </c>
      <c r="F17" s="69"/>
      <c r="G17" s="69"/>
      <c r="H17" s="69"/>
      <c r="I17" s="69"/>
      <c r="J17" s="69"/>
      <c r="K17" s="4219">
        <f>Table1!F34</f>
        <v>4.1304655170641267</v>
      </c>
      <c r="L17" s="4219">
        <f>Table1!G34</f>
        <v>4.6476977480642612</v>
      </c>
      <c r="M17" s="4219">
        <f>Table1!H34</f>
        <v>0.46455507079475983</v>
      </c>
      <c r="N17" s="4220">
        <f>Table1!I34</f>
        <v>0.16791388914643157</v>
      </c>
      <c r="O17" s="3783">
        <f t="shared" si="2"/>
        <v>582.45087843732995</v>
      </c>
    </row>
    <row r="18" spans="2:15" ht="18" customHeight="1" x14ac:dyDescent="0.25">
      <c r="B18" s="1370" t="s">
        <v>99</v>
      </c>
      <c r="C18" s="4223">
        <f>Table1!C37</f>
        <v>6857.9401712544859</v>
      </c>
      <c r="D18" s="4224">
        <f>Table1!D37</f>
        <v>1211.6009204534489</v>
      </c>
      <c r="E18" s="4224">
        <f>Table1!E37</f>
        <v>8.260904809593192E-2</v>
      </c>
      <c r="F18" s="69"/>
      <c r="G18" s="69"/>
      <c r="H18" s="69"/>
      <c r="I18" s="69"/>
      <c r="J18" s="69"/>
      <c r="K18" s="4224">
        <f>Table1!F37</f>
        <v>2.5825903341758476</v>
      </c>
      <c r="L18" s="4219">
        <f>Table1!G37</f>
        <v>14.909123938219915</v>
      </c>
      <c r="M18" s="4219">
        <f>Table1!H37</f>
        <v>203.43253926199122</v>
      </c>
      <c r="N18" s="4220" t="str">
        <f>Table1!I37</f>
        <v>NO</v>
      </c>
      <c r="O18" s="3783">
        <f t="shared" si="2"/>
        <v>40804.657341696475</v>
      </c>
    </row>
    <row r="19" spans="2:15" ht="18" customHeight="1" x14ac:dyDescent="0.25">
      <c r="B19" s="1371" t="s">
        <v>1483</v>
      </c>
      <c r="C19" s="4225">
        <f>Table1!C38</f>
        <v>1056.4851416166221</v>
      </c>
      <c r="D19" s="4226">
        <f>Table1!D38</f>
        <v>990.26963733266234</v>
      </c>
      <c r="E19" s="4224">
        <f>Table1!E38</f>
        <v>1.0085912030617021E-4</v>
      </c>
      <c r="F19" s="69"/>
      <c r="G19" s="69"/>
      <c r="H19" s="69"/>
      <c r="I19" s="69"/>
      <c r="J19" s="69"/>
      <c r="K19" s="4224" t="str">
        <f>Table1!F38</f>
        <v>NO</v>
      </c>
      <c r="L19" s="4219" t="str">
        <f>Table1!G38</f>
        <v>NO</v>
      </c>
      <c r="M19" s="4219" t="str">
        <f>Table1!H38</f>
        <v>NO</v>
      </c>
      <c r="N19" s="4220" t="str">
        <f>Table1!I38</f>
        <v>NO</v>
      </c>
      <c r="O19" s="3783">
        <f t="shared" si="2"/>
        <v>28784.06171459805</v>
      </c>
    </row>
    <row r="20" spans="2:15" ht="18" customHeight="1" x14ac:dyDescent="0.25">
      <c r="B20" s="1372" t="s">
        <v>1484</v>
      </c>
      <c r="C20" s="4225">
        <f>Table1!C42</f>
        <v>5801.4550296378638</v>
      </c>
      <c r="D20" s="4227">
        <f>Table1!D42</f>
        <v>221.33128312078648</v>
      </c>
      <c r="E20" s="4224">
        <f>Table1!E42</f>
        <v>8.2508188975625743E-2</v>
      </c>
      <c r="F20" s="3784"/>
      <c r="G20" s="3784"/>
      <c r="H20" s="3784"/>
      <c r="I20" s="3784"/>
      <c r="J20" s="69"/>
      <c r="K20" s="4224">
        <f>Table1!F42</f>
        <v>2.5825903341758476</v>
      </c>
      <c r="L20" s="4221">
        <f>Table1!G42</f>
        <v>14.909123938219915</v>
      </c>
      <c r="M20" s="4221">
        <f>Table1!H42</f>
        <v>203.43253926199122</v>
      </c>
      <c r="N20" s="4222" t="str">
        <f>Table1!I42</f>
        <v>NO</v>
      </c>
      <c r="O20" s="3785">
        <f t="shared" si="2"/>
        <v>12020.595627098426</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23815.400141611954</v>
      </c>
      <c r="D22" s="4230">
        <f>'Table2(I)'!D10</f>
        <v>3.451872741649618</v>
      </c>
      <c r="E22" s="4231">
        <f>'Table2(I)'!E10</f>
        <v>8.3566343406258721</v>
      </c>
      <c r="F22" s="3810">
        <f>'Table2(I)'!F10</f>
        <v>2925.3286647757286</v>
      </c>
      <c r="G22" s="3810">
        <f>'Table2(I)'!G10</f>
        <v>1541.4296180492074</v>
      </c>
      <c r="H22" s="3810" t="str">
        <f>'Table2(I)'!H10</f>
        <v>NO</v>
      </c>
      <c r="I22" s="3810">
        <f>'Table2(I)'!I10</f>
        <v>1.0116868644868732E-2</v>
      </c>
      <c r="J22" s="3810" t="str">
        <f>'Table2(I)'!J10</f>
        <v>NO</v>
      </c>
      <c r="K22" s="3810">
        <f>'Table2(I)'!K10</f>
        <v>54.880979866860557</v>
      </c>
      <c r="L22" s="3810">
        <f>'Table2(I)'!L10</f>
        <v>12.641310620563107</v>
      </c>
      <c r="M22" s="3810">
        <f>'Table2(I)'!M10</f>
        <v>236.00629307070517</v>
      </c>
      <c r="N22" s="4217">
        <f>'Table2(I)'!N10</f>
        <v>1753.0899152691843</v>
      </c>
      <c r="O22" s="3781">
        <f t="shared" si="2"/>
        <v>30831.065374623351</v>
      </c>
    </row>
    <row r="23" spans="2:15" ht="18" customHeight="1" x14ac:dyDescent="0.25">
      <c r="B23" s="1133" t="s">
        <v>1487</v>
      </c>
      <c r="C23" s="4232">
        <f>'Table2(I)'!C11</f>
        <v>6389.4246039360696</v>
      </c>
      <c r="D23" s="3789"/>
      <c r="E23" s="98"/>
      <c r="F23" s="98"/>
      <c r="G23" s="98"/>
      <c r="H23" s="98"/>
      <c r="I23" s="98"/>
      <c r="J23" s="69"/>
      <c r="K23" s="4233" t="str">
        <f>'Table2(I)'!K11</f>
        <v>NO</v>
      </c>
      <c r="L23" s="4233" t="str">
        <f>'Table2(I)'!L11</f>
        <v>NO</v>
      </c>
      <c r="M23" s="4233" t="str">
        <f>'Table2(I)'!M11</f>
        <v>NO</v>
      </c>
      <c r="N23" s="4234" t="str">
        <f>'Table2(I)'!N11</f>
        <v>NO</v>
      </c>
      <c r="O23" s="3782">
        <f t="shared" si="2"/>
        <v>6389.4246039360696</v>
      </c>
    </row>
    <row r="24" spans="2:15" ht="18" customHeight="1" x14ac:dyDescent="0.25">
      <c r="B24" s="1133" t="s">
        <v>621</v>
      </c>
      <c r="C24" s="4232">
        <f>'Table2(I)'!C16</f>
        <v>2572.6230039920597</v>
      </c>
      <c r="D24" s="4235">
        <f>'Table2(I)'!D16</f>
        <v>0.55288379999999993</v>
      </c>
      <c r="E24" s="4236">
        <f>'Table2(I)'!E16</f>
        <v>8.2630274299999993</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5.2087903659999997</v>
      </c>
      <c r="N24" s="4220" t="str">
        <f>'Table2(I)'!N16</f>
        <v>NO</v>
      </c>
      <c r="O24" s="3783">
        <f t="shared" si="2"/>
        <v>4777.8060193420597</v>
      </c>
    </row>
    <row r="25" spans="2:15" ht="18" customHeight="1" x14ac:dyDescent="0.25">
      <c r="B25" s="1133" t="s">
        <v>459</v>
      </c>
      <c r="C25" s="4232">
        <f>'Table2(I)'!C27</f>
        <v>14357.155159378397</v>
      </c>
      <c r="D25" s="4235">
        <f>'Table2(I)'!D27</f>
        <v>2.898988941649618</v>
      </c>
      <c r="E25" s="4236">
        <f>'Table2(I)'!E27</f>
        <v>9.3606910625872897E-2</v>
      </c>
      <c r="F25" s="4219" t="str">
        <f>'Table2(I)'!F27</f>
        <v>NO</v>
      </c>
      <c r="G25" s="4219">
        <f>'Table2(I)'!G27</f>
        <v>1541.4296180492074</v>
      </c>
      <c r="H25" s="4219" t="str">
        <f>'Table2(I)'!H27</f>
        <v>NO</v>
      </c>
      <c r="I25" s="4219" t="str">
        <f>'Table2(I)'!I27</f>
        <v>NO</v>
      </c>
      <c r="J25" s="4219" t="str">
        <f>'Table2(I)'!J27</f>
        <v>NO</v>
      </c>
      <c r="K25" s="4219">
        <f>'Table2(I)'!K27</f>
        <v>54.880979866860557</v>
      </c>
      <c r="L25" s="4219">
        <f>'Table2(I)'!L27</f>
        <v>12.641310620563107</v>
      </c>
      <c r="M25" s="4219">
        <f>'Table2(I)'!M27</f>
        <v>0.142234777027477</v>
      </c>
      <c r="N25" s="4220">
        <f>'Table2(I)'!N27</f>
        <v>1753.0899152691843</v>
      </c>
      <c r="O25" s="3783">
        <f t="shared" si="2"/>
        <v>16004.56229910965</v>
      </c>
    </row>
    <row r="26" spans="2:15" ht="18" customHeight="1" x14ac:dyDescent="0.25">
      <c r="B26" s="1133" t="s">
        <v>1488</v>
      </c>
      <c r="C26" s="4232">
        <f>'Table2(I)'!C35</f>
        <v>331.19102349999997</v>
      </c>
      <c r="D26" s="3790" t="str">
        <f>'Table2(I)'!D35</f>
        <v>NO</v>
      </c>
      <c r="E26" s="616" t="str">
        <f>'Table2(I)'!E35</f>
        <v>NO</v>
      </c>
      <c r="F26" s="69"/>
      <c r="G26" s="69"/>
      <c r="H26" s="69"/>
      <c r="I26" s="69"/>
      <c r="J26" s="69"/>
      <c r="K26" s="616" t="str">
        <f>'Table2(I)'!K35</f>
        <v>NO</v>
      </c>
      <c r="L26" s="4236" t="str">
        <f>'Table2(I)'!L35</f>
        <v>NO</v>
      </c>
      <c r="M26" s="4236">
        <f>'Table2(I)'!M35</f>
        <v>176.62613792767769</v>
      </c>
      <c r="N26" s="4237" t="str">
        <f>'Table2(I)'!N35</f>
        <v>NO</v>
      </c>
      <c r="O26" s="3783">
        <f t="shared" si="2"/>
        <v>331.19102349999997</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2925.3286647757286</v>
      </c>
      <c r="G28" s="4221" t="str">
        <f>'Table2(I)'!G45</f>
        <v>NO</v>
      </c>
      <c r="H28" s="4221" t="str">
        <f>'Table2(I)'!H45</f>
        <v>NO</v>
      </c>
      <c r="I28" s="4221" t="str">
        <f>'Table2(I)'!I45</f>
        <v>NO</v>
      </c>
      <c r="J28" s="4221" t="str">
        <f>'Table2(I)'!J45</f>
        <v>NO</v>
      </c>
      <c r="K28" s="3784"/>
      <c r="L28" s="3784"/>
      <c r="M28" s="3784"/>
      <c r="N28" s="3793"/>
      <c r="O28" s="3785">
        <f t="shared" si="2"/>
        <v>2925.3286647757286</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1.0116868644868732E-2</v>
      </c>
      <c r="J29" s="616" t="str">
        <f>'Table2(I)'!J52</f>
        <v>NO</v>
      </c>
      <c r="K29" s="3796" t="str">
        <f>'Table2(I)'!K52</f>
        <v>NO</v>
      </c>
      <c r="L29" s="3796" t="str">
        <f>'Table2(I)'!L52</f>
        <v>NO</v>
      </c>
      <c r="M29" s="3796" t="str">
        <f>'Table2(I)'!M52</f>
        <v>NO</v>
      </c>
      <c r="N29" s="3797" t="str">
        <f>'Table2(I)'!N52</f>
        <v>NO</v>
      </c>
      <c r="O29" s="3785">
        <f t="shared" si="2"/>
        <v>237.74641315441522</v>
      </c>
    </row>
    <row r="30" spans="2:15" ht="18" customHeight="1" thickBot="1" x14ac:dyDescent="0.3">
      <c r="B30" s="1375" t="s">
        <v>2040</v>
      </c>
      <c r="C30" s="4239">
        <f>'Table2(I)'!C57</f>
        <v>165.00635080543125</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54.029129999999995</v>
      </c>
      <c r="N30" s="4242" t="str">
        <f>'Table2(I)'!N57</f>
        <v>NA</v>
      </c>
      <c r="O30" s="3798">
        <f t="shared" si="2"/>
        <v>165.00635080543125</v>
      </c>
    </row>
    <row r="31" spans="2:15" ht="18" customHeight="1" x14ac:dyDescent="0.25">
      <c r="B31" s="1134" t="s">
        <v>1491</v>
      </c>
      <c r="C31" s="3817">
        <f>Table3!C10</f>
        <v>2035.0700679623124</v>
      </c>
      <c r="D31" s="3799">
        <f>Table3!D10</f>
        <v>2535.1097905504412</v>
      </c>
      <c r="E31" s="3800">
        <f>Table3!E10</f>
        <v>46.16080833168958</v>
      </c>
      <c r="F31" s="3801"/>
      <c r="G31" s="3801"/>
      <c r="H31" s="3801"/>
      <c r="I31" s="3801"/>
      <c r="J31" s="3801"/>
      <c r="K31" s="4243">
        <f>Table3!F10</f>
        <v>32.81647333971091</v>
      </c>
      <c r="L31" s="4243">
        <f>Table3!G10</f>
        <v>536.80407194155293</v>
      </c>
      <c r="M31" s="4243">
        <f>Table3!H10</f>
        <v>31.313570863257247</v>
      </c>
      <c r="N31" s="4244" t="str">
        <f>Table3!I10</f>
        <v>NO</v>
      </c>
      <c r="O31" s="3782">
        <f t="shared" si="2"/>
        <v>85250.7584112724</v>
      </c>
    </row>
    <row r="32" spans="2:15" ht="18" customHeight="1" x14ac:dyDescent="0.25">
      <c r="B32" s="4245" t="s">
        <v>1492</v>
      </c>
      <c r="C32" s="3791"/>
      <c r="D32" s="4246">
        <f>Table3!D11</f>
        <v>2271.8294666536513</v>
      </c>
      <c r="E32" s="98"/>
      <c r="F32" s="3802"/>
      <c r="G32" s="3802"/>
      <c r="H32" s="3789"/>
      <c r="I32" s="3802"/>
      <c r="J32" s="3789"/>
      <c r="K32" s="98"/>
      <c r="L32" s="98"/>
      <c r="M32" s="98"/>
      <c r="N32" s="3803"/>
      <c r="O32" s="3782">
        <f t="shared" si="2"/>
        <v>63611.225066302235</v>
      </c>
    </row>
    <row r="33" spans="2:15" ht="18" customHeight="1" x14ac:dyDescent="0.25">
      <c r="B33" s="4245" t="s">
        <v>1493</v>
      </c>
      <c r="C33" s="3791"/>
      <c r="D33" s="4226">
        <f>Table3!D20</f>
        <v>238.9162633939296</v>
      </c>
      <c r="E33" s="4226">
        <f>Table3!E20</f>
        <v>1.4839846739407445</v>
      </c>
      <c r="F33" s="3802"/>
      <c r="G33" s="3802"/>
      <c r="H33" s="3802"/>
      <c r="I33" s="3802"/>
      <c r="J33" s="3802"/>
      <c r="K33" s="69"/>
      <c r="L33" s="69"/>
      <c r="M33" s="4247" t="str">
        <f>Table3!H20</f>
        <v>NE</v>
      </c>
      <c r="N33" s="3804"/>
      <c r="O33" s="3783">
        <f t="shared" si="2"/>
        <v>7082.9113136243268</v>
      </c>
    </row>
    <row r="34" spans="2:15" ht="18" customHeight="1" x14ac:dyDescent="0.25">
      <c r="B34" s="4245" t="s">
        <v>1494</v>
      </c>
      <c r="C34" s="3791"/>
      <c r="D34" s="4226">
        <f>Table3!D31</f>
        <v>10.599853529999999</v>
      </c>
      <c r="E34" s="69"/>
      <c r="F34" s="3802"/>
      <c r="G34" s="3802"/>
      <c r="H34" s="3802"/>
      <c r="I34" s="3802"/>
      <c r="J34" s="3802"/>
      <c r="K34" s="69"/>
      <c r="L34" s="69"/>
      <c r="M34" s="4247" t="str">
        <f>Table3!H31</f>
        <v>NE</v>
      </c>
      <c r="N34" s="3804"/>
      <c r="O34" s="3783">
        <f t="shared" si="2"/>
        <v>296.79589883999995</v>
      </c>
    </row>
    <row r="35" spans="2:15" ht="18" customHeight="1" x14ac:dyDescent="0.25">
      <c r="B35" s="4245" t="s">
        <v>1495</v>
      </c>
      <c r="C35" s="4248"/>
      <c r="D35" s="4226" t="str">
        <f>Table3!D32</f>
        <v>NE</v>
      </c>
      <c r="E35" s="4226">
        <f>Table3!E32</f>
        <v>44.108820102634994</v>
      </c>
      <c r="F35" s="3802"/>
      <c r="G35" s="3802"/>
      <c r="H35" s="3802"/>
      <c r="I35" s="3802"/>
      <c r="J35" s="3802"/>
      <c r="K35" s="4247" t="str">
        <f>Table3!F32</f>
        <v>NO</v>
      </c>
      <c r="L35" s="4247" t="str">
        <f>Table3!G32</f>
        <v>NO</v>
      </c>
      <c r="M35" s="4247" t="str">
        <f>Table3!H32</f>
        <v>NO</v>
      </c>
      <c r="N35" s="3804"/>
      <c r="O35" s="3783">
        <f t="shared" si="2"/>
        <v>11688.837327198273</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13.764206972860329</v>
      </c>
      <c r="E37" s="4226">
        <f>Table3!E43</f>
        <v>0.56800355511383682</v>
      </c>
      <c r="F37" s="3802"/>
      <c r="G37" s="3802"/>
      <c r="H37" s="3802"/>
      <c r="I37" s="3802"/>
      <c r="J37" s="3802"/>
      <c r="K37" s="4247">
        <f>Table3!F43</f>
        <v>32.81647333971091</v>
      </c>
      <c r="L37" s="4247">
        <f>Table3!G43</f>
        <v>536.80407194155293</v>
      </c>
      <c r="M37" s="4247">
        <f>Table3!H43</f>
        <v>31.313570863257247</v>
      </c>
      <c r="N37" s="4247" t="str">
        <f>Table3!I43</f>
        <v>NO</v>
      </c>
      <c r="O37" s="3783">
        <f t="shared" si="2"/>
        <v>535.91873734525598</v>
      </c>
    </row>
    <row r="38" spans="2:15" ht="18" customHeight="1" x14ac:dyDescent="0.25">
      <c r="B38" s="4249" t="s">
        <v>721</v>
      </c>
      <c r="C38" s="3794">
        <f>Table3!C44</f>
        <v>1079.5133123531791</v>
      </c>
      <c r="D38" s="4250"/>
      <c r="E38" s="4250"/>
      <c r="F38" s="3792"/>
      <c r="G38" s="3792"/>
      <c r="H38" s="3792"/>
      <c r="I38" s="3792"/>
      <c r="J38" s="3792"/>
      <c r="K38" s="3805"/>
      <c r="L38" s="3805"/>
      <c r="M38" s="3805"/>
      <c r="N38" s="3793"/>
      <c r="O38" s="3785">
        <f t="shared" si="2"/>
        <v>1079.5133123531791</v>
      </c>
    </row>
    <row r="39" spans="2:15" ht="18" customHeight="1" x14ac:dyDescent="0.25">
      <c r="B39" s="4249" t="s">
        <v>722</v>
      </c>
      <c r="C39" s="3806">
        <f>Table3!C45</f>
        <v>955.55675560913323</v>
      </c>
      <c r="D39" s="4250"/>
      <c r="E39" s="4250"/>
      <c r="F39" s="3792"/>
      <c r="G39" s="3792"/>
      <c r="H39" s="3792"/>
      <c r="I39" s="3792"/>
      <c r="J39" s="3792"/>
      <c r="K39" s="3805"/>
      <c r="L39" s="3805"/>
      <c r="M39" s="3805"/>
      <c r="N39" s="3793"/>
      <c r="O39" s="3785">
        <f t="shared" si="2"/>
        <v>955.55675560913323</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33222.88199643189</v>
      </c>
      <c r="D42" s="3809">
        <f>Table4!D10</f>
        <v>665.61680430628974</v>
      </c>
      <c r="E42" s="3810">
        <f>Table4!E10</f>
        <v>15.721579448202602</v>
      </c>
      <c r="F42" s="3801"/>
      <c r="G42" s="3801"/>
      <c r="H42" s="3801"/>
      <c r="I42" s="3801"/>
      <c r="J42" s="3801"/>
      <c r="K42" s="4253">
        <f>Table4!F10</f>
        <v>886.91331209462351</v>
      </c>
      <c r="L42" s="4253">
        <f>Table4!G10</f>
        <v>23442.580101587733</v>
      </c>
      <c r="M42" s="4253">
        <f>Table4!H10</f>
        <v>681.86895082457875</v>
      </c>
      <c r="N42" s="4254" t="str">
        <f>N50</f>
        <v>NO</v>
      </c>
      <c r="O42" s="3781">
        <f t="shared" si="2"/>
        <v>56026.371070781686</v>
      </c>
    </row>
    <row r="43" spans="2:15" ht="18" customHeight="1" x14ac:dyDescent="0.25">
      <c r="B43" s="4245" t="s">
        <v>2042</v>
      </c>
      <c r="C43" s="4255">
        <f>Table4!C11</f>
        <v>-41114.37885114376</v>
      </c>
      <c r="D43" s="4256">
        <f>Table4!D11</f>
        <v>236.87120338080976</v>
      </c>
      <c r="E43" s="4257">
        <f>Table4!E11</f>
        <v>4.563587363109959</v>
      </c>
      <c r="F43" s="3792"/>
      <c r="G43" s="3792"/>
      <c r="H43" s="3792"/>
      <c r="I43" s="3792"/>
      <c r="J43" s="3792"/>
      <c r="K43" s="4247">
        <f>Table4!F11</f>
        <v>248.01068432272407</v>
      </c>
      <c r="L43" s="4247">
        <f>Table4!G11</f>
        <v>6698.059014000245</v>
      </c>
      <c r="M43" s="4247">
        <f>Table4!H11</f>
        <v>237.18209106986185</v>
      </c>
      <c r="N43" s="3811"/>
      <c r="O43" s="3812">
        <f t="shared" si="2"/>
        <v>-33272.634505256952</v>
      </c>
    </row>
    <row r="44" spans="2:15" ht="18" customHeight="1" x14ac:dyDescent="0.25">
      <c r="B44" s="4245" t="s">
        <v>2043</v>
      </c>
      <c r="C44" s="4255">
        <f>Table4!C14</f>
        <v>8265.1879916794096</v>
      </c>
      <c r="D44" s="4258">
        <f>Table4!D14</f>
        <v>4.1728607999999996</v>
      </c>
      <c r="E44" s="4258">
        <f>Table4!E14</f>
        <v>0.16303286912344206</v>
      </c>
      <c r="F44" s="3802"/>
      <c r="G44" s="3802"/>
      <c r="H44" s="3802"/>
      <c r="I44" s="3802"/>
      <c r="J44" s="3802"/>
      <c r="K44" s="4247">
        <f>Table4!F14</f>
        <v>3.1420648285714283</v>
      </c>
      <c r="L44" s="4247">
        <f>Table4!G14</f>
        <v>123.060756</v>
      </c>
      <c r="M44" s="4247">
        <f>Table4!H14</f>
        <v>14.875476000000001</v>
      </c>
      <c r="N44" s="4259"/>
      <c r="O44" s="3783">
        <f t="shared" si="2"/>
        <v>8425.2318043971209</v>
      </c>
    </row>
    <row r="45" spans="2:15" ht="18" customHeight="1" x14ac:dyDescent="0.25">
      <c r="B45" s="4245" t="s">
        <v>2044</v>
      </c>
      <c r="C45" s="4255">
        <f>Table4!C17</f>
        <v>68700.153340731194</v>
      </c>
      <c r="D45" s="4258">
        <f>Table4!D17</f>
        <v>335.17263953260425</v>
      </c>
      <c r="E45" s="4258">
        <f>Table4!E17</f>
        <v>10.507537199883718</v>
      </c>
      <c r="F45" s="3802"/>
      <c r="G45" s="3802"/>
      <c r="H45" s="3802"/>
      <c r="I45" s="3802"/>
      <c r="J45" s="3802"/>
      <c r="K45" s="4247">
        <f>Table4!F17</f>
        <v>610.48764864412601</v>
      </c>
      <c r="L45" s="4247">
        <f>Table4!G17</f>
        <v>15969.080262763408</v>
      </c>
      <c r="M45" s="4247">
        <f>Table4!H17</f>
        <v>415.01628765635479</v>
      </c>
      <c r="N45" s="4259"/>
      <c r="O45" s="3783">
        <f t="shared" si="2"/>
        <v>80869.484605613296</v>
      </c>
    </row>
    <row r="46" spans="2:15" ht="18" customHeight="1" x14ac:dyDescent="0.25">
      <c r="B46" s="4245" t="s">
        <v>2045</v>
      </c>
      <c r="C46" s="4255">
        <f>Table4!C20</f>
        <v>159.28817855286738</v>
      </c>
      <c r="D46" s="4258">
        <f>Table4!D20</f>
        <v>85.345694192875726</v>
      </c>
      <c r="E46" s="4258">
        <f>Table4!E20</f>
        <v>0.30323428600378544</v>
      </c>
      <c r="F46" s="3802"/>
      <c r="G46" s="3802"/>
      <c r="H46" s="3802"/>
      <c r="I46" s="3802"/>
      <c r="J46" s="3802"/>
      <c r="K46" s="4247">
        <f>Table4!F20</f>
        <v>22.220042813487744</v>
      </c>
      <c r="L46" s="4247">
        <f>Table4!G20</f>
        <v>532.81262082408034</v>
      </c>
      <c r="M46" s="4247">
        <f>Table4!H20</f>
        <v>0.34188809836211814</v>
      </c>
      <c r="N46" s="4259"/>
      <c r="O46" s="3783">
        <f t="shared" si="2"/>
        <v>2629.3247017443909</v>
      </c>
    </row>
    <row r="47" spans="2:15" ht="18" customHeight="1" x14ac:dyDescent="0.25">
      <c r="B47" s="4245" t="s">
        <v>2046</v>
      </c>
      <c r="C47" s="4255">
        <f>Table4!C23</f>
        <v>5241.0018922011732</v>
      </c>
      <c r="D47" s="4258">
        <f>Table4!D23</f>
        <v>4.0544064000000004</v>
      </c>
      <c r="E47" s="4260">
        <f>Table4!E23</f>
        <v>0.10057413797884034</v>
      </c>
      <c r="F47" s="3802"/>
      <c r="G47" s="3802"/>
      <c r="H47" s="3802"/>
      <c r="I47" s="3802"/>
      <c r="J47" s="3802"/>
      <c r="K47" s="4247">
        <f>Table4!F23</f>
        <v>3.0528714857142853</v>
      </c>
      <c r="L47" s="4247">
        <f>Table4!G23</f>
        <v>119.567448</v>
      </c>
      <c r="M47" s="4247">
        <f>Table4!H23</f>
        <v>14.453208</v>
      </c>
      <c r="N47" s="1838"/>
      <c r="O47" s="3783">
        <f t="shared" si="2"/>
        <v>5381.1774179655658</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-8030.575985262295</v>
      </c>
      <c r="D49" s="3792"/>
      <c r="E49" s="3792"/>
      <c r="F49" s="3792"/>
      <c r="G49" s="3792"/>
      <c r="H49" s="3792"/>
      <c r="I49" s="3792"/>
      <c r="J49" s="3792"/>
      <c r="K49" s="3792"/>
      <c r="L49" s="3792"/>
      <c r="M49" s="3792"/>
      <c r="N49" s="3814"/>
      <c r="O49" s="3785">
        <f t="shared" si="2"/>
        <v>-8030.575985262295</v>
      </c>
    </row>
    <row r="50" spans="2:15" ht="18" customHeight="1" thickBot="1" x14ac:dyDescent="0.3">
      <c r="B50" s="4251" t="s">
        <v>2049</v>
      </c>
      <c r="C50" s="4264">
        <f>Table4!C30</f>
        <v>2.2054296732966669</v>
      </c>
      <c r="D50" s="4265" t="str">
        <f>Table4!D30</f>
        <v>NO</v>
      </c>
      <c r="E50" s="4265">
        <f>Table4!E30</f>
        <v>8.3613592102857154E-2</v>
      </c>
      <c r="F50" s="3807"/>
      <c r="G50" s="3807"/>
      <c r="H50" s="3807"/>
      <c r="I50" s="3807"/>
      <c r="J50" s="3807"/>
      <c r="K50" s="4266" t="str">
        <f>Table4!F30</f>
        <v>NO</v>
      </c>
      <c r="L50" s="4266" t="str">
        <f>Table4!G30</f>
        <v>NO</v>
      </c>
      <c r="M50" s="4266" t="str">
        <f>Table4!H30</f>
        <v>NO</v>
      </c>
      <c r="N50" s="4266" t="s">
        <v>2146</v>
      </c>
      <c r="O50" s="3798">
        <f t="shared" si="2"/>
        <v>24.363031580553812</v>
      </c>
    </row>
    <row r="51" spans="2:15" ht="18" customHeight="1" x14ac:dyDescent="0.25">
      <c r="B51" s="1377" t="s">
        <v>1500</v>
      </c>
      <c r="C51" s="3815">
        <f>Table5!C10</f>
        <v>28.845923344468943</v>
      </c>
      <c r="D51" s="3799">
        <f>Table5!D10</f>
        <v>558.12658053067435</v>
      </c>
      <c r="E51" s="3800">
        <f>Table5!E10</f>
        <v>0.89207302509492714</v>
      </c>
      <c r="F51" s="3801"/>
      <c r="G51" s="3801"/>
      <c r="H51" s="3801"/>
      <c r="I51" s="3801"/>
      <c r="J51" s="3801"/>
      <c r="K51" s="4243" t="str">
        <f>Table5!F10</f>
        <v>NO</v>
      </c>
      <c r="L51" s="4243" t="str">
        <f>Table5!G10</f>
        <v>NO</v>
      </c>
      <c r="M51" s="4243">
        <f>Table5!H10</f>
        <v>250.22899501511267</v>
      </c>
      <c r="N51" s="4244" t="str">
        <f>Table5!I10</f>
        <v>NO</v>
      </c>
      <c r="O51" s="4267">
        <f t="shared" si="2"/>
        <v>15892.789529853506</v>
      </c>
    </row>
    <row r="52" spans="2:15" ht="18" customHeight="1" x14ac:dyDescent="0.25">
      <c r="B52" s="4245" t="s">
        <v>2050</v>
      </c>
      <c r="C52" s="4248"/>
      <c r="D52" s="4246">
        <f>Table5!D11</f>
        <v>444.41494939</v>
      </c>
      <c r="E52" s="3816"/>
      <c r="F52" s="3801"/>
      <c r="G52" s="3801"/>
      <c r="H52" s="3801"/>
      <c r="I52" s="3801"/>
      <c r="J52" s="3801"/>
      <c r="K52" s="4247" t="str">
        <f>Table5!F11</f>
        <v>NO</v>
      </c>
      <c r="L52" s="4247" t="str">
        <f>Table5!G11</f>
        <v>NO</v>
      </c>
      <c r="M52" s="4247">
        <f>Table5!H11</f>
        <v>2.8525287493541911</v>
      </c>
      <c r="N52" s="3803"/>
      <c r="O52" s="4267">
        <f t="shared" si="2"/>
        <v>12443.61858292</v>
      </c>
    </row>
    <row r="53" spans="2:15" ht="18" customHeight="1" x14ac:dyDescent="0.25">
      <c r="B53" s="4245" t="s">
        <v>1501</v>
      </c>
      <c r="C53" s="4248"/>
      <c r="D53" s="4246">
        <f>Table5!D15</f>
        <v>2.2099488508659997</v>
      </c>
      <c r="E53" s="4246">
        <f>Table5!E15</f>
        <v>0.28287345291084803</v>
      </c>
      <c r="F53" s="3802"/>
      <c r="G53" s="3802"/>
      <c r="H53" s="3802"/>
      <c r="I53" s="3802"/>
      <c r="J53" s="3802"/>
      <c r="K53" s="4247" t="str">
        <f>Table5!F15</f>
        <v>NA,NE</v>
      </c>
      <c r="L53" s="4247" t="str">
        <f>Table5!G15</f>
        <v>NA,NE</v>
      </c>
      <c r="M53" s="4247" t="str">
        <f>Table5!H15</f>
        <v>NA,NE</v>
      </c>
      <c r="N53" s="3803"/>
      <c r="O53" s="3782">
        <f t="shared" si="2"/>
        <v>136.84003284562272</v>
      </c>
    </row>
    <row r="54" spans="2:15" ht="18" customHeight="1" x14ac:dyDescent="0.25">
      <c r="B54" s="4245" t="s">
        <v>2051</v>
      </c>
      <c r="C54" s="4268">
        <f>Table5!C18</f>
        <v>28.845923344468943</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28.845923344468943</v>
      </c>
    </row>
    <row r="55" spans="2:15" ht="18" customHeight="1" x14ac:dyDescent="0.25">
      <c r="B55" s="4245" t="s">
        <v>1502</v>
      </c>
      <c r="C55" s="3791"/>
      <c r="D55" s="4226">
        <f>Table5!D21</f>
        <v>111.50168228980831</v>
      </c>
      <c r="E55" s="4226">
        <f>Table5!E21</f>
        <v>0.60919957218407905</v>
      </c>
      <c r="F55" s="3802"/>
      <c r="G55" s="3802"/>
      <c r="H55" s="3802"/>
      <c r="I55" s="3802"/>
      <c r="J55" s="3802"/>
      <c r="K55" s="4247" t="str">
        <f>Table5!F21</f>
        <v>NO</v>
      </c>
      <c r="L55" s="4247" t="str">
        <f>Table5!G21</f>
        <v>NO</v>
      </c>
      <c r="M55" s="4247">
        <f>Table5!H21</f>
        <v>247.37646626575849</v>
      </c>
      <c r="N55" s="3803"/>
      <c r="O55" s="4270">
        <f t="shared" si="2"/>
        <v>3283.4849907434141</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9992.887999999999</v>
      </c>
      <c r="D61" s="3820">
        <f>Table1!D52</f>
        <v>0.28336508166666668</v>
      </c>
      <c r="E61" s="3820">
        <f>Table1!E52</f>
        <v>0.11546407625175439</v>
      </c>
      <c r="F61" s="628"/>
      <c r="G61" s="628"/>
      <c r="H61" s="628"/>
      <c r="I61" s="628"/>
      <c r="J61" s="628"/>
      <c r="K61" s="3820">
        <f>Table1!F52</f>
        <v>111.26711359464912</v>
      </c>
      <c r="L61" s="3820">
        <f>Table1!G52</f>
        <v>13.691229939210528</v>
      </c>
      <c r="M61" s="3820">
        <f>Table1!H52</f>
        <v>7.8019382746403512</v>
      </c>
      <c r="N61" s="3821">
        <f>Table1!I52</f>
        <v>43.82571381106613</v>
      </c>
      <c r="O61" s="4267">
        <f t="shared" ref="O61:O67" si="4">IF(SUM(C61:J61)=0,"NO",SUM(C61,F61:H61)+28*SUM(D61)+265*SUM(E61)+23500*SUM(I61)+16100*SUM(J61))</f>
        <v>10031.42020249338</v>
      </c>
    </row>
    <row r="62" spans="2:15" ht="18" customHeight="1" x14ac:dyDescent="0.25">
      <c r="B62" s="1371" t="s">
        <v>111</v>
      </c>
      <c r="C62" s="4279">
        <f>Table1!C53</f>
        <v>7173.6719999999996</v>
      </c>
      <c r="D62" s="4233">
        <f>Table1!D53</f>
        <v>1.3375081666666667E-2</v>
      </c>
      <c r="E62" s="4233">
        <f>Table1!E53</f>
        <v>3.8324076251754387E-2</v>
      </c>
      <c r="F62" s="628"/>
      <c r="G62" s="628"/>
      <c r="H62" s="628"/>
      <c r="I62" s="628"/>
      <c r="J62" s="2135"/>
      <c r="K62" s="4233">
        <f>Table1!F53</f>
        <v>36.344713594649129</v>
      </c>
      <c r="L62" s="4233">
        <f>Table1!G53</f>
        <v>11.365829939210528</v>
      </c>
      <c r="M62" s="4233">
        <f>Table1!H53</f>
        <v>5.4617882746403508</v>
      </c>
      <c r="N62" s="4234">
        <f>Table1!I53</f>
        <v>0.84517400000000009</v>
      </c>
      <c r="O62" s="3782">
        <f t="shared" si="4"/>
        <v>7184.2023824933813</v>
      </c>
    </row>
    <row r="63" spans="2:15" ht="18" customHeight="1" x14ac:dyDescent="0.25">
      <c r="B63" s="1380" t="s">
        <v>1503</v>
      </c>
      <c r="C63" s="4279">
        <f>Table1!C54</f>
        <v>2819.2160000000003</v>
      </c>
      <c r="D63" s="4219">
        <f>Table1!D54</f>
        <v>0.26999000000000001</v>
      </c>
      <c r="E63" s="4219">
        <f>Table1!E54</f>
        <v>7.714E-2</v>
      </c>
      <c r="F63" s="628"/>
      <c r="G63" s="628"/>
      <c r="H63" s="628"/>
      <c r="I63" s="628"/>
      <c r="J63" s="628"/>
      <c r="K63" s="4219">
        <f>Table1!F54</f>
        <v>74.922399999999996</v>
      </c>
      <c r="L63" s="4219">
        <f>Table1!G54</f>
        <v>2.3254000000000001</v>
      </c>
      <c r="M63" s="4219">
        <f>Table1!H54</f>
        <v>2.34015</v>
      </c>
      <c r="N63" s="4220">
        <f>Table1!I54</f>
        <v>42.98053981106613</v>
      </c>
      <c r="O63" s="3783">
        <f t="shared" si="4"/>
        <v>2847.2178200000008</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18497.257284546271</v>
      </c>
      <c r="D65" s="3823"/>
      <c r="E65" s="3823"/>
      <c r="F65" s="3824"/>
      <c r="G65" s="3824"/>
      <c r="H65" s="3824"/>
      <c r="I65" s="3824"/>
      <c r="J65" s="3823"/>
      <c r="K65" s="3823"/>
      <c r="L65" s="3823"/>
      <c r="M65" s="3823"/>
      <c r="N65" s="3825"/>
      <c r="O65" s="3812">
        <f t="shared" si="4"/>
        <v>18497.257284546271</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-248987.38813341095</v>
      </c>
      <c r="D67" s="3824"/>
      <c r="E67" s="3824"/>
      <c r="F67" s="3828"/>
      <c r="G67" s="3824"/>
      <c r="H67" s="3824"/>
      <c r="I67" s="3824"/>
      <c r="J67" s="3824"/>
      <c r="K67" s="3824"/>
      <c r="L67" s="3824"/>
      <c r="M67" s="3824"/>
      <c r="N67" s="3829"/>
      <c r="O67" s="3785">
        <f t="shared" si="4"/>
        <v>-248987.38813341095</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416096.33595123357</v>
      </c>
      <c r="D10" s="4213">
        <f>IFERROR(Summary1!D10*28,Summary1!D10)</f>
        <v>141853.80850700059</v>
      </c>
      <c r="E10" s="4213">
        <f>IFERROR(Summary1!E10*265,Summary1!E10)</f>
        <v>22199.152176205138</v>
      </c>
      <c r="F10" s="4213">
        <f>Summary1!F10</f>
        <v>2925.3286647757286</v>
      </c>
      <c r="G10" s="4213">
        <f>Summary1!G10</f>
        <v>1541.4296180492074</v>
      </c>
      <c r="H10" s="4213" t="str">
        <f>Summary1!H10</f>
        <v>NO</v>
      </c>
      <c r="I10" s="4288">
        <f>IFERROR(Summary1!I10*23500,Summary1!I10)</f>
        <v>237.74641315441522</v>
      </c>
      <c r="J10" s="4289" t="str">
        <f>IFERROR(Summary1!J10*16100,Summary1!J10)</f>
        <v>NO</v>
      </c>
      <c r="K10" s="4214">
        <f>IF(SUM(C10:J10)=0,"NO",SUM(C10:J10))</f>
        <v>584853.80133041868</v>
      </c>
    </row>
    <row r="11" spans="2:12" ht="18" customHeight="1" x14ac:dyDescent="0.2">
      <c r="B11" s="1550" t="s">
        <v>1476</v>
      </c>
      <c r="C11" s="4253">
        <f>Summary1!C11</f>
        <v>356994.1378218829</v>
      </c>
      <c r="D11" s="4253">
        <f>IFERROR(Summary1!D11*28,Summary1!D11)</f>
        <v>36509.267159387076</v>
      </c>
      <c r="E11" s="4253">
        <f>IFERROR(Summary1!E11*265,Summary1!E11)</f>
        <v>3349.411962617698</v>
      </c>
      <c r="F11" s="1929"/>
      <c r="G11" s="1929"/>
      <c r="H11" s="1930"/>
      <c r="I11" s="1930"/>
      <c r="J11" s="627"/>
      <c r="K11" s="4290">
        <f t="shared" ref="K11:K55" si="0">IF(SUM(C11:J11)=0,"NO",SUM(C11:J11))</f>
        <v>396852.81694388768</v>
      </c>
      <c r="L11" s="19"/>
    </row>
    <row r="12" spans="2:12" ht="18" customHeight="1" x14ac:dyDescent="0.2">
      <c r="B12" s="620" t="s">
        <v>131</v>
      </c>
      <c r="C12" s="4247">
        <f>Summary1!C12</f>
        <v>350136.1976506284</v>
      </c>
      <c r="D12" s="4247">
        <f>IFERROR(Summary1!D12*28,Summary1!D12)</f>
        <v>2584.4413866905079</v>
      </c>
      <c r="E12" s="4247">
        <f>IFERROR(Summary1!E12*265,Summary1!E12)</f>
        <v>3327.5205648722758</v>
      </c>
      <c r="F12" s="628"/>
      <c r="G12" s="628"/>
      <c r="H12" s="628"/>
      <c r="I12" s="69"/>
      <c r="J12" s="69"/>
      <c r="K12" s="4291">
        <f t="shared" si="0"/>
        <v>356048.15960219112</v>
      </c>
      <c r="L12" s="19"/>
    </row>
    <row r="13" spans="2:12" ht="18" customHeight="1" x14ac:dyDescent="0.2">
      <c r="B13" s="1392" t="s">
        <v>1478</v>
      </c>
      <c r="C13" s="4247">
        <f>Summary1!C13</f>
        <v>212910.90226205479</v>
      </c>
      <c r="D13" s="4247">
        <f>IFERROR(Summary1!D13*28,Summary1!D13)</f>
        <v>349.01768820871007</v>
      </c>
      <c r="E13" s="4247">
        <f>IFERROR(Summary1!E13*265,Summary1!E13)</f>
        <v>915.49924897087271</v>
      </c>
      <c r="F13" s="628"/>
      <c r="G13" s="628"/>
      <c r="H13" s="628"/>
      <c r="I13" s="69"/>
      <c r="J13" s="69"/>
      <c r="K13" s="4291">
        <f t="shared" si="0"/>
        <v>214175.41919923437</v>
      </c>
      <c r="L13" s="19"/>
    </row>
    <row r="14" spans="2:12" ht="18" customHeight="1" x14ac:dyDescent="0.2">
      <c r="B14" s="1392" t="s">
        <v>1517</v>
      </c>
      <c r="C14" s="4247">
        <f>Summary1!C14</f>
        <v>40063.565027746365</v>
      </c>
      <c r="D14" s="4247">
        <f>IFERROR(Summary1!D14*28,Summary1!D14)</f>
        <v>61.227291437657939</v>
      </c>
      <c r="E14" s="4247">
        <f>IFERROR(Summary1!E14*265,Summary1!E14)</f>
        <v>342.78876474884635</v>
      </c>
      <c r="F14" s="628"/>
      <c r="G14" s="628"/>
      <c r="H14" s="628"/>
      <c r="I14" s="69"/>
      <c r="J14" s="69"/>
      <c r="K14" s="4291">
        <f t="shared" si="0"/>
        <v>40467.58108393287</v>
      </c>
      <c r="L14" s="19"/>
    </row>
    <row r="15" spans="2:12" ht="18" customHeight="1" x14ac:dyDescent="0.2">
      <c r="B15" s="1392" t="s">
        <v>1480</v>
      </c>
      <c r="C15" s="4247">
        <f>Summary1!C15</f>
        <v>78429.970225474623</v>
      </c>
      <c r="D15" s="4247">
        <f>IFERROR(Summary1!D15*28,Summary1!D15)</f>
        <v>697.91599320116802</v>
      </c>
      <c r="E15" s="4247">
        <f>IFERROR(Summary1!E15*265,Summary1!E15)</f>
        <v>1889.2588336298131</v>
      </c>
      <c r="F15" s="628"/>
      <c r="G15" s="628"/>
      <c r="H15" s="628"/>
      <c r="I15" s="69"/>
      <c r="J15" s="69"/>
      <c r="K15" s="4291">
        <f t="shared" si="0"/>
        <v>81017.145052305597</v>
      </c>
      <c r="L15" s="19"/>
    </row>
    <row r="16" spans="2:12" ht="18" customHeight="1" x14ac:dyDescent="0.2">
      <c r="B16" s="1392" t="s">
        <v>1481</v>
      </c>
      <c r="C16" s="4247">
        <f>Summary1!C16</f>
        <v>18154.119522443081</v>
      </c>
      <c r="D16" s="4247">
        <f>IFERROR(Summary1!D16*28,Summary1!D16)</f>
        <v>1475.6729506703675</v>
      </c>
      <c r="E16" s="4247">
        <f>IFERROR(Summary1!E16*265,Summary1!E16)</f>
        <v>175.77091516755269</v>
      </c>
      <c r="F16" s="628"/>
      <c r="G16" s="628"/>
      <c r="H16" s="628"/>
      <c r="I16" s="69"/>
      <c r="J16" s="69"/>
      <c r="K16" s="4291">
        <f t="shared" si="0"/>
        <v>19805.563388281</v>
      </c>
      <c r="L16" s="19"/>
    </row>
    <row r="17" spans="2:12" ht="18" customHeight="1" x14ac:dyDescent="0.2">
      <c r="B17" s="1392" t="s">
        <v>1482</v>
      </c>
      <c r="C17" s="4247">
        <f>Summary1!C17</f>
        <v>577.64061290953441</v>
      </c>
      <c r="D17" s="4247">
        <f>IFERROR(Summary1!D17*28,Summary1!D17)</f>
        <v>0.60746317260431382</v>
      </c>
      <c r="E17" s="4247">
        <f>IFERROR(Summary1!E17*265,Summary1!E17)</f>
        <v>4.2028023551912845</v>
      </c>
      <c r="F17" s="628"/>
      <c r="G17" s="628"/>
      <c r="H17" s="628"/>
      <c r="I17" s="69"/>
      <c r="J17" s="69"/>
      <c r="K17" s="4291">
        <f t="shared" si="0"/>
        <v>582.45087843732995</v>
      </c>
      <c r="L17" s="19"/>
    </row>
    <row r="18" spans="2:12" ht="18" customHeight="1" x14ac:dyDescent="0.2">
      <c r="B18" s="620" t="s">
        <v>99</v>
      </c>
      <c r="C18" s="4247">
        <f>Summary1!C18</f>
        <v>6857.9401712544859</v>
      </c>
      <c r="D18" s="4247">
        <f>IFERROR(Summary1!D18*28,Summary1!D18)</f>
        <v>33924.825772696568</v>
      </c>
      <c r="E18" s="4247">
        <f>IFERROR(Summary1!E18*265,Summary1!E18)</f>
        <v>21.891397745421958</v>
      </c>
      <c r="F18" s="628"/>
      <c r="G18" s="628"/>
      <c r="H18" s="628"/>
      <c r="I18" s="69"/>
      <c r="J18" s="69"/>
      <c r="K18" s="4291">
        <f t="shared" si="0"/>
        <v>40804.657341696475</v>
      </c>
      <c r="L18" s="19"/>
    </row>
    <row r="19" spans="2:12" ht="18" customHeight="1" x14ac:dyDescent="0.2">
      <c r="B19" s="1392" t="s">
        <v>1483</v>
      </c>
      <c r="C19" s="4247">
        <f>Summary1!C19</f>
        <v>1056.4851416166221</v>
      </c>
      <c r="D19" s="4247">
        <f>IFERROR(Summary1!D19*28,Summary1!D19)</f>
        <v>27727.549845314545</v>
      </c>
      <c r="E19" s="4247">
        <f>IFERROR(Summary1!E19*265,Summary1!E19)</f>
        <v>2.6727666881135106E-2</v>
      </c>
      <c r="F19" s="628"/>
      <c r="G19" s="628"/>
      <c r="H19" s="628"/>
      <c r="I19" s="69"/>
      <c r="J19" s="69"/>
      <c r="K19" s="4291">
        <f t="shared" si="0"/>
        <v>28784.06171459805</v>
      </c>
      <c r="L19" s="19"/>
    </row>
    <row r="20" spans="2:12" ht="18" customHeight="1" x14ac:dyDescent="0.2">
      <c r="B20" s="1393" t="s">
        <v>1484</v>
      </c>
      <c r="C20" s="4247">
        <f>Summary1!C20</f>
        <v>5801.4550296378638</v>
      </c>
      <c r="D20" s="4247">
        <f>IFERROR(Summary1!D20*28,Summary1!D20)</f>
        <v>6197.2759273820211</v>
      </c>
      <c r="E20" s="4247">
        <f>IFERROR(Summary1!E20*265,Summary1!E20)</f>
        <v>21.864670078540822</v>
      </c>
      <c r="F20" s="628"/>
      <c r="G20" s="628"/>
      <c r="H20" s="628"/>
      <c r="I20" s="69"/>
      <c r="J20" s="69"/>
      <c r="K20" s="4291">
        <f t="shared" si="0"/>
        <v>12020.595627098426</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23815.400141611954</v>
      </c>
      <c r="D22" s="4253">
        <f>IFERROR(Summary1!D22*28,Summary1!D22)</f>
        <v>96.652436766189311</v>
      </c>
      <c r="E22" s="4253">
        <f>IFERROR(Summary1!E22*265,Summary1!E22)</f>
        <v>2214.5081002658562</v>
      </c>
      <c r="F22" s="4253">
        <f>Summary1!F22</f>
        <v>2925.3286647757286</v>
      </c>
      <c r="G22" s="4253">
        <f>Summary1!G22</f>
        <v>1541.4296180492074</v>
      </c>
      <c r="H22" s="4253" t="str">
        <f>Summary1!H22</f>
        <v>NO</v>
      </c>
      <c r="I22" s="4253">
        <f>IFERROR(Summary1!I22*23500,Summary1!I22)</f>
        <v>237.74641315441522</v>
      </c>
      <c r="J22" s="4293" t="str">
        <f>IFERROR(Summary1!J22*16100,Summary1!J22)</f>
        <v>NO</v>
      </c>
      <c r="K22" s="4290">
        <f t="shared" si="0"/>
        <v>30831.065374623347</v>
      </c>
      <c r="L22" s="19"/>
    </row>
    <row r="23" spans="2:12" ht="18" customHeight="1" x14ac:dyDescent="0.2">
      <c r="B23" s="1394" t="s">
        <v>1487</v>
      </c>
      <c r="C23" s="4247">
        <f>Summary1!C23</f>
        <v>6389.4246039360696</v>
      </c>
      <c r="D23" s="628"/>
      <c r="E23" s="628"/>
      <c r="F23" s="628"/>
      <c r="G23" s="628"/>
      <c r="H23" s="628"/>
      <c r="I23" s="69"/>
      <c r="J23" s="69"/>
      <c r="K23" s="4291">
        <f t="shared" si="0"/>
        <v>6389.4246039360696</v>
      </c>
      <c r="L23" s="19"/>
    </row>
    <row r="24" spans="2:12" ht="18" customHeight="1" x14ac:dyDescent="0.2">
      <c r="B24" s="1394" t="s">
        <v>621</v>
      </c>
      <c r="C24" s="4247">
        <f>Summary1!C24</f>
        <v>2572.6230039920597</v>
      </c>
      <c r="D24" s="4247">
        <f>IFERROR(Summary1!D24*28,Summary1!D24)</f>
        <v>15.480746399999997</v>
      </c>
      <c r="E24" s="4247">
        <f>IFERROR(Summary1!E24*265,Summary1!E24)</f>
        <v>2189.70226895</v>
      </c>
      <c r="F24" s="1924" t="str">
        <f>Summary1!F24</f>
        <v>NO</v>
      </c>
      <c r="G24" s="1924" t="str">
        <f>Summary1!G24</f>
        <v>NO</v>
      </c>
      <c r="H24" s="1924" t="str">
        <f>Summary1!H24</f>
        <v>NO</v>
      </c>
      <c r="I24" s="616" t="str">
        <f>IFERROR(Summary1!I24*23500,Summary1!I24)</f>
        <v>NO</v>
      </c>
      <c r="J24" s="616" t="str">
        <f>IFERROR(Summary1!J24*16100,Summary1!J24)</f>
        <v>NO</v>
      </c>
      <c r="K24" s="4291">
        <f t="shared" si="0"/>
        <v>4777.8060193420597</v>
      </c>
      <c r="L24" s="19"/>
    </row>
    <row r="25" spans="2:12" ht="18" customHeight="1" x14ac:dyDescent="0.2">
      <c r="B25" s="1394" t="s">
        <v>459</v>
      </c>
      <c r="C25" s="4247">
        <f>Summary1!C25</f>
        <v>14357.155159378397</v>
      </c>
      <c r="D25" s="4247">
        <f>IFERROR(Summary1!D25*28,Summary1!D25)</f>
        <v>81.171690366189296</v>
      </c>
      <c r="E25" s="4247">
        <f>IFERROR(Summary1!E25*265,Summary1!E25)</f>
        <v>24.805831315856317</v>
      </c>
      <c r="F25" s="1924" t="str">
        <f>Summary1!F25</f>
        <v>NO</v>
      </c>
      <c r="G25" s="4247">
        <f>Summary1!G25</f>
        <v>1541.4296180492074</v>
      </c>
      <c r="H25" s="4247" t="str">
        <f>Summary1!H25</f>
        <v>NO</v>
      </c>
      <c r="I25" s="4247" t="str">
        <f>IFERROR(Summary1!I25*23500,Summary1!I25)</f>
        <v>NO</v>
      </c>
      <c r="J25" s="4247" t="str">
        <f>IFERROR(Summary1!J25*16100,Summary1!J25)</f>
        <v>NO</v>
      </c>
      <c r="K25" s="4291">
        <f t="shared" si="0"/>
        <v>16004.56229910965</v>
      </c>
      <c r="L25" s="19"/>
    </row>
    <row r="26" spans="2:12" ht="18" customHeight="1" x14ac:dyDescent="0.2">
      <c r="B26" s="1395" t="s">
        <v>1519</v>
      </c>
      <c r="C26" s="4247">
        <f>Summary1!C26</f>
        <v>331.19102349999997</v>
      </c>
      <c r="D26" s="4247" t="str">
        <f>IFERROR(Summary1!D26*28,Summary1!D26)</f>
        <v>NO</v>
      </c>
      <c r="E26" s="4247" t="str">
        <f>IFERROR(Summary1!E26*265,Summary1!E26)</f>
        <v>NO</v>
      </c>
      <c r="F26" s="628"/>
      <c r="G26" s="628"/>
      <c r="H26" s="628"/>
      <c r="I26" s="69"/>
      <c r="J26" s="69"/>
      <c r="K26" s="4291">
        <f t="shared" si="0"/>
        <v>331.19102349999997</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2925.3286647757286</v>
      </c>
      <c r="G28" s="4247" t="str">
        <f>Summary1!G28</f>
        <v>NO</v>
      </c>
      <c r="H28" s="4247" t="str">
        <f>Summary1!H28</f>
        <v>NO</v>
      </c>
      <c r="I28" s="4247" t="str">
        <f>IFERROR(Summary1!I28*23500,Summary1!I28)</f>
        <v>NO</v>
      </c>
      <c r="J28" s="4247" t="str">
        <f>IFERROR(Summary1!J28*16100,Summary1!J28)</f>
        <v>NO</v>
      </c>
      <c r="K28" s="4291">
        <f t="shared" si="0"/>
        <v>2925.3286647757286</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237.74641315441522</v>
      </c>
      <c r="J29" s="4247" t="str">
        <f>IFERROR(Summary1!J29*16100,Summary1!J29)</f>
        <v>NO</v>
      </c>
      <c r="K29" s="4291">
        <f t="shared" si="0"/>
        <v>237.74641315441522</v>
      </c>
      <c r="L29" s="19"/>
    </row>
    <row r="30" spans="2:12" ht="18" customHeight="1" thickBot="1" x14ac:dyDescent="0.25">
      <c r="B30" s="1407" t="s">
        <v>1523</v>
      </c>
      <c r="C30" s="4266">
        <f>Summary1!C30</f>
        <v>165.00635080543125</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165.00635080543125</v>
      </c>
      <c r="L30" s="19"/>
    </row>
    <row r="31" spans="2:12" ht="18" customHeight="1" x14ac:dyDescent="0.2">
      <c r="B31" s="772" t="s">
        <v>1491</v>
      </c>
      <c r="C31" s="4253">
        <f>Summary1!C31</f>
        <v>2035.0700679623124</v>
      </c>
      <c r="D31" s="4253">
        <f>IFERROR(Summary1!D31*28,Summary1!D31)</f>
        <v>70983.074135412346</v>
      </c>
      <c r="E31" s="4253">
        <f>IFERROR(Summary1!E31*265,Summary1!E31)</f>
        <v>12232.614207897739</v>
      </c>
      <c r="F31" s="1929"/>
      <c r="G31" s="1929"/>
      <c r="H31" s="1929"/>
      <c r="I31" s="4215"/>
      <c r="J31" s="627"/>
      <c r="K31" s="4290">
        <f t="shared" si="0"/>
        <v>85250.7584112724</v>
      </c>
      <c r="L31" s="19"/>
    </row>
    <row r="32" spans="2:12" ht="18" customHeight="1" x14ac:dyDescent="0.2">
      <c r="B32" s="620" t="s">
        <v>1492</v>
      </c>
      <c r="C32" s="628"/>
      <c r="D32" s="4247">
        <f>IFERROR(Summary1!D32*28,Summary1!D32)</f>
        <v>63611.225066302235</v>
      </c>
      <c r="E32" s="628"/>
      <c r="F32" s="628"/>
      <c r="G32" s="628"/>
      <c r="H32" s="628"/>
      <c r="I32" s="69"/>
      <c r="J32" s="69"/>
      <c r="K32" s="4291">
        <f t="shared" si="0"/>
        <v>63611.225066302235</v>
      </c>
      <c r="L32" s="19"/>
    </row>
    <row r="33" spans="2:12" ht="18" customHeight="1" x14ac:dyDescent="0.2">
      <c r="B33" s="620" t="s">
        <v>1493</v>
      </c>
      <c r="C33" s="628"/>
      <c r="D33" s="4247">
        <f>IFERROR(Summary1!D33*28,Summary1!D33)</f>
        <v>6689.6553750300291</v>
      </c>
      <c r="E33" s="4247">
        <f>IFERROR(Summary1!E33*265,Summary1!E33)</f>
        <v>393.25593859429728</v>
      </c>
      <c r="F33" s="628"/>
      <c r="G33" s="628"/>
      <c r="H33" s="628"/>
      <c r="I33" s="69"/>
      <c r="J33" s="69"/>
      <c r="K33" s="4291">
        <f t="shared" si="0"/>
        <v>7082.9113136243268</v>
      </c>
      <c r="L33" s="19"/>
    </row>
    <row r="34" spans="2:12" ht="18" customHeight="1" x14ac:dyDescent="0.2">
      <c r="B34" s="620" t="s">
        <v>1494</v>
      </c>
      <c r="C34" s="628"/>
      <c r="D34" s="4247">
        <f>IFERROR(Summary1!D34*28,Summary1!D34)</f>
        <v>296.79589883999995</v>
      </c>
      <c r="E34" s="628"/>
      <c r="F34" s="628"/>
      <c r="G34" s="628"/>
      <c r="H34" s="628"/>
      <c r="I34" s="69"/>
      <c r="J34" s="69"/>
      <c r="K34" s="4291">
        <f t="shared" si="0"/>
        <v>296.79589883999995</v>
      </c>
      <c r="L34" s="19"/>
    </row>
    <row r="35" spans="2:12" ht="18" customHeight="1" x14ac:dyDescent="0.2">
      <c r="B35" s="620" t="s">
        <v>1495</v>
      </c>
      <c r="C35" s="4294"/>
      <c r="D35" s="4247" t="str">
        <f>IFERROR(Summary1!D35*28,Summary1!D35)</f>
        <v>NE</v>
      </c>
      <c r="E35" s="4247">
        <f>IFERROR(Summary1!E35*265,Summary1!E35)</f>
        <v>11688.837327198273</v>
      </c>
      <c r="F35" s="628"/>
      <c r="G35" s="628"/>
      <c r="H35" s="628"/>
      <c r="I35" s="69"/>
      <c r="J35" s="69"/>
      <c r="K35" s="4291">
        <f t="shared" si="0"/>
        <v>11688.837327198273</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385.39779524008918</v>
      </c>
      <c r="E37" s="4247">
        <f>IFERROR(Summary1!E37*265,Summary1!E37)</f>
        <v>150.52094210516677</v>
      </c>
      <c r="F37" s="628"/>
      <c r="G37" s="628"/>
      <c r="H37" s="628"/>
      <c r="I37" s="69"/>
      <c r="J37" s="69"/>
      <c r="K37" s="4291">
        <f t="shared" si="0"/>
        <v>535.91873734525598</v>
      </c>
      <c r="L37" s="19"/>
    </row>
    <row r="38" spans="2:12" ht="18" customHeight="1" x14ac:dyDescent="0.2">
      <c r="B38" s="620" t="s">
        <v>721</v>
      </c>
      <c r="C38" s="1924">
        <f>Summary1!C38</f>
        <v>1079.5133123531791</v>
      </c>
      <c r="D38" s="4295"/>
      <c r="E38" s="4295"/>
      <c r="F38" s="628"/>
      <c r="G38" s="628"/>
      <c r="H38" s="628"/>
      <c r="I38" s="69"/>
      <c r="J38" s="69"/>
      <c r="K38" s="4291">
        <f t="shared" si="0"/>
        <v>1079.5133123531791</v>
      </c>
      <c r="L38" s="19"/>
    </row>
    <row r="39" spans="2:12" ht="18" customHeight="1" x14ac:dyDescent="0.2">
      <c r="B39" s="620" t="s">
        <v>722</v>
      </c>
      <c r="C39" s="1924">
        <f>Summary1!C39</f>
        <v>955.55675560913323</v>
      </c>
      <c r="D39" s="4295"/>
      <c r="E39" s="4295"/>
      <c r="F39" s="628"/>
      <c r="G39" s="628"/>
      <c r="H39" s="628"/>
      <c r="I39" s="69"/>
      <c r="J39" s="69"/>
      <c r="K39" s="4291">
        <f t="shared" si="0"/>
        <v>955.55675560913323</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33222.88199643189</v>
      </c>
      <c r="D42" s="1927">
        <f>IFERROR(Summary1!D42*28,Summary1!D42)</f>
        <v>18637.270520576112</v>
      </c>
      <c r="E42" s="1927">
        <f>IFERROR(Summary1!E42*265,Summary1!E42)</f>
        <v>4166.2185537736896</v>
      </c>
      <c r="F42" s="1929"/>
      <c r="G42" s="1929"/>
      <c r="H42" s="1929"/>
      <c r="I42" s="4215"/>
      <c r="J42" s="627"/>
      <c r="K42" s="4290">
        <f t="shared" si="0"/>
        <v>56026.371070781686</v>
      </c>
      <c r="L42" s="19"/>
    </row>
    <row r="43" spans="2:12" ht="18" customHeight="1" x14ac:dyDescent="0.2">
      <c r="B43" s="620" t="s">
        <v>981</v>
      </c>
      <c r="C43" s="1924">
        <f>Summary1!C43</f>
        <v>-41114.37885114376</v>
      </c>
      <c r="D43" s="1924">
        <f>IFERROR(Summary1!D43*28,Summary1!D43)</f>
        <v>6632.3936946626736</v>
      </c>
      <c r="E43" s="1924">
        <f>IFERROR(Summary1!E43*265,Summary1!E43)</f>
        <v>1209.3506512241393</v>
      </c>
      <c r="F43" s="1931"/>
      <c r="G43" s="1931"/>
      <c r="H43" s="1931"/>
      <c r="I43" s="3352"/>
      <c r="J43" s="69"/>
      <c r="K43" s="4291">
        <f t="shared" si="0"/>
        <v>-33272.634505256952</v>
      </c>
      <c r="L43" s="19"/>
    </row>
    <row r="44" spans="2:12" ht="18" customHeight="1" x14ac:dyDescent="0.2">
      <c r="B44" s="620" t="s">
        <v>984</v>
      </c>
      <c r="C44" s="1924">
        <f>Summary1!C44</f>
        <v>8265.1879916794096</v>
      </c>
      <c r="D44" s="1924">
        <f>IFERROR(Summary1!D44*28,Summary1!D44)</f>
        <v>116.84010239999999</v>
      </c>
      <c r="E44" s="1924">
        <f>IFERROR(Summary1!E44*265,Summary1!E44)</f>
        <v>43.203710317712144</v>
      </c>
      <c r="F44" s="1931"/>
      <c r="G44" s="1931"/>
      <c r="H44" s="1931"/>
      <c r="I44" s="3352"/>
      <c r="J44" s="69"/>
      <c r="K44" s="4291">
        <f t="shared" si="0"/>
        <v>8425.2318043971209</v>
      </c>
      <c r="L44" s="19"/>
    </row>
    <row r="45" spans="2:12" ht="18" customHeight="1" x14ac:dyDescent="0.2">
      <c r="B45" s="620" t="s">
        <v>987</v>
      </c>
      <c r="C45" s="1924">
        <f>Summary1!C45</f>
        <v>68700.153340731194</v>
      </c>
      <c r="D45" s="1924">
        <f>IFERROR(Summary1!D45*28,Summary1!D45)</f>
        <v>9384.8339069129197</v>
      </c>
      <c r="E45" s="1924">
        <f>IFERROR(Summary1!E45*265,Summary1!E45)</f>
        <v>2784.497357969185</v>
      </c>
      <c r="F45" s="1931"/>
      <c r="G45" s="1931"/>
      <c r="H45" s="1931"/>
      <c r="I45" s="3352"/>
      <c r="J45" s="69"/>
      <c r="K45" s="4291">
        <f t="shared" si="0"/>
        <v>80869.484605613296</v>
      </c>
      <c r="L45" s="19"/>
    </row>
    <row r="46" spans="2:12" ht="18" customHeight="1" x14ac:dyDescent="0.2">
      <c r="B46" s="620" t="s">
        <v>1525</v>
      </c>
      <c r="C46" s="1924">
        <f>Summary1!C46</f>
        <v>159.28817855286738</v>
      </c>
      <c r="D46" s="1924">
        <f>IFERROR(Summary1!D46*28,Summary1!D46)</f>
        <v>2389.6794374005203</v>
      </c>
      <c r="E46" s="1924">
        <f>IFERROR(Summary1!E46*265,Summary1!E46)</f>
        <v>80.357085791003144</v>
      </c>
      <c r="F46" s="1931"/>
      <c r="G46" s="1931"/>
      <c r="H46" s="1931"/>
      <c r="I46" s="3352"/>
      <c r="J46" s="69"/>
      <c r="K46" s="4291">
        <f t="shared" si="0"/>
        <v>2629.3247017443909</v>
      </c>
      <c r="L46" s="19"/>
    </row>
    <row r="47" spans="2:12" ht="18" customHeight="1" x14ac:dyDescent="0.2">
      <c r="B47" s="620" t="s">
        <v>1526</v>
      </c>
      <c r="C47" s="1924">
        <f>Summary1!C47</f>
        <v>5241.0018922011732</v>
      </c>
      <c r="D47" s="1924">
        <f>IFERROR(Summary1!D47*28,Summary1!D47)</f>
        <v>113.52337920000001</v>
      </c>
      <c r="E47" s="1924">
        <f>IFERROR(Summary1!E47*265,Summary1!E47)</f>
        <v>26.652146564392687</v>
      </c>
      <c r="F47" s="1931"/>
      <c r="G47" s="1931"/>
      <c r="H47" s="1931"/>
      <c r="I47" s="3352"/>
      <c r="J47" s="69"/>
      <c r="K47" s="4291">
        <f t="shared" si="0"/>
        <v>5381.1774179655658</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-8030.575985262295</v>
      </c>
      <c r="D49" s="3835"/>
      <c r="E49" s="3835"/>
      <c r="F49" s="1931"/>
      <c r="G49" s="1931"/>
      <c r="H49" s="1931"/>
      <c r="I49" s="3352"/>
      <c r="J49" s="69"/>
      <c r="K49" s="4291">
        <f t="shared" si="0"/>
        <v>-8030.575985262295</v>
      </c>
      <c r="L49" s="19"/>
    </row>
    <row r="50" spans="2:12" ht="18" customHeight="1" thickBot="1" x14ac:dyDescent="0.25">
      <c r="B50" s="1552" t="s">
        <v>1529</v>
      </c>
      <c r="C50" s="1926">
        <f>Summary1!C50</f>
        <v>2.2054296732966669</v>
      </c>
      <c r="D50" s="1926" t="str">
        <f>IFERROR(Summary1!D50*28,Summary1!D50)</f>
        <v>NO</v>
      </c>
      <c r="E50" s="1926">
        <f>IFERROR(Summary1!E50*265,Summary1!E50)</f>
        <v>22.157601907257146</v>
      </c>
      <c r="F50" s="3024"/>
      <c r="G50" s="3024"/>
      <c r="H50" s="3024"/>
      <c r="I50" s="3828"/>
      <c r="J50" s="87"/>
      <c r="K50" s="4292">
        <f t="shared" si="0"/>
        <v>24.363031580553812</v>
      </c>
      <c r="L50" s="19"/>
    </row>
    <row r="51" spans="2:12" ht="18" customHeight="1" x14ac:dyDescent="0.2">
      <c r="B51" s="1550" t="s">
        <v>1500</v>
      </c>
      <c r="C51" s="1927">
        <f>Summary1!C51</f>
        <v>28.845923344468943</v>
      </c>
      <c r="D51" s="1927">
        <f>IFERROR(Summary1!D51*28,Summary1!D51)</f>
        <v>15627.544254858882</v>
      </c>
      <c r="E51" s="1927">
        <f>IFERROR(Summary1!E51*265,Summary1!E51)</f>
        <v>236.39935165015569</v>
      </c>
      <c r="F51" s="1929"/>
      <c r="G51" s="1929"/>
      <c r="H51" s="1929"/>
      <c r="I51" s="4215"/>
      <c r="J51" s="627"/>
      <c r="K51" s="4290">
        <f t="shared" si="0"/>
        <v>15892.789529853506</v>
      </c>
      <c r="L51" s="19"/>
    </row>
    <row r="52" spans="2:12" ht="18" customHeight="1" x14ac:dyDescent="0.2">
      <c r="B52" s="620" t="s">
        <v>1530</v>
      </c>
      <c r="C52" s="628"/>
      <c r="D52" s="1924">
        <f>IFERROR(Summary1!D52*28,Summary1!D52)</f>
        <v>12443.61858292</v>
      </c>
      <c r="E52" s="1931"/>
      <c r="F52" s="628"/>
      <c r="G52" s="628"/>
      <c r="H52" s="628"/>
      <c r="I52" s="69"/>
      <c r="J52" s="69"/>
      <c r="K52" s="4291">
        <f t="shared" si="0"/>
        <v>12443.61858292</v>
      </c>
      <c r="L52" s="19"/>
    </row>
    <row r="53" spans="2:12" ht="18" customHeight="1" x14ac:dyDescent="0.2">
      <c r="B53" s="1396" t="s">
        <v>1531</v>
      </c>
      <c r="C53" s="628"/>
      <c r="D53" s="1924">
        <f>IFERROR(Summary1!D53*28,Summary1!D53)</f>
        <v>61.878567824247995</v>
      </c>
      <c r="E53" s="1924">
        <f>IFERROR(Summary1!E53*265,Summary1!E53)</f>
        <v>74.961465021374735</v>
      </c>
      <c r="F53" s="628"/>
      <c r="G53" s="628"/>
      <c r="H53" s="628"/>
      <c r="I53" s="69"/>
      <c r="J53" s="69"/>
      <c r="K53" s="4291">
        <f t="shared" si="0"/>
        <v>136.84003284562272</v>
      </c>
      <c r="L53" s="19"/>
    </row>
    <row r="54" spans="2:12" ht="18" customHeight="1" x14ac:dyDescent="0.2">
      <c r="B54" s="1397" t="s">
        <v>1532</v>
      </c>
      <c r="C54" s="1924">
        <f>Summary1!C54</f>
        <v>28.845923344468943</v>
      </c>
      <c r="D54" s="1924" t="str">
        <f>IFERROR(Summary1!D54*28,Summary1!D54)</f>
        <v>NO,NE</v>
      </c>
      <c r="E54" s="1924" t="str">
        <f>IFERROR(Summary1!E54*265,Summary1!E54)</f>
        <v>NO,NE</v>
      </c>
      <c r="F54" s="628"/>
      <c r="G54" s="628"/>
      <c r="H54" s="628"/>
      <c r="I54" s="69"/>
      <c r="J54" s="69"/>
      <c r="K54" s="4291">
        <f t="shared" si="0"/>
        <v>28.845923344468943</v>
      </c>
      <c r="L54" s="19"/>
    </row>
    <row r="55" spans="2:12" ht="18" customHeight="1" x14ac:dyDescent="0.2">
      <c r="B55" s="620" t="s">
        <v>1533</v>
      </c>
      <c r="C55" s="628"/>
      <c r="D55" s="1924">
        <f>IFERROR(Summary1!D55*28,Summary1!D55)</f>
        <v>3122.0471041146329</v>
      </c>
      <c r="E55" s="1924">
        <f>IFERROR(Summary1!E55*265,Summary1!E55)</f>
        <v>161.43788662878094</v>
      </c>
      <c r="F55" s="628"/>
      <c r="G55" s="628"/>
      <c r="H55" s="628"/>
      <c r="I55" s="69"/>
      <c r="J55" s="69"/>
      <c r="K55" s="4291">
        <f t="shared" si="0"/>
        <v>3283.4849907434141</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9992.887999999999</v>
      </c>
      <c r="D60" s="4219">
        <f>IFERROR(Summary1!D61*28,Summary1!D61)</f>
        <v>7.9342222866666674</v>
      </c>
      <c r="E60" s="4219">
        <f>IFERROR(Summary1!E61*265,Summary1!E61)</f>
        <v>30.597980206714915</v>
      </c>
      <c r="F60" s="1931"/>
      <c r="G60" s="1931"/>
      <c r="H60" s="1932"/>
      <c r="I60" s="630"/>
      <c r="J60" s="630"/>
      <c r="K60" s="4220">
        <f t="shared" ref="K60:K66" si="2">IF(SUM(C60:J60)=0,"NO",SUM(C60:J60))</f>
        <v>10031.42020249338</v>
      </c>
    </row>
    <row r="61" spans="2:12" ht="18" customHeight="1" x14ac:dyDescent="0.2">
      <c r="B61" s="1386" t="s">
        <v>111</v>
      </c>
      <c r="C61" s="4219">
        <f>Summary1!C62</f>
        <v>7173.6719999999996</v>
      </c>
      <c r="D61" s="4219">
        <f>IFERROR(Summary1!D62*28,Summary1!D62)</f>
        <v>0.37450228666666668</v>
      </c>
      <c r="E61" s="4219">
        <f>IFERROR(Summary1!E62*265,Summary1!E62)</f>
        <v>10.155880206714912</v>
      </c>
      <c r="F61" s="628"/>
      <c r="G61" s="628"/>
      <c r="H61" s="628"/>
      <c r="I61" s="631"/>
      <c r="J61" s="631"/>
      <c r="K61" s="4234">
        <f t="shared" si="2"/>
        <v>7184.2023824933813</v>
      </c>
    </row>
    <row r="62" spans="2:12" ht="18" customHeight="1" x14ac:dyDescent="0.2">
      <c r="B62" s="1387" t="s">
        <v>1503</v>
      </c>
      <c r="C62" s="4219">
        <f>Summary1!C63</f>
        <v>2819.2160000000003</v>
      </c>
      <c r="D62" s="4219">
        <f>IFERROR(Summary1!D63*28,Summary1!D63)</f>
        <v>7.5597200000000004</v>
      </c>
      <c r="E62" s="4219">
        <f>IFERROR(Summary1!E63*265,Summary1!E63)</f>
        <v>20.4421</v>
      </c>
      <c r="F62" s="628"/>
      <c r="G62" s="628"/>
      <c r="H62" s="628"/>
      <c r="I62" s="632"/>
      <c r="J62" s="632"/>
      <c r="K62" s="4220">
        <f t="shared" si="2"/>
        <v>2847.2178200000008</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18497.257284546271</v>
      </c>
      <c r="D64" s="1931"/>
      <c r="E64" s="1931"/>
      <c r="F64" s="1931"/>
      <c r="G64" s="1931"/>
      <c r="H64" s="1931"/>
      <c r="I64" s="3352"/>
      <c r="J64" s="3352"/>
      <c r="K64" s="3821">
        <f t="shared" si="2"/>
        <v>18497.257284546271</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-248987.38813341095</v>
      </c>
      <c r="D66" s="4301"/>
      <c r="E66" s="4301"/>
      <c r="F66" s="4301"/>
      <c r="G66" s="4301"/>
      <c r="H66" s="4301"/>
      <c r="I66" s="3824"/>
      <c r="J66" s="3824"/>
      <c r="K66" s="4302">
        <f t="shared" si="2"/>
        <v>-248987.38813341095</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528827.43025963695</v>
      </c>
      <c r="N71" s="1126"/>
    </row>
    <row r="72" spans="2:14" s="634" customFormat="1" ht="18" customHeight="1" x14ac:dyDescent="0.25">
      <c r="B72" s="637"/>
      <c r="C72" s="638"/>
      <c r="D72" s="638"/>
      <c r="E72" s="638"/>
      <c r="F72" s="638"/>
      <c r="G72" s="638"/>
      <c r="H72" s="638"/>
      <c r="I72" s="638"/>
      <c r="J72" s="2553" t="s">
        <v>2122</v>
      </c>
      <c r="K72" s="3821">
        <f>K10</f>
        <v>584853.80133041868</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761516.79327173228</v>
      </c>
      <c r="D10" s="3076" t="s">
        <v>1814</v>
      </c>
      <c r="E10" s="628"/>
      <c r="F10" s="628"/>
      <c r="G10" s="628"/>
      <c r="H10" s="1913">
        <f>IF(SUM(H11:H15)=0,"NO",SUM(H11:H15))</f>
        <v>40063.565027746357</v>
      </c>
      <c r="I10" s="1913">
        <f t="shared" ref="I10:K10" si="0">IF(SUM(I11:I16)=0,"NO",SUM(I11:I16))</f>
        <v>2.1866889799163554</v>
      </c>
      <c r="J10" s="1847">
        <f t="shared" si="0"/>
        <v>1.2935425084862127</v>
      </c>
      <c r="K10" s="3065" t="str">
        <f t="shared" si="0"/>
        <v>NO</v>
      </c>
    </row>
    <row r="11" spans="2:11" ht="18" customHeight="1" x14ac:dyDescent="0.2">
      <c r="B11" s="282" t="s">
        <v>132</v>
      </c>
      <c r="C11" s="1913">
        <f>IF(SUM(C18,C25,C32,C39,C46,C53,C62,C69,C76,C83,C90,C97,C114,C104:C107)=0,"NO",SUM(C18,C25,C32,C39,C46,C53,C62,C69,C76,C83,C90,C97,C114,C104:C107))</f>
        <v>172145.86733907834</v>
      </c>
      <c r="D11" s="3077" t="s">
        <v>1814</v>
      </c>
      <c r="E11" s="1913">
        <f>IFERROR(H11*1000/$C11,"NA")</f>
        <v>69.152056940382224</v>
      </c>
      <c r="F11" s="1913">
        <f t="shared" ref="F11:G16" si="1">IFERROR(I11*1000000/$C11,"NA")</f>
        <v>3.868590491662395</v>
      </c>
      <c r="G11" s="1913">
        <f t="shared" si="1"/>
        <v>1.9638149028207599</v>
      </c>
      <c r="H11" s="1913">
        <f>IF(SUM(H18,H25,H32,H39,H46,H53,H62,H69,H76,H83,H90,H97,H114,H104:H107)=0,"NO",SUM(H18,H25,H32,H39,H46,H53,H62,H69,H76,H83,H90,H97,H114,H104:H107))</f>
        <v>11904.24082028343</v>
      </c>
      <c r="I11" s="1913">
        <f>IF(SUM(I18,I25,I32,I39,I46,I53,I62,I69,I76,I83,I90,I97,I114,I104:I107)=0,"NO",SUM(I18,I25,I32,I39,I46,I53,I62,I69,I76,I83,I90,I97,I114,I104:I107))</f>
        <v>0.66596186556693449</v>
      </c>
      <c r="J11" s="1913">
        <f>IF(SUM(J18,J25,J32,J39,J46,J53,J62,J69,J76,J83,J90,J97,J114,J104:J107)=0,"NO",SUM(J18,J25,J32,J39,J46,J53,J62,J69,J76,J83,J90,J97,J114,J104:J107))</f>
        <v>0.33806261973948754</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128574.10029751947</v>
      </c>
      <c r="D12" s="3077" t="s">
        <v>1814</v>
      </c>
      <c r="E12" s="1913">
        <f t="shared" ref="E12:E16" si="2">IFERROR(H12*1000/$C12,"NA")</f>
        <v>81.117176392602119</v>
      </c>
      <c r="F12" s="1913">
        <f t="shared" si="1"/>
        <v>0.95023318316806504</v>
      </c>
      <c r="G12" s="1913">
        <f t="shared" si="1"/>
        <v>0.70501702630471019</v>
      </c>
      <c r="H12" s="1913">
        <f>IF(SUM(H19,H26,H33,H40,H47,H54,H63,H70,H77,H84,H91,H98,H115)=0,"NO",SUM(H19,H26,H33,H40,H47,H54,H63,H70,H77,H84,H91,H98,H115))</f>
        <v>10429.567973354004</v>
      </c>
      <c r="I12" s="1913">
        <f>IF(SUM(I19,I26,I33,I40,I47,I54,I63,I70,I77,I84,I91,I98,I115)=0,"NO",SUM(I19,I26,I33,I40,I47,I54,I63,I70,I77,I84,I91,I98,I115))</f>
        <v>0.122175376598682</v>
      </c>
      <c r="J12" s="1913">
        <f>IF(SUM(J19,J26,J33,J40,J47,J54,J63,J70,J77,J84,J91,J98,J115)=0,"NO",SUM(J19,J26,J33,J40,J47,J54,J63,J70,J77,J84,J91,J98,J115))</f>
        <v>9.064692985156074E-2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344164.64265386754</v>
      </c>
      <c r="D13" s="3077" t="s">
        <v>1814</v>
      </c>
      <c r="E13" s="1913">
        <f t="shared" si="2"/>
        <v>51.515333177150488</v>
      </c>
      <c r="F13" s="1913">
        <f t="shared" si="1"/>
        <v>0.96307957822098467</v>
      </c>
      <c r="G13" s="1913">
        <f t="shared" si="1"/>
        <v>0.54047573010670891</v>
      </c>
      <c r="H13" s="1913">
        <f t="shared" ref="H13:K14" si="3">IF(SUM(H20,H27,H34,H41,H48,H55,H64,H71,H78,H85,H92,H99,H116,H109)=0,"NO",SUM(H20,H27,H34,H41,H48,H55,H64,H71,H78,H85,H92,H99,H116,H109))</f>
        <v>17729.756234108925</v>
      </c>
      <c r="I13" s="1913">
        <f t="shared" si="3"/>
        <v>0.33145793888566266</v>
      </c>
      <c r="J13" s="1913">
        <f t="shared" si="3"/>
        <v>0.18601263651526362</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116632.18298126681</v>
      </c>
      <c r="D16" s="3092" t="s">
        <v>1814</v>
      </c>
      <c r="E16" s="1913">
        <f t="shared" si="2"/>
        <v>94.665570644828392</v>
      </c>
      <c r="F16" s="1913">
        <f t="shared" si="1"/>
        <v>9.1492225523762176</v>
      </c>
      <c r="G16" s="1913">
        <f t="shared" si="1"/>
        <v>5.8201802026541092</v>
      </c>
      <c r="H16" s="1913">
        <f>IF(SUM(H23,H30,H37,H44,H51,H58,H67,H74,H81,H88,H95,H102,H119,H111)=0,"NO",SUM(H23,H30,H37,H44,H51,H58,H67,H74,H81,H88,H95,H102,H119,H111))</f>
        <v>11041.052157473665</v>
      </c>
      <c r="I16" s="1913">
        <f>IF(SUM(I23,I30,I37,I44,I51,I58,I67,I74,I81,I88,I95,I102,I119,I111)=0,"NO",SUM(I23,I30,I37,I44,I51,I58,I67,I74,I81,I88,I95,I102,I119,I111))</f>
        <v>1.0670937988650759</v>
      </c>
      <c r="J16" s="1913">
        <f>IF(SUM(J23,J30,J37,J44,J51,J58,J67,J74,J81,J88,J95,J102,J119,J111)=0,"NO",SUM(J23,J30,J37,J44,J51,J58,J67,J74,J81,J88,J95,J102,J119,J111))</f>
        <v>0.67882032237990064</v>
      </c>
      <c r="K16" s="3065" t="str">
        <f>IF(SUM(K23,K30,K37,K44,K51,K58,K67,K74,K81,K88,K95,K102,K119,K111)=0,"NO",SUM(K23,K30,K37,K44,K51,K58,K67,K74,K81,K88,K95,K102,K119,K111))</f>
        <v>NO</v>
      </c>
    </row>
    <row r="17" spans="2:11" ht="18" customHeight="1" x14ac:dyDescent="0.2">
      <c r="B17" s="1241" t="s">
        <v>151</v>
      </c>
      <c r="C17" s="1913">
        <f>IF(SUM(C18:C23)=0,"NO",SUM(C18:C23))</f>
        <v>52882.805876317885</v>
      </c>
      <c r="D17" s="3076" t="s">
        <v>1814</v>
      </c>
      <c r="E17" s="628"/>
      <c r="F17" s="628"/>
      <c r="G17" s="628"/>
      <c r="H17" s="1913">
        <f>IF(SUM(H18:H22)=0,"NO",SUM(H18:H22))</f>
        <v>2672.5869062750544</v>
      </c>
      <c r="I17" s="1913">
        <f t="shared" ref="I17:K17" si="4">IF(SUM(I18:I23)=0,"NO",SUM(I18:I23))</f>
        <v>5.5044250581101212E-2</v>
      </c>
      <c r="J17" s="1913">
        <f t="shared" si="4"/>
        <v>3.2073739263077383E-2</v>
      </c>
      <c r="K17" s="3065" t="str">
        <f t="shared" si="4"/>
        <v>NO</v>
      </c>
    </row>
    <row r="18" spans="2:11" ht="18" customHeight="1" x14ac:dyDescent="0.2">
      <c r="B18" s="282" t="s">
        <v>132</v>
      </c>
      <c r="C18" s="691">
        <v>1792.9796966515378</v>
      </c>
      <c r="D18" s="3077" t="s">
        <v>1814</v>
      </c>
      <c r="E18" s="1913">
        <f>IFERROR(H18*1000/$C18,"NA")</f>
        <v>71.69480536598104</v>
      </c>
      <c r="F18" s="1913">
        <f t="shared" ref="F18:G23" si="5">IFERROR(I18*1000000/$C18,"NA")</f>
        <v>3.4728365938563854</v>
      </c>
      <c r="G18" s="1913">
        <f t="shared" si="5"/>
        <v>1.0729387469859462</v>
      </c>
      <c r="H18" s="691">
        <v>128.54733037658772</v>
      </c>
      <c r="I18" s="691">
        <v>6.2267255025729822E-3</v>
      </c>
      <c r="J18" s="691">
        <v>1.9237573890965429E-3</v>
      </c>
      <c r="K18" s="3093" t="s">
        <v>2146</v>
      </c>
    </row>
    <row r="19" spans="2:11" ht="18" customHeight="1" x14ac:dyDescent="0.2">
      <c r="B19" s="282" t="s">
        <v>133</v>
      </c>
      <c r="C19" s="691">
        <v>28758.267002428744</v>
      </c>
      <c r="D19" s="3077" t="s">
        <v>1814</v>
      </c>
      <c r="E19" s="1913">
        <f t="shared" ref="E19:E23" si="6">IFERROR(H19*1000/$C19,"NA")</f>
        <v>48.54017382104324</v>
      </c>
      <c r="F19" s="1913">
        <f t="shared" si="5"/>
        <v>0.95621559193166339</v>
      </c>
      <c r="G19" s="1913">
        <f t="shared" si="5"/>
        <v>0.61571024986295475</v>
      </c>
      <c r="H19" s="691">
        <v>1395.9312790898634</v>
      </c>
      <c r="I19" s="691">
        <v>2.7499103304656221E-2</v>
      </c>
      <c r="J19" s="691">
        <v>1.770675976169097E-2</v>
      </c>
      <c r="K19" s="3093" t="s">
        <v>2146</v>
      </c>
    </row>
    <row r="20" spans="2:11" ht="18" customHeight="1" x14ac:dyDescent="0.2">
      <c r="B20" s="282" t="s">
        <v>134</v>
      </c>
      <c r="C20" s="691">
        <v>22331.559177237599</v>
      </c>
      <c r="D20" s="3077" t="s">
        <v>1814</v>
      </c>
      <c r="E20" s="1913">
        <f t="shared" si="6"/>
        <v>51.411918339264993</v>
      </c>
      <c r="F20" s="1913">
        <f t="shared" si="5"/>
        <v>0.9546320346320345</v>
      </c>
      <c r="G20" s="1913">
        <f t="shared" si="5"/>
        <v>0.55720346320346303</v>
      </c>
      <c r="H20" s="691">
        <v>1148.1082968086032</v>
      </c>
      <c r="I20" s="691">
        <v>2.1318421773872012E-2</v>
      </c>
      <c r="J20" s="691">
        <v>1.2443222112289869E-2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203544.53364196731</v>
      </c>
      <c r="D24" s="3077" t="s">
        <v>1814</v>
      </c>
      <c r="E24" s="628"/>
      <c r="F24" s="628"/>
      <c r="G24" s="628"/>
      <c r="H24" s="1913">
        <f>IF(SUM(H25:H29)=0,"NO",SUM(H25:H29))</f>
        <v>12733.466245482121</v>
      </c>
      <c r="I24" s="1913">
        <f t="shared" ref="I24:K24" si="7">IF(SUM(I25:I30)=0,"NO",SUM(I25:I30))</f>
        <v>0.24673254831988392</v>
      </c>
      <c r="J24" s="1913">
        <f t="shared" si="7"/>
        <v>0.14440807352385843</v>
      </c>
      <c r="K24" s="3065" t="str">
        <f t="shared" si="7"/>
        <v>NO</v>
      </c>
    </row>
    <row r="25" spans="2:11" ht="18" customHeight="1" x14ac:dyDescent="0.2">
      <c r="B25" s="282" t="s">
        <v>132</v>
      </c>
      <c r="C25" s="691">
        <v>33392.685966781901</v>
      </c>
      <c r="D25" s="3077" t="s">
        <v>1814</v>
      </c>
      <c r="E25" s="1913">
        <f>IFERROR(H25*1000/$C25,"NA")</f>
        <v>73.040273974143744</v>
      </c>
      <c r="F25" s="1913">
        <f t="shared" ref="F25:G30" si="8">IFERROR(I25*1000000/$C25,"NA")</f>
        <v>1.9505378772820041</v>
      </c>
      <c r="G25" s="1913">
        <f t="shared" si="8"/>
        <v>0.88523964303535718</v>
      </c>
      <c r="H25" s="691">
        <v>2439.0109317462952</v>
      </c>
      <c r="I25" s="691">
        <v>6.5133698802391338E-2</v>
      </c>
      <c r="J25" s="691">
        <v>2.9560529405225792E-2</v>
      </c>
      <c r="K25" s="3093" t="s">
        <v>2146</v>
      </c>
    </row>
    <row r="26" spans="2:11" ht="18" customHeight="1" x14ac:dyDescent="0.2">
      <c r="B26" s="282" t="s">
        <v>133</v>
      </c>
      <c r="C26" s="691">
        <v>41846.947675185387</v>
      </c>
      <c r="D26" s="3077" t="s">
        <v>1814</v>
      </c>
      <c r="E26" s="1913">
        <f t="shared" ref="E26:E30" si="9">IFERROR(H26*1000/$C26,"NA")</f>
        <v>91.202675822676412</v>
      </c>
      <c r="F26" s="1913">
        <f t="shared" si="8"/>
        <v>0.95238095238095233</v>
      </c>
      <c r="G26" s="1913">
        <f t="shared" si="8"/>
        <v>0.70609523809523822</v>
      </c>
      <c r="H26" s="691">
        <v>3816.5536029884356</v>
      </c>
      <c r="I26" s="691">
        <v>3.9854235881128935E-2</v>
      </c>
      <c r="J26" s="691">
        <v>2.9547930482268999E-2</v>
      </c>
      <c r="K26" s="3093" t="s">
        <v>2146</v>
      </c>
    </row>
    <row r="27" spans="2:11" ht="18" customHeight="1" x14ac:dyDescent="0.2">
      <c r="B27" s="282" t="s">
        <v>134</v>
      </c>
      <c r="C27" s="691">
        <v>126000.00000000003</v>
      </c>
      <c r="D27" s="3077" t="s">
        <v>1814</v>
      </c>
      <c r="E27" s="1913">
        <f t="shared" si="9"/>
        <v>51.411918339264986</v>
      </c>
      <c r="F27" s="1913">
        <f t="shared" si="8"/>
        <v>0.95727272727272739</v>
      </c>
      <c r="G27" s="1913">
        <f t="shared" si="8"/>
        <v>0.57027272727272726</v>
      </c>
      <c r="H27" s="691">
        <v>6477.9017107473901</v>
      </c>
      <c r="I27" s="691">
        <v>0.12061636363636367</v>
      </c>
      <c r="J27" s="691">
        <v>7.1854363636363647E-2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2304.8999999999996</v>
      </c>
      <c r="D30" s="3077" t="s">
        <v>1814</v>
      </c>
      <c r="E30" s="1913">
        <f t="shared" si="9"/>
        <v>93.999999999999986</v>
      </c>
      <c r="F30" s="1913">
        <f t="shared" si="8"/>
        <v>9.1666666666666661</v>
      </c>
      <c r="G30" s="1913">
        <f t="shared" si="8"/>
        <v>5.833333333333333</v>
      </c>
      <c r="H30" s="691">
        <v>216.66059999999996</v>
      </c>
      <c r="I30" s="691">
        <v>2.1128249999999998E-2</v>
      </c>
      <c r="J30" s="691">
        <v>1.3445249999999999E-2</v>
      </c>
      <c r="K30" s="3093" t="s">
        <v>2146</v>
      </c>
    </row>
    <row r="31" spans="2:11" ht="18" customHeight="1" x14ac:dyDescent="0.2">
      <c r="B31" s="1241" t="s">
        <v>153</v>
      </c>
      <c r="C31" s="1913">
        <f>IF(SUM(C32:C37)=0,"NO",SUM(C32:C37))</f>
        <v>127043.7199671767</v>
      </c>
      <c r="D31" s="3077" t="s">
        <v>1814</v>
      </c>
      <c r="E31" s="628"/>
      <c r="F31" s="628"/>
      <c r="G31" s="628"/>
      <c r="H31" s="1913">
        <f>IF(SUM(H32:H36)=0,"NO",SUM(H32:H36))</f>
        <v>7504.2521038761925</v>
      </c>
      <c r="I31" s="1913">
        <f t="shared" ref="I31:K31" si="10">IF(SUM(I32:I37)=0,"NO",SUM(I32:I37))</f>
        <v>0.23809226587241428</v>
      </c>
      <c r="J31" s="1913">
        <f t="shared" si="10"/>
        <v>8.3530689036433931E-2</v>
      </c>
      <c r="K31" s="3065" t="str">
        <f t="shared" si="10"/>
        <v>NO</v>
      </c>
    </row>
    <row r="32" spans="2:11" ht="18" customHeight="1" x14ac:dyDescent="0.2">
      <c r="B32" s="282" t="s">
        <v>132</v>
      </c>
      <c r="C32" s="691">
        <v>54815.944394048332</v>
      </c>
      <c r="D32" s="3077" t="s">
        <v>1814</v>
      </c>
      <c r="E32" s="1913">
        <f>IFERROR(H32*1000/$C32,"NA")</f>
        <v>66.656487994443737</v>
      </c>
      <c r="F32" s="1913">
        <f t="shared" ref="F32:G37" si="11">IFERROR(I32*1000000/$C32,"NA")</f>
        <v>3.0459613255150759</v>
      </c>
      <c r="G32" s="1913">
        <f t="shared" si="11"/>
        <v>0.79630041229159187</v>
      </c>
      <c r="H32" s="691">
        <v>3653.8383394059779</v>
      </c>
      <c r="I32" s="691">
        <v>0.16696724664585616</v>
      </c>
      <c r="J32" s="691">
        <v>4.3649959121133661E-2</v>
      </c>
      <c r="K32" s="3093" t="s">
        <v>2146</v>
      </c>
    </row>
    <row r="33" spans="2:11" ht="18" customHeight="1" x14ac:dyDescent="0.2">
      <c r="B33" s="282" t="s">
        <v>133</v>
      </c>
      <c r="C33" s="691">
        <v>3126.6289076044554</v>
      </c>
      <c r="D33" s="3077" t="s">
        <v>1814</v>
      </c>
      <c r="E33" s="1913">
        <f t="shared" ref="E33:E37" si="12">IFERROR(H33*1000/$C33,"NA")</f>
        <v>91.277496797222298</v>
      </c>
      <c r="F33" s="1913">
        <f t="shared" si="11"/>
        <v>0.95238095238095222</v>
      </c>
      <c r="G33" s="1913">
        <f t="shared" si="11"/>
        <v>0.66666666666666663</v>
      </c>
      <c r="H33" s="691">
        <v>285.39086009996834</v>
      </c>
      <c r="I33" s="691">
        <v>2.9777418167661477E-3</v>
      </c>
      <c r="J33" s="691">
        <v>2.0844192717363033E-3</v>
      </c>
      <c r="K33" s="3093" t="s">
        <v>2146</v>
      </c>
    </row>
    <row r="34" spans="2:11" ht="18" customHeight="1" x14ac:dyDescent="0.2">
      <c r="B34" s="282" t="s">
        <v>134</v>
      </c>
      <c r="C34" s="691">
        <v>68650.057956478253</v>
      </c>
      <c r="D34" s="3077" t="s">
        <v>1814</v>
      </c>
      <c r="E34" s="1913">
        <f t="shared" si="12"/>
        <v>51.930369915060325</v>
      </c>
      <c r="F34" s="1913">
        <f t="shared" si="11"/>
        <v>0.9518618878483146</v>
      </c>
      <c r="G34" s="1913">
        <f t="shared" si="11"/>
        <v>0.52842919815000033</v>
      </c>
      <c r="H34" s="691">
        <v>3565.0229043702461</v>
      </c>
      <c r="I34" s="691">
        <v>6.5345373767349599E-2</v>
      </c>
      <c r="J34" s="691">
        <v>3.6276695078892855E-2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451.08870904566101</v>
      </c>
      <c r="D37" s="3077" t="s">
        <v>1814</v>
      </c>
      <c r="E37" s="1913">
        <f t="shared" si="12"/>
        <v>81.475573902187563</v>
      </c>
      <c r="F37" s="1913">
        <f t="shared" si="11"/>
        <v>6.211424906578074</v>
      </c>
      <c r="G37" s="1913">
        <f t="shared" si="11"/>
        <v>3.3687732239764316</v>
      </c>
      <c r="H37" s="691">
        <v>36.752711450292139</v>
      </c>
      <c r="I37" s="691">
        <v>2.801903642442369E-3</v>
      </c>
      <c r="J37" s="691">
        <v>1.519615564671118E-3</v>
      </c>
      <c r="K37" s="3093" t="s">
        <v>2146</v>
      </c>
    </row>
    <row r="38" spans="2:11" ht="18" customHeight="1" x14ac:dyDescent="0.2">
      <c r="B38" s="1241" t="s">
        <v>154</v>
      </c>
      <c r="C38" s="1913">
        <f>IF(SUM(C39:C44)=0,"NO",SUM(C39:C44))</f>
        <v>49907.161139057018</v>
      </c>
      <c r="D38" s="3077" t="s">
        <v>1814</v>
      </c>
      <c r="E38" s="628"/>
      <c r="F38" s="628"/>
      <c r="G38" s="628"/>
      <c r="H38" s="1913">
        <f>IF(SUM(H39:H43)=0,"NO",SUM(H39:H43))</f>
        <v>1616.6105190731303</v>
      </c>
      <c r="I38" s="1913">
        <f t="shared" ref="I38:K38" si="13">IF(SUM(I39:I44)=0,"NO",SUM(I39:I44))</f>
        <v>0.23711043248322566</v>
      </c>
      <c r="J38" s="1913">
        <f t="shared" si="13"/>
        <v>0.1572883457765657</v>
      </c>
      <c r="K38" s="3065" t="str">
        <f t="shared" si="13"/>
        <v>NO</v>
      </c>
    </row>
    <row r="39" spans="2:11" ht="18" customHeight="1" x14ac:dyDescent="0.2">
      <c r="B39" s="282" t="s">
        <v>132</v>
      </c>
      <c r="C39" s="691">
        <v>628.10203531051354</v>
      </c>
      <c r="D39" s="3077" t="s">
        <v>1814</v>
      </c>
      <c r="E39" s="1913">
        <f>IFERROR(H39*1000/$C39,"NA")</f>
        <v>68.418074750487762</v>
      </c>
      <c r="F39" s="1913">
        <f t="shared" ref="F39:G44" si="14">IFERROR(I39*1000000/$C39,"NA")</f>
        <v>0.5492431069106346</v>
      </c>
      <c r="G39" s="1913">
        <f t="shared" si="14"/>
        <v>0.79444754302339926</v>
      </c>
      <c r="H39" s="691">
        <v>42.97353200280822</v>
      </c>
      <c r="I39" s="691">
        <v>3.4498071333083959E-4</v>
      </c>
      <c r="J39" s="691">
        <v>4.9899411872043387E-4</v>
      </c>
      <c r="K39" s="3093" t="s">
        <v>2146</v>
      </c>
    </row>
    <row r="40" spans="2:11" ht="18" customHeight="1" x14ac:dyDescent="0.2">
      <c r="B40" s="282" t="s">
        <v>133</v>
      </c>
      <c r="C40" s="691">
        <v>6040.7000000000007</v>
      </c>
      <c r="D40" s="3077" t="s">
        <v>1814</v>
      </c>
      <c r="E40" s="1913">
        <f t="shared" ref="E40:E44" si="15">IFERROR(H40*1000/$C40,"NA")</f>
        <v>89.999999999999986</v>
      </c>
      <c r="F40" s="1913">
        <f t="shared" si="14"/>
        <v>0.95238095238095233</v>
      </c>
      <c r="G40" s="1913">
        <f t="shared" si="14"/>
        <v>0.66666666666666663</v>
      </c>
      <c r="H40" s="691">
        <v>543.66300000000001</v>
      </c>
      <c r="I40" s="691">
        <v>5.7530476190476194E-3</v>
      </c>
      <c r="J40" s="691">
        <v>4.0271333333333336E-3</v>
      </c>
      <c r="K40" s="3093" t="s">
        <v>2146</v>
      </c>
    </row>
    <row r="41" spans="2:11" ht="18" customHeight="1" x14ac:dyDescent="0.2">
      <c r="B41" s="282" t="s">
        <v>134</v>
      </c>
      <c r="C41" s="691">
        <v>20033.759103746503</v>
      </c>
      <c r="D41" s="3077" t="s">
        <v>1814</v>
      </c>
      <c r="E41" s="1913">
        <f t="shared" si="15"/>
        <v>51.411918339265</v>
      </c>
      <c r="F41" s="1913">
        <f t="shared" si="14"/>
        <v>0.91363636363636347</v>
      </c>
      <c r="G41" s="1913">
        <f t="shared" si="14"/>
        <v>0.86863636363636332</v>
      </c>
      <c r="H41" s="691">
        <v>1029.973987070322</v>
      </c>
      <c r="I41" s="691">
        <v>1.8303570817513846E-2</v>
      </c>
      <c r="J41" s="691">
        <v>1.7402051657845252E-2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23204.6</v>
      </c>
      <c r="D44" s="3076" t="s">
        <v>1814</v>
      </c>
      <c r="E44" s="1913">
        <f t="shared" si="15"/>
        <v>94</v>
      </c>
      <c r="F44" s="1913">
        <f t="shared" si="14"/>
        <v>9.1666666666666679</v>
      </c>
      <c r="G44" s="1913">
        <f t="shared" si="14"/>
        <v>5.833333333333333</v>
      </c>
      <c r="H44" s="691">
        <v>2181.2323999999999</v>
      </c>
      <c r="I44" s="691">
        <v>0.21270883333333335</v>
      </c>
      <c r="J44" s="691">
        <v>0.13536016666666667</v>
      </c>
      <c r="K44" s="3093" t="s">
        <v>2146</v>
      </c>
    </row>
    <row r="45" spans="2:11" ht="18" customHeight="1" x14ac:dyDescent="0.2">
      <c r="B45" s="1241" t="s">
        <v>155</v>
      </c>
      <c r="C45" s="1913">
        <f>IF(SUM(C46:C51)=0,"NO",SUM(C46:C51))</f>
        <v>135202.3259053384</v>
      </c>
      <c r="D45" s="3076" t="s">
        <v>1814</v>
      </c>
      <c r="E45" s="628"/>
      <c r="F45" s="628"/>
      <c r="G45" s="628"/>
      <c r="H45" s="1913">
        <f>IF(SUM(H46:H50)=0,"NO",SUM(H46:H50))</f>
        <v>2965.3917283176697</v>
      </c>
      <c r="I45" s="1913">
        <f t="shared" ref="I45:K45" si="16">IF(SUM(I46:I51)=0,"NO",SUM(I46:I51))</f>
        <v>0.87253984396025308</v>
      </c>
      <c r="J45" s="1913">
        <f t="shared" si="16"/>
        <v>0.56283063761514418</v>
      </c>
      <c r="K45" s="3065" t="str">
        <f t="shared" si="16"/>
        <v>NO</v>
      </c>
    </row>
    <row r="46" spans="2:11" ht="18" customHeight="1" x14ac:dyDescent="0.2">
      <c r="B46" s="282" t="s">
        <v>132</v>
      </c>
      <c r="C46" s="691">
        <v>2932.5409963585803</v>
      </c>
      <c r="D46" s="3076" t="s">
        <v>1814</v>
      </c>
      <c r="E46" s="1913">
        <f>IFERROR(H46*1000/$C46,"NA")</f>
        <v>67.833707234460206</v>
      </c>
      <c r="F46" s="1913">
        <f t="shared" ref="F46:G51" si="17">IFERROR(I46*1000000/$C46,"NA")</f>
        <v>4.4082887131458453</v>
      </c>
      <c r="G46" s="1913">
        <f t="shared" si="17"/>
        <v>2.3025368449553989</v>
      </c>
      <c r="H46" s="691">
        <v>198.9251274000402</v>
      </c>
      <c r="I46" s="691">
        <v>1.2927487375085001E-2</v>
      </c>
      <c r="J46" s="691">
        <v>6.7522836934578471E-3</v>
      </c>
      <c r="K46" s="3093" t="s">
        <v>2146</v>
      </c>
    </row>
    <row r="47" spans="2:11" ht="18" customHeight="1" x14ac:dyDescent="0.2">
      <c r="B47" s="282" t="s">
        <v>133</v>
      </c>
      <c r="C47" s="691">
        <v>14329.52671230088</v>
      </c>
      <c r="D47" s="3076" t="s">
        <v>1814</v>
      </c>
      <c r="E47" s="1913">
        <f t="shared" ref="E47:E51" si="18">IFERROR(H47*1000/$C47,"NA")</f>
        <v>91.131730439180984</v>
      </c>
      <c r="F47" s="1913">
        <f t="shared" si="17"/>
        <v>0.95238095238095233</v>
      </c>
      <c r="G47" s="1913">
        <f t="shared" si="17"/>
        <v>0.6752380952380953</v>
      </c>
      <c r="H47" s="691">
        <v>1305.8745656664471</v>
      </c>
      <c r="I47" s="691">
        <v>1.3647168297429409E-2</v>
      </c>
      <c r="J47" s="691">
        <v>9.6758423228774509E-3</v>
      </c>
      <c r="K47" s="3093" t="s">
        <v>2146</v>
      </c>
    </row>
    <row r="48" spans="2:11" ht="18" customHeight="1" x14ac:dyDescent="0.2">
      <c r="B48" s="282" t="s">
        <v>134</v>
      </c>
      <c r="C48" s="691">
        <v>28409.599999999999</v>
      </c>
      <c r="D48" s="3076" t="s">
        <v>1814</v>
      </c>
      <c r="E48" s="1913">
        <f t="shared" si="18"/>
        <v>51.411918339264993</v>
      </c>
      <c r="F48" s="1913">
        <f t="shared" si="17"/>
        <v>0.91409090909090929</v>
      </c>
      <c r="G48" s="1913">
        <f t="shared" si="17"/>
        <v>0.86459090909090908</v>
      </c>
      <c r="H48" s="691">
        <v>1460.5920352511828</v>
      </c>
      <c r="I48" s="691">
        <v>2.5968957090909094E-2</v>
      </c>
      <c r="J48" s="691">
        <v>2.4562681890909092E-2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89530.658196678924</v>
      </c>
      <c r="D51" s="3076" t="s">
        <v>1814</v>
      </c>
      <c r="E51" s="1913">
        <f t="shared" si="18"/>
        <v>94.930146009332844</v>
      </c>
      <c r="F51" s="1913">
        <f t="shared" si="17"/>
        <v>9.1588317087480853</v>
      </c>
      <c r="G51" s="1913">
        <f t="shared" si="17"/>
        <v>5.828616031857309</v>
      </c>
      <c r="H51" s="691">
        <v>8499.1584549224026</v>
      </c>
      <c r="I51" s="691">
        <v>0.81999623119682963</v>
      </c>
      <c r="J51" s="691">
        <v>0.52183982970789977</v>
      </c>
      <c r="K51" s="3093" t="s">
        <v>2146</v>
      </c>
    </row>
    <row r="52" spans="2:11" ht="18" customHeight="1" x14ac:dyDescent="0.2">
      <c r="B52" s="1241" t="s">
        <v>156</v>
      </c>
      <c r="C52" s="3094">
        <f>IF(SUM(C53:C58)=0,"NO",SUM(C53:C58))</f>
        <v>100946.17637372344</v>
      </c>
      <c r="D52" s="3076" t="s">
        <v>1814</v>
      </c>
      <c r="E52" s="628"/>
      <c r="F52" s="628"/>
      <c r="G52" s="628"/>
      <c r="H52" s="1913">
        <f>IF(SUM(H53:H57)=0,"NO",SUM(H53:H57))</f>
        <v>6487.3074496130203</v>
      </c>
      <c r="I52" s="1913">
        <f t="shared" ref="I52:K52" si="19">IF(SUM(I53:I58)=0,"NO",SUM(I53:I58))</f>
        <v>0.2170032062625763</v>
      </c>
      <c r="J52" s="1913">
        <f t="shared" si="19"/>
        <v>5.2477160998407497E-2</v>
      </c>
      <c r="K52" s="3065" t="str">
        <f t="shared" si="19"/>
        <v>NO</v>
      </c>
    </row>
    <row r="53" spans="2:11" ht="18" customHeight="1" x14ac:dyDescent="0.2">
      <c r="B53" s="282" t="s">
        <v>132</v>
      </c>
      <c r="C53" s="2147">
        <v>7977.7799999999988</v>
      </c>
      <c r="D53" s="3076" t="s">
        <v>1814</v>
      </c>
      <c r="E53" s="1913">
        <f>IFERROR(H53*1000/$C53,"NA")</f>
        <v>66.456094803316219</v>
      </c>
      <c r="F53" s="1913">
        <f t="shared" ref="F53:G58" si="20">IFERROR(I53*1000000/$C53,"NA")</f>
        <v>14.633584274534297</v>
      </c>
      <c r="G53" s="1913">
        <f t="shared" si="20"/>
        <v>1.6008351449943707</v>
      </c>
      <c r="H53" s="691">
        <v>530.17210399999988</v>
      </c>
      <c r="I53" s="691">
        <v>0.11674351595369421</v>
      </c>
      <c r="J53" s="691">
        <v>1.2771110603033188E-2</v>
      </c>
      <c r="K53" s="3093" t="s">
        <v>2146</v>
      </c>
    </row>
    <row r="54" spans="2:11" ht="18" customHeight="1" x14ac:dyDescent="0.2">
      <c r="B54" s="282" t="s">
        <v>133</v>
      </c>
      <c r="C54" s="691">
        <v>32709.380000000005</v>
      </c>
      <c r="D54" s="3076" t="s">
        <v>1814</v>
      </c>
      <c r="E54" s="1913">
        <f t="shared" ref="E54:E58" si="21">IFERROR(H54*1000/$C54,"NA")</f>
        <v>89.202590478597173</v>
      </c>
      <c r="F54" s="1913">
        <f t="shared" si="20"/>
        <v>0.94056706039488946</v>
      </c>
      <c r="G54" s="1913">
        <f t="shared" si="20"/>
        <v>0.80729108442539255</v>
      </c>
      <c r="H54" s="691">
        <v>2917.7614289488174</v>
      </c>
      <c r="I54" s="691">
        <v>3.0765365393939394E-2</v>
      </c>
      <c r="J54" s="691">
        <v>2.6405990851082251E-2</v>
      </c>
      <c r="K54" s="3093" t="s">
        <v>2146</v>
      </c>
    </row>
    <row r="55" spans="2:11" ht="18" customHeight="1" x14ac:dyDescent="0.2">
      <c r="B55" s="282" t="s">
        <v>134</v>
      </c>
      <c r="C55" s="691">
        <v>59118.080298181201</v>
      </c>
      <c r="D55" s="3076" t="s">
        <v>1814</v>
      </c>
      <c r="E55" s="1913">
        <f t="shared" si="21"/>
        <v>51.411918339265</v>
      </c>
      <c r="F55" s="1913">
        <f t="shared" si="20"/>
        <v>0.99860726066723093</v>
      </c>
      <c r="G55" s="1913">
        <f t="shared" si="20"/>
        <v>0.11239538006164587</v>
      </c>
      <c r="H55" s="691">
        <v>3039.3739166642031</v>
      </c>
      <c r="I55" s="691">
        <v>5.9035744222472125E-2</v>
      </c>
      <c r="J55" s="691">
        <v>6.6445991036289754E-3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1140.9360755422429</v>
      </c>
      <c r="D58" s="3076" t="s">
        <v>1814</v>
      </c>
      <c r="E58" s="3095">
        <f t="shared" si="21"/>
        <v>94</v>
      </c>
      <c r="F58" s="3095">
        <f t="shared" si="20"/>
        <v>9.1666666666666696</v>
      </c>
      <c r="G58" s="3095">
        <f t="shared" si="20"/>
        <v>5.8333333333333339</v>
      </c>
      <c r="H58" s="2190">
        <v>107.24799110097084</v>
      </c>
      <c r="I58" s="691">
        <v>1.0458580692470562E-2</v>
      </c>
      <c r="J58" s="691">
        <v>6.6554604406630843E-3</v>
      </c>
      <c r="K58" s="3093" t="s">
        <v>2146</v>
      </c>
    </row>
    <row r="59" spans="2:11" ht="18" customHeight="1" x14ac:dyDescent="0.2">
      <c r="B59" s="1241" t="s">
        <v>157</v>
      </c>
      <c r="C59" s="3094">
        <f>IF(SUM(C61,C68,C75,C82,C89,C96,C103,C112)=0,"NO",SUM(C61,C68,C75,C82,C89,C96,C103,C112))</f>
        <v>91990.070368151384</v>
      </c>
      <c r="D59" s="3076" t="s">
        <v>1814</v>
      </c>
      <c r="E59" s="1914"/>
      <c r="F59" s="1914"/>
      <c r="G59" s="1914"/>
      <c r="H59" s="1913">
        <f>IF(SUM(H61,H68,H75,H82,H89,H96,H103,H112)=0,"NO",SUM(H61,H68,H75,H82,H89,H96,H103,H112))</f>
        <v>6083.9500751091755</v>
      </c>
      <c r="I59" s="1913">
        <f>IF(SUM(I61,I68,I75,I82,I89,I96,I103,I112)=0,"NO",SUM(I61,I68,I75,I82,I89,I96,I103,I112))</f>
        <v>0.32016643243690057</v>
      </c>
      <c r="J59" s="1913">
        <f>IF(SUM(J61,J68,J75,J82,J89,J96,J103,J112)=0,"NO",SUM(J61,J68,J75,J82,J89,J96,J103,J112))</f>
        <v>0.26093386227272541</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6719.0999999999995</v>
      </c>
      <c r="D61" s="3076" t="s">
        <v>1814</v>
      </c>
      <c r="E61" s="628"/>
      <c r="F61" s="628"/>
      <c r="G61" s="628"/>
      <c r="H61" s="1913">
        <f>IF(SUM(H62:H66)=0,"NO",SUM(H62:H66))</f>
        <v>368.20651353025153</v>
      </c>
      <c r="I61" s="1913">
        <f t="shared" ref="I61:K61" si="22">IF(SUM(I62:I67)=0,"NO",SUM(I62:I67))</f>
        <v>4.3191066666666673E-2</v>
      </c>
      <c r="J61" s="1913">
        <f t="shared" si="22"/>
        <v>8.8137952380952372E-3</v>
      </c>
      <c r="K61" s="3065" t="str">
        <f t="shared" si="22"/>
        <v>NO</v>
      </c>
    </row>
    <row r="62" spans="2:11" ht="18" customHeight="1" x14ac:dyDescent="0.2">
      <c r="B62" s="158" t="s">
        <v>132</v>
      </c>
      <c r="C62" s="691">
        <v>1619.0999999999997</v>
      </c>
      <c r="D62" s="3076" t="s">
        <v>1814</v>
      </c>
      <c r="E62" s="1913">
        <f>IFERROR(H62*1000/$C62,"NA")</f>
        <v>65.472009140880743</v>
      </c>
      <c r="F62" s="1913">
        <f t="shared" ref="F62:G67" si="23">IFERROR(I62*1000000/$C62,"NA")</f>
        <v>23.746567022831623</v>
      </c>
      <c r="G62" s="1913">
        <f t="shared" si="23"/>
        <v>2.8827714397475384</v>
      </c>
      <c r="H62" s="691">
        <v>106.00573</v>
      </c>
      <c r="I62" s="691">
        <v>3.8448066666666676E-2</v>
      </c>
      <c r="J62" s="691">
        <v>4.6674952380952378E-3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5100</v>
      </c>
      <c r="D64" s="3076" t="s">
        <v>1814</v>
      </c>
      <c r="E64" s="1913">
        <f t="shared" si="24"/>
        <v>51.411918339264993</v>
      </c>
      <c r="F64" s="1913">
        <f t="shared" si="23"/>
        <v>0.93</v>
      </c>
      <c r="G64" s="1913">
        <f t="shared" si="23"/>
        <v>0.81299999999999983</v>
      </c>
      <c r="H64" s="691">
        <v>262.2007835302515</v>
      </c>
      <c r="I64" s="691">
        <v>4.7429999999999998E-3</v>
      </c>
      <c r="J64" s="691">
        <v>4.1462999999999995E-3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46545.220368151378</v>
      </c>
      <c r="D75" s="3077" t="s">
        <v>1814</v>
      </c>
      <c r="E75" s="628"/>
      <c r="F75" s="628"/>
      <c r="G75" s="628"/>
      <c r="H75" s="1913">
        <f>IF(SUM(H76:H80)=0,"NO",SUM(H76:H80))</f>
        <v>3203.2564059682568</v>
      </c>
      <c r="I75" s="1913">
        <f t="shared" ref="I75:K75" si="28">IF(SUM(I76:I81)=0,"NO",SUM(I76:I81))</f>
        <v>0.1555692776057318</v>
      </c>
      <c r="J75" s="1913">
        <f t="shared" si="28"/>
        <v>0.15193499530562585</v>
      </c>
      <c r="K75" s="3065" t="str">
        <f t="shared" si="28"/>
        <v>NO</v>
      </c>
    </row>
    <row r="76" spans="2:11" ht="18" customHeight="1" x14ac:dyDescent="0.2">
      <c r="B76" s="158" t="s">
        <v>132</v>
      </c>
      <c r="C76" s="691">
        <v>43596.334249927473</v>
      </c>
      <c r="D76" s="3077" t="s">
        <v>1814</v>
      </c>
      <c r="E76" s="1913">
        <f>IFERROR(H76*1000/$C76,"NA")</f>
        <v>69.667516262718166</v>
      </c>
      <c r="F76" s="1913">
        <f t="shared" ref="F76:G81" si="29">IFERROR(I76*1000000/$C76,"NA")</f>
        <v>3.4408032322967799</v>
      </c>
      <c r="G76" s="1913">
        <f t="shared" si="29"/>
        <v>3.4259300391196312</v>
      </c>
      <c r="H76" s="691">
        <v>3037.2483253517194</v>
      </c>
      <c r="I76" s="691">
        <v>0.15000640780344127</v>
      </c>
      <c r="J76" s="691">
        <v>0.14935799110232656</v>
      </c>
      <c r="K76" s="3093" t="s">
        <v>2146</v>
      </c>
    </row>
    <row r="77" spans="2:11" ht="18" customHeight="1" x14ac:dyDescent="0.2">
      <c r="B77" s="158" t="s">
        <v>133</v>
      </c>
      <c r="C77" s="691">
        <v>256.60000000000002</v>
      </c>
      <c r="D77" s="3077" t="s">
        <v>1814</v>
      </c>
      <c r="E77" s="1913">
        <f t="shared" ref="E77:E81" si="30">IFERROR(H77*1000/$C77,"NA")</f>
        <v>107.53112455367462</v>
      </c>
      <c r="F77" s="1913">
        <f t="shared" si="29"/>
        <v>0.95238095238095222</v>
      </c>
      <c r="G77" s="1913">
        <f t="shared" si="29"/>
        <v>0.75923809523809505</v>
      </c>
      <c r="H77" s="691">
        <v>27.59248656047291</v>
      </c>
      <c r="I77" s="691">
        <v>2.4438095238095236E-4</v>
      </c>
      <c r="J77" s="691">
        <v>1.9482049523809522E-4</v>
      </c>
      <c r="K77" s="3093" t="s">
        <v>2146</v>
      </c>
    </row>
    <row r="78" spans="2:11" ht="18" customHeight="1" x14ac:dyDescent="0.2">
      <c r="B78" s="158" t="s">
        <v>134</v>
      </c>
      <c r="C78" s="691">
        <v>2692.286118223908</v>
      </c>
      <c r="D78" s="3077" t="s">
        <v>1814</v>
      </c>
      <c r="E78" s="1913">
        <f t="shared" si="30"/>
        <v>51.411918339265</v>
      </c>
      <c r="F78" s="1913">
        <f t="shared" si="29"/>
        <v>1.9754545454545456</v>
      </c>
      <c r="G78" s="1913">
        <f t="shared" si="29"/>
        <v>0.8848181818181815</v>
      </c>
      <c r="H78" s="691">
        <v>138.41559405606432</v>
      </c>
      <c r="I78" s="691">
        <v>5.3184888499095929E-3</v>
      </c>
      <c r="J78" s="691">
        <v>2.3821837080612081E-3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27089.600000000002</v>
      </c>
      <c r="D89" s="3077" t="s">
        <v>1814</v>
      </c>
      <c r="E89" s="628"/>
      <c r="F89" s="628"/>
      <c r="G89" s="628"/>
      <c r="H89" s="1913">
        <f>IF(SUM(H90:H94)=0,"NO",SUM(H90:H94))</f>
        <v>1844.8040037404901</v>
      </c>
      <c r="I89" s="1913">
        <f t="shared" ref="I89:K89" si="36">IF(SUM(I90:I95)=0,"NO",SUM(I90:I95))</f>
        <v>9.273591861471861E-2</v>
      </c>
      <c r="J89" s="1913">
        <f t="shared" si="36"/>
        <v>8.9567775757575768E-2</v>
      </c>
      <c r="K89" s="3065" t="str">
        <f t="shared" si="36"/>
        <v>NO</v>
      </c>
    </row>
    <row r="90" spans="2:11" ht="18" customHeight="1" x14ac:dyDescent="0.2">
      <c r="B90" s="158" t="s">
        <v>132</v>
      </c>
      <c r="C90" s="691">
        <v>24534.400000000001</v>
      </c>
      <c r="D90" s="3077" t="s">
        <v>1814</v>
      </c>
      <c r="E90" s="1913">
        <f>IFERROR(H90*1000/$C90,"NA")</f>
        <v>69.838115869962181</v>
      </c>
      <c r="F90" s="1913">
        <f t="shared" ref="F90:G95" si="37">IFERROR(I90*1000000/$C90,"NA")</f>
        <v>3.68515266416988</v>
      </c>
      <c r="G90" s="1913">
        <f t="shared" si="37"/>
        <v>3.5560220207817048</v>
      </c>
      <c r="H90" s="691">
        <v>1713.4362700000001</v>
      </c>
      <c r="I90" s="691">
        <v>9.0413009523809512E-2</v>
      </c>
      <c r="J90" s="691">
        <v>8.7244866666666671E-2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2555.2000000000003</v>
      </c>
      <c r="D92" s="3077" t="s">
        <v>1814</v>
      </c>
      <c r="E92" s="1913">
        <f t="shared" si="38"/>
        <v>51.411918339264993</v>
      </c>
      <c r="F92" s="1913">
        <f t="shared" si="37"/>
        <v>0.90909090909090884</v>
      </c>
      <c r="G92" s="1913">
        <f t="shared" si="37"/>
        <v>0.90909090909090906</v>
      </c>
      <c r="H92" s="691">
        <v>131.36773374048994</v>
      </c>
      <c r="I92" s="691">
        <v>2.3229090909090908E-3</v>
      </c>
      <c r="J92" s="691">
        <v>2.3229090909090912E-3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7663.5500000000011</v>
      </c>
      <c r="D96" s="3076" t="s">
        <v>1814</v>
      </c>
      <c r="E96" s="628"/>
      <c r="F96" s="628"/>
      <c r="G96" s="628"/>
      <c r="H96" s="1913">
        <f>IF(SUM(H97:H101)=0,"NO",SUM(H97:H101))</f>
        <v>431.4302708144894</v>
      </c>
      <c r="I96" s="1913">
        <f t="shared" ref="I96:K96" si="42">IF(SUM(I97:I102)=0,"NO",SUM(I97:I102))</f>
        <v>7.2075268225108248E-3</v>
      </c>
      <c r="J96" s="1913">
        <f t="shared" si="42"/>
        <v>6.8421589194805213E-3</v>
      </c>
      <c r="K96" s="3065" t="str">
        <f t="shared" si="42"/>
        <v>NO</v>
      </c>
    </row>
    <row r="97" spans="2:11" ht="18" customHeight="1" x14ac:dyDescent="0.2">
      <c r="B97" s="158" t="s">
        <v>132</v>
      </c>
      <c r="C97" s="691">
        <v>407.4</v>
      </c>
      <c r="D97" s="3076" t="s">
        <v>1814</v>
      </c>
      <c r="E97" s="1913">
        <f>IFERROR(H97*1000/$C97,"NA")</f>
        <v>64.866323024054992</v>
      </c>
      <c r="F97" s="1913">
        <f t="shared" ref="F97:G102" si="43">IFERROR(I97*1000000/$C97,"NA")</f>
        <v>1.2999628092411601</v>
      </c>
      <c r="G97" s="1913">
        <f t="shared" si="43"/>
        <v>2.1027952234314529</v>
      </c>
      <c r="H97" s="691">
        <v>26.426540000000003</v>
      </c>
      <c r="I97" s="691">
        <v>5.296048484848486E-4</v>
      </c>
      <c r="J97" s="691">
        <v>8.5667877402597389E-4</v>
      </c>
      <c r="K97" s="3093" t="s">
        <v>2146</v>
      </c>
    </row>
    <row r="98" spans="2:11" ht="18" customHeight="1" x14ac:dyDescent="0.2">
      <c r="B98" s="158" t="s">
        <v>133</v>
      </c>
      <c r="C98" s="691">
        <v>795.45</v>
      </c>
      <c r="D98" s="3076" t="s">
        <v>1814</v>
      </c>
      <c r="E98" s="1913">
        <f t="shared" ref="E98:E102" si="44">IFERROR(H98*1000/$C98,"NA")</f>
        <v>91.579294738827073</v>
      </c>
      <c r="F98" s="1913">
        <f t="shared" si="43"/>
        <v>0.95238095238095233</v>
      </c>
      <c r="G98" s="1913">
        <f t="shared" si="43"/>
        <v>0.66666666666666652</v>
      </c>
      <c r="H98" s="691">
        <v>72.84675</v>
      </c>
      <c r="I98" s="691">
        <v>7.5757142857142852E-4</v>
      </c>
      <c r="J98" s="691">
        <v>5.3029999999999993E-4</v>
      </c>
      <c r="K98" s="3093" t="s">
        <v>2146</v>
      </c>
    </row>
    <row r="99" spans="2:11" ht="18" customHeight="1" x14ac:dyDescent="0.2">
      <c r="B99" s="158" t="s">
        <v>134</v>
      </c>
      <c r="C99" s="691">
        <v>6460.7000000000007</v>
      </c>
      <c r="D99" s="3076" t="s">
        <v>1814</v>
      </c>
      <c r="E99" s="1913">
        <f t="shared" si="44"/>
        <v>51.411918339265</v>
      </c>
      <c r="F99" s="1913">
        <f t="shared" si="43"/>
        <v>0.9163636363636366</v>
      </c>
      <c r="G99" s="1913">
        <f t="shared" si="43"/>
        <v>0.84436363636363654</v>
      </c>
      <c r="H99" s="691">
        <v>332.15698081448943</v>
      </c>
      <c r="I99" s="691">
        <v>5.9203505454545474E-3</v>
      </c>
      <c r="J99" s="691">
        <v>5.4551801454545473E-3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3972.6000000000004</v>
      </c>
      <c r="D112" s="3076" t="s">
        <v>1814</v>
      </c>
      <c r="E112" s="628"/>
      <c r="F112" s="628"/>
      <c r="G112" s="628"/>
      <c r="H112" s="1913">
        <f>H113</f>
        <v>236.25288105568816</v>
      </c>
      <c r="I112" s="1913">
        <f>I113</f>
        <v>2.1462642727272732E-2</v>
      </c>
      <c r="J112" s="1913">
        <f>J113</f>
        <v>3.7751370519480518E-3</v>
      </c>
      <c r="K112" s="3065" t="str">
        <f>K113</f>
        <v>NO</v>
      </c>
    </row>
    <row r="113" spans="2:11" ht="18" customHeight="1" x14ac:dyDescent="0.2">
      <c r="B113" s="3090" t="s">
        <v>2259</v>
      </c>
      <c r="C113" s="3099">
        <f>IF(SUM(C114:C119)=0,"NO",SUM(C114:C119))</f>
        <v>3972.6000000000004</v>
      </c>
      <c r="D113" s="3099" t="s">
        <v>1814</v>
      </c>
      <c r="E113" s="628"/>
      <c r="F113" s="628"/>
      <c r="G113" s="628"/>
      <c r="H113" s="3099">
        <f>IF(SUM(H114:H118)=0,"NO",SUM(H114:H118))</f>
        <v>236.25288105568816</v>
      </c>
      <c r="I113" s="3099">
        <f t="shared" ref="I113" si="51">IF(SUM(I114:I119)=0,"NO",SUM(I114:I119))</f>
        <v>2.1462642727272732E-2</v>
      </c>
      <c r="J113" s="3099">
        <f t="shared" ref="J113" si="52">IF(SUM(J114:J119)=0,"NO",SUM(J114:J119))</f>
        <v>3.7751370519480518E-3</v>
      </c>
      <c r="K113" s="3100" t="str">
        <f t="shared" ref="K113" si="53">IF(SUM(K114:K119)=0,"NO",SUM(K114:K119))</f>
        <v>NO</v>
      </c>
    </row>
    <row r="114" spans="2:11" ht="18" customHeight="1" x14ac:dyDescent="0.2">
      <c r="B114" s="158" t="s">
        <v>132</v>
      </c>
      <c r="C114" s="691">
        <v>448.6</v>
      </c>
      <c r="D114" s="3076" t="s">
        <v>1814</v>
      </c>
      <c r="E114" s="1913">
        <f>IFERROR(H114*1000/$C114,"NA")</f>
        <v>61.650891662951409</v>
      </c>
      <c r="F114" s="1913">
        <f t="shared" ref="F114:G119" si="54">IFERROR(I114*1000000/$C114,"NA")</f>
        <v>40.617747952745731</v>
      </c>
      <c r="G114" s="1913">
        <f t="shared" si="54"/>
        <v>1.7364102267178503</v>
      </c>
      <c r="H114" s="691">
        <v>27.656590000000005</v>
      </c>
      <c r="I114" s="691">
        <v>1.8221121731601734E-2</v>
      </c>
      <c r="J114" s="691">
        <v>7.7895362770562769E-4</v>
      </c>
      <c r="K114" s="3093" t="s">
        <v>2146</v>
      </c>
    </row>
    <row r="115" spans="2:11" ht="18" customHeight="1" x14ac:dyDescent="0.2">
      <c r="B115" s="158" t="s">
        <v>133</v>
      </c>
      <c r="C115" s="691">
        <v>710.6</v>
      </c>
      <c r="D115" s="3076" t="s">
        <v>1814</v>
      </c>
      <c r="E115" s="1913">
        <f t="shared" ref="E115:E119" si="55">IFERROR(H115*1000/$C115,"NA")</f>
        <v>90</v>
      </c>
      <c r="F115" s="1913">
        <f t="shared" si="54"/>
        <v>0.95238095238095222</v>
      </c>
      <c r="G115" s="1913">
        <f t="shared" si="54"/>
        <v>0.66666666666666663</v>
      </c>
      <c r="H115" s="691">
        <v>63.954000000000001</v>
      </c>
      <c r="I115" s="691">
        <v>6.7676190476190473E-4</v>
      </c>
      <c r="J115" s="691">
        <v>4.7373333333333332E-4</v>
      </c>
      <c r="K115" s="3093" t="s">
        <v>2146</v>
      </c>
    </row>
    <row r="116" spans="2:11" ht="18" customHeight="1" x14ac:dyDescent="0.2">
      <c r="B116" s="158" t="s">
        <v>134</v>
      </c>
      <c r="C116" s="691">
        <v>2813.4</v>
      </c>
      <c r="D116" s="3076" t="s">
        <v>1814</v>
      </c>
      <c r="E116" s="1913">
        <f t="shared" si="55"/>
        <v>51.411918339265007</v>
      </c>
      <c r="F116" s="1913">
        <f t="shared" si="54"/>
        <v>0.91162262419460116</v>
      </c>
      <c r="G116" s="1913">
        <f t="shared" si="54"/>
        <v>0.89658423647867014</v>
      </c>
      <c r="H116" s="691">
        <v>144.64229105568816</v>
      </c>
      <c r="I116" s="691">
        <v>2.5647590909090908E-3</v>
      </c>
      <c r="J116" s="691">
        <v>2.5224500909090909E-3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5066.2074466785925</v>
      </c>
      <c r="D10" s="4413">
        <f t="shared" ref="D10:F10" si="0">SUM(D11:D16)</f>
        <v>28035.818895379794</v>
      </c>
      <c r="E10" s="4413">
        <f t="shared" si="0"/>
        <v>1938.6257021384208</v>
      </c>
      <c r="F10" s="4413">
        <f t="shared" si="0"/>
        <v>3061.3340630885386</v>
      </c>
      <c r="G10" s="4414" t="s">
        <v>2146</v>
      </c>
      <c r="H10" s="4415" t="s">
        <v>2312</v>
      </c>
      <c r="I10" s="4416" t="s">
        <v>2313</v>
      </c>
    </row>
    <row r="11" spans="2:9" ht="18" customHeight="1" x14ac:dyDescent="0.2">
      <c r="B11" s="1558" t="s">
        <v>1476</v>
      </c>
      <c r="C11" s="4417">
        <f>Table1!D10</f>
        <v>1303.9023985495385</v>
      </c>
      <c r="D11" s="4418">
        <f>Table1!G10</f>
        <v>4043.7934112299436</v>
      </c>
      <c r="E11" s="4418">
        <f>Table1!H10</f>
        <v>739.20789236476685</v>
      </c>
      <c r="F11" s="4418">
        <f>Table1!F10</f>
        <v>2086.7232977873437</v>
      </c>
      <c r="G11" s="4419" t="s">
        <v>2146</v>
      </c>
      <c r="H11" s="4420" t="s">
        <v>2154</v>
      </c>
      <c r="I11" s="4421" t="s">
        <v>2154</v>
      </c>
    </row>
    <row r="12" spans="2:9" ht="18" customHeight="1" x14ac:dyDescent="0.2">
      <c r="B12" s="2393" t="s">
        <v>1551</v>
      </c>
      <c r="C12" s="4422">
        <f>'Table2(I)'!D10</f>
        <v>3.451872741649618</v>
      </c>
      <c r="D12" s="4388">
        <f>'Table2(I)'!L10</f>
        <v>12.641310620563107</v>
      </c>
      <c r="E12" s="4388">
        <f>'Table2(I)'!M10</f>
        <v>236.00629307070517</v>
      </c>
      <c r="F12" s="4388">
        <f>'Table2(I)'!K10</f>
        <v>54.880979866860557</v>
      </c>
      <c r="G12" s="4423" t="s">
        <v>2146</v>
      </c>
      <c r="H12" s="4424" t="s">
        <v>2146</v>
      </c>
      <c r="I12" s="4425" t="s">
        <v>2146</v>
      </c>
    </row>
    <row r="13" spans="2:9" ht="18" customHeight="1" x14ac:dyDescent="0.2">
      <c r="B13" s="2393" t="s">
        <v>1552</v>
      </c>
      <c r="C13" s="4422">
        <f>Table3!D10</f>
        <v>2535.1097905504412</v>
      </c>
      <c r="D13" s="4388">
        <f>Table3!G10</f>
        <v>536.80407194155293</v>
      </c>
      <c r="E13" s="4388">
        <f>Table3!H10</f>
        <v>31.313570863257247</v>
      </c>
      <c r="F13" s="4388">
        <f>Table3!F10</f>
        <v>32.81647333971091</v>
      </c>
      <c r="G13" s="4426"/>
      <c r="H13" s="4424" t="s">
        <v>2154</v>
      </c>
      <c r="I13" s="4425" t="s">
        <v>2153</v>
      </c>
    </row>
    <row r="14" spans="2:9" ht="18" customHeight="1" x14ac:dyDescent="0.2">
      <c r="B14" s="2393" t="s">
        <v>1553</v>
      </c>
      <c r="C14" s="4422">
        <f>Table4!D10</f>
        <v>665.61680430628974</v>
      </c>
      <c r="D14" s="4388">
        <f>Table4!G10</f>
        <v>23442.580101587733</v>
      </c>
      <c r="E14" s="4423">
        <f>Table4!H10</f>
        <v>681.86895082457875</v>
      </c>
      <c r="F14" s="4423">
        <f>Table4!F10</f>
        <v>886.91331209462351</v>
      </c>
      <c r="G14" s="4426"/>
      <c r="H14" s="4427" t="s">
        <v>2154</v>
      </c>
      <c r="I14" s="4425" t="s">
        <v>2154</v>
      </c>
    </row>
    <row r="15" spans="2:9" ht="18" customHeight="1" x14ac:dyDescent="0.2">
      <c r="B15" s="2393" t="s">
        <v>1554</v>
      </c>
      <c r="C15" s="4422">
        <f>Table5!D10</f>
        <v>558.12658053067435</v>
      </c>
      <c r="D15" s="4388" t="str">
        <f>Table5!G10</f>
        <v>NO</v>
      </c>
      <c r="E15" s="4423">
        <f>Table5!H10</f>
        <v>250.22899501511267</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2004</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419177.37431064172</v>
      </c>
      <c r="D10" s="4193">
        <f>SUM(D11,D22,D30,D41,D50,D56)</f>
        <v>416096.33595123357</v>
      </c>
      <c r="E10" s="3840">
        <f>IF(D10="NO",IF(C10="NO","NA",-C10),IF(C10="NO",D10,D10-C10))</f>
        <v>-3081.0383594081504</v>
      </c>
      <c r="F10" s="3838">
        <f>IF(E10="NA","NA",E10/C10*100)</f>
        <v>-0.73502019627730941</v>
      </c>
      <c r="G10" s="3841">
        <f>IF(E10="NA","NA",E10/Table8s2!$G$35*100)</f>
        <v>-0.58261697164526083</v>
      </c>
      <c r="H10" s="3842">
        <f>IF(E10="NA","NA",E10/Table8s2!$G$34*100)</f>
        <v>-0.52680487882603133</v>
      </c>
      <c r="I10" s="4194">
        <f>SUM(I11,I22,I30,I41,I50,I56)</f>
        <v>145752.74485859234</v>
      </c>
      <c r="J10" s="4193">
        <f>SUM(J11,J22,J30,J41,J50,J56)</f>
        <v>141853.80850700062</v>
      </c>
      <c r="K10" s="3840">
        <f t="shared" ref="K10:K12" si="0">IF(J10="NO",IF(I10="NO","NA",-I10),IF(I10="NO",J10,J10-I10))</f>
        <v>-3898.9363515917212</v>
      </c>
      <c r="L10" s="3838">
        <f t="shared" ref="L10:L12" si="1">IF(K10="NA","NA",K10/I10*100)</f>
        <v>-2.6750345973754559</v>
      </c>
      <c r="M10" s="3841">
        <f>IF(K10="NA","NA",K10/Table8s2!$G$35*100)</f>
        <v>-0.73727952229661586</v>
      </c>
      <c r="N10" s="3842">
        <f>IF(K10="NA","NA",K10/Table8s2!$G$34*100)</f>
        <v>-0.6666514507937652</v>
      </c>
      <c r="O10" s="4194">
        <f>SUM(O11,O22,O30,O41,O50,O56)</f>
        <v>22378.306301526267</v>
      </c>
      <c r="P10" s="4193">
        <f>SUM(P11,P22,P30,P41,P50,P56)</f>
        <v>22199.152176205138</v>
      </c>
      <c r="Q10" s="3840">
        <f t="shared" ref="Q10:Q12" si="2">IF(P10="NO",IF(O10="NO","NA",-O10),IF(O10="NO",P10,P10-O10))</f>
        <v>-179.15412532112896</v>
      </c>
      <c r="R10" s="3838">
        <f t="shared" ref="R10:R12" si="3">IF(Q10="NA","NA",Q10/O10*100)</f>
        <v>-0.80057052981221422</v>
      </c>
      <c r="S10" s="3841">
        <f>IF(Q10="NA","NA",Q10/Table8s2!$G$35*100)</f>
        <v>-3.3877615847795597E-2</v>
      </c>
      <c r="T10" s="3842">
        <f>IF(Q10="NA","NA",Q10/Table8s2!$G$34*100)</f>
        <v>-3.0632292192269459E-2</v>
      </c>
    </row>
    <row r="11" spans="2:20" ht="18" customHeight="1" x14ac:dyDescent="0.2">
      <c r="B11" s="1405" t="s">
        <v>1476</v>
      </c>
      <c r="C11" s="3839">
        <f>SUM(C12,C18,C21)</f>
        <v>356985.37847188296</v>
      </c>
      <c r="D11" s="3839">
        <f>Summary2!C11</f>
        <v>356994.1378218829</v>
      </c>
      <c r="E11" s="3843">
        <f t="shared" ref="E11:E38" si="4">IF(D11="NO",IF(C11="NO","NA",-C11),IF(C11="NO",D11,D11-C11))</f>
        <v>8.7593499999493361</v>
      </c>
      <c r="F11" s="3839">
        <f t="shared" ref="F11:F38" si="5">IF(E11="NA","NA",E11/C11*100)</f>
        <v>2.4536999351191194E-3</v>
      </c>
      <c r="G11" s="3844">
        <f>IF(E11="NA","NA",E11/Table8s2!$G$35*100)</f>
        <v>1.656372097727378E-3</v>
      </c>
      <c r="H11" s="3845">
        <f>IF(E11="NA","NA",E11/Table8s2!$G$34*100)</f>
        <v>1.4976990796714783E-3</v>
      </c>
      <c r="I11" s="3846">
        <f>SUM(I12,I18,I21)</f>
        <v>36508.967886408231</v>
      </c>
      <c r="J11" s="3839">
        <f>Summary2!D11</f>
        <v>36509.267159387076</v>
      </c>
      <c r="K11" s="3843">
        <f t="shared" si="0"/>
        <v>0.29927297884569271</v>
      </c>
      <c r="L11" s="3839">
        <f t="shared" si="1"/>
        <v>8.1972456678817193E-4</v>
      </c>
      <c r="M11" s="3844">
        <f>IF(K11="NA","NA",K11/Table8s2!$G$35*100)</f>
        <v>5.6591803246431352E-5</v>
      </c>
      <c r="N11" s="3845">
        <f>IF(K11="NA","NA",K11/Table8s2!$G$34*100)</f>
        <v>5.1170562312309501E-5</v>
      </c>
      <c r="O11" s="3846">
        <f>SUM(O12,O18,O21)</f>
        <v>3349.411962617698</v>
      </c>
      <c r="P11" s="3839">
        <f>Summary2!E11</f>
        <v>3349.411962617698</v>
      </c>
      <c r="Q11" s="3843">
        <f t="shared" si="2"/>
        <v>0</v>
      </c>
      <c r="R11" s="3839">
        <f t="shared" si="3"/>
        <v>0</v>
      </c>
      <c r="S11" s="3844">
        <f>IF(Q11="NA","NA",Q11/Table8s2!$G$35*100)</f>
        <v>0</v>
      </c>
      <c r="T11" s="3845">
        <f>IF(Q11="NA","NA",Q11/Table8s2!$G$34*100)</f>
        <v>0</v>
      </c>
    </row>
    <row r="12" spans="2:20" ht="18" customHeight="1" x14ac:dyDescent="0.2">
      <c r="B12" s="620" t="s">
        <v>131</v>
      </c>
      <c r="C12" s="3839">
        <f>SUM(C13:C17)</f>
        <v>350127.43830062845</v>
      </c>
      <c r="D12" s="3839">
        <f>Summary2!C12</f>
        <v>350136.1976506284</v>
      </c>
      <c r="E12" s="3839">
        <f t="shared" si="4"/>
        <v>8.7593499999493361</v>
      </c>
      <c r="F12" s="3847">
        <f t="shared" si="5"/>
        <v>2.5017605139613002E-3</v>
      </c>
      <c r="G12" s="3844">
        <f>IF(E12="NA","NA",E12/Table8s2!$G$35*100)</f>
        <v>1.656372097727378E-3</v>
      </c>
      <c r="H12" s="3845">
        <f>IF(E12="NA","NA",E12/Table8s2!$G$34*100)</f>
        <v>1.4976990796714783E-3</v>
      </c>
      <c r="I12" s="3846">
        <f>SUM(I13:I17)</f>
        <v>2584.4371636640653</v>
      </c>
      <c r="J12" s="3839">
        <f>Summary2!D12</f>
        <v>2584.4413866905079</v>
      </c>
      <c r="K12" s="3839">
        <f t="shared" si="0"/>
        <v>4.2230264425597852E-3</v>
      </c>
      <c r="L12" s="3847">
        <f t="shared" si="1"/>
        <v>1.6340217134831102E-4</v>
      </c>
      <c r="M12" s="3844">
        <f>IF(K12="NA","NA",K12/Table8s2!$G$35*100)</f>
        <v>7.9856418198398234E-7</v>
      </c>
      <c r="N12" s="3845">
        <f>IF(K12="NA","NA",K12/Table8s2!$G$34*100)</f>
        <v>7.2206531494764903E-7</v>
      </c>
      <c r="O12" s="3848">
        <f>SUM(O13:O17)</f>
        <v>3327.5205648722758</v>
      </c>
      <c r="P12" s="3847">
        <f>Summary2!E12</f>
        <v>3327.5205648722758</v>
      </c>
      <c r="Q12" s="3839">
        <f t="shared" si="2"/>
        <v>0</v>
      </c>
      <c r="R12" s="3847">
        <f t="shared" si="3"/>
        <v>0</v>
      </c>
      <c r="S12" s="3844">
        <f>IF(Q12="NA","NA",Q12/Table8s2!$G$35*100)</f>
        <v>0</v>
      </c>
      <c r="T12" s="3845">
        <f>IF(Q12="NA","NA",Q12/Table8s2!$G$34*100)</f>
        <v>0</v>
      </c>
    </row>
    <row r="13" spans="2:20" ht="18" customHeight="1" x14ac:dyDescent="0.2">
      <c r="B13" s="1392" t="s">
        <v>1478</v>
      </c>
      <c r="C13" s="3847">
        <v>212910.90226205479</v>
      </c>
      <c r="D13" s="3839">
        <f>Summary2!C13</f>
        <v>212910.90226205479</v>
      </c>
      <c r="E13" s="3839">
        <f t="shared" si="4"/>
        <v>0</v>
      </c>
      <c r="F13" s="3847">
        <f t="shared" si="5"/>
        <v>0</v>
      </c>
      <c r="G13" s="3844">
        <f>IF(E13="NA","NA",E13/Table8s2!$G$35*100)</f>
        <v>0</v>
      </c>
      <c r="H13" s="3845">
        <f>IF(E13="NA","NA",E13/Table8s2!$G$34*100)</f>
        <v>0</v>
      </c>
      <c r="I13" s="3846">
        <v>349.01768820871007</v>
      </c>
      <c r="J13" s="3839">
        <f>Summary2!D13</f>
        <v>349.01768820871007</v>
      </c>
      <c r="K13" s="3839">
        <f t="shared" ref="K13" si="6">IF(J13="NO",IF(I13="NO","NA",-I13),IF(I13="NO",J13,J13-I13))</f>
        <v>0</v>
      </c>
      <c r="L13" s="3847">
        <f t="shared" ref="L13" si="7">IF(K13="NA","NA",K13/I13*100)</f>
        <v>0</v>
      </c>
      <c r="M13" s="3844">
        <f>IF(K13="NA","NA",K13/Table8s2!$G$35*100)</f>
        <v>0</v>
      </c>
      <c r="N13" s="3845">
        <f>IF(K13="NA","NA",K13/Table8s2!$G$34*100)</f>
        <v>0</v>
      </c>
      <c r="O13" s="3848">
        <v>915.49924897087283</v>
      </c>
      <c r="P13" s="3847">
        <f>Summary2!E13</f>
        <v>915.49924897087271</v>
      </c>
      <c r="Q13" s="3839">
        <f t="shared" ref="Q13" si="8">IF(P13="NO",IF(O13="NO","NA",-O13),IF(O13="NO",P13,P13-O13))</f>
        <v>-1.1368683772161603E-13</v>
      </c>
      <c r="R13" s="3847">
        <f t="shared" ref="R13" si="9">IF(Q13="NA","NA",Q13/O13*100)</f>
        <v>-1.241801539973006E-14</v>
      </c>
      <c r="S13" s="3844">
        <f>IF(Q13="NA","NA",Q13/Table8s2!$G$35*100)</f>
        <v>-2.149790862130573E-17</v>
      </c>
      <c r="T13" s="3845">
        <f>IF(Q13="NA","NA",Q13/Table8s2!$G$34*100)</f>
        <v>-1.9438505394510993E-17</v>
      </c>
    </row>
    <row r="14" spans="2:20" ht="18" customHeight="1" x14ac:dyDescent="0.2">
      <c r="B14" s="1392" t="s">
        <v>1517</v>
      </c>
      <c r="C14" s="3847">
        <v>40063.565027746379</v>
      </c>
      <c r="D14" s="3839">
        <f>Summary2!C14</f>
        <v>40063.565027746365</v>
      </c>
      <c r="E14" s="3839">
        <f t="shared" si="4"/>
        <v>-1.4551915228366852E-11</v>
      </c>
      <c r="F14" s="3847">
        <f t="shared" si="5"/>
        <v>-3.6322067739824936E-14</v>
      </c>
      <c r="G14" s="3844">
        <f>IF(E14="NA","NA",E14/Table8s2!$G$35*100)</f>
        <v>-2.7517323035271334E-15</v>
      </c>
      <c r="H14" s="3845">
        <f>IF(E14="NA","NA",E14/Table8s2!$G$34*100)</f>
        <v>-2.4881286904974071E-15</v>
      </c>
      <c r="I14" s="3846">
        <v>61.227291437657954</v>
      </c>
      <c r="J14" s="3839">
        <f>Summary2!D14</f>
        <v>61.227291437657939</v>
      </c>
      <c r="K14" s="3839">
        <f t="shared" ref="K14:K20" si="10">IF(J14="NO",IF(I14="NO","NA",-I14),IF(I14="NO",J14,J14-I14))</f>
        <v>-1.4210854715202004E-14</v>
      </c>
      <c r="L14" s="3847">
        <f t="shared" ref="L14:L20" si="11">IF(K14="NA","NA",K14/I14*100)</f>
        <v>-2.3210000608424091E-14</v>
      </c>
      <c r="M14" s="3844">
        <f>IF(K14="NA","NA",K14/Table8s2!$G$35*100)</f>
        <v>-2.6872385776632162E-18</v>
      </c>
      <c r="N14" s="3845">
        <f>IF(K14="NA","NA",K14/Table8s2!$G$34*100)</f>
        <v>-2.4298131743138741E-18</v>
      </c>
      <c r="O14" s="3848">
        <v>342.78876474884623</v>
      </c>
      <c r="P14" s="3847">
        <f>Summary2!E14</f>
        <v>342.78876474884635</v>
      </c>
      <c r="Q14" s="3839">
        <f t="shared" ref="Q14:Q20" si="12">IF(P14="NO",IF(O14="NO","NA",-O14),IF(O14="NO",P14,P14-O14))</f>
        <v>1.1368683772161603E-13</v>
      </c>
      <c r="R14" s="3847">
        <f t="shared" ref="R14:R20" si="13">IF(Q14="NA","NA",Q14/O14*100)</f>
        <v>3.3165275356942303E-14</v>
      </c>
      <c r="S14" s="3844">
        <f>IF(Q14="NA","NA",Q14/Table8s2!$G$35*100)</f>
        <v>2.149790862130573E-17</v>
      </c>
      <c r="T14" s="3845">
        <f>IF(Q14="NA","NA",Q14/Table8s2!$G$34*100)</f>
        <v>1.9438505394510993E-17</v>
      </c>
    </row>
    <row r="15" spans="2:20" ht="18" customHeight="1" x14ac:dyDescent="0.2">
      <c r="B15" s="1392" t="s">
        <v>1480</v>
      </c>
      <c r="C15" s="3847">
        <v>78428.09658811368</v>
      </c>
      <c r="D15" s="3839">
        <f>Summary2!C15</f>
        <v>78429.970225474623</v>
      </c>
      <c r="E15" s="3839">
        <f t="shared" si="4"/>
        <v>1.8736373609426664</v>
      </c>
      <c r="F15" s="3847">
        <f t="shared" si="5"/>
        <v>2.3889874196266407E-3</v>
      </c>
      <c r="G15" s="3844">
        <f>IF(E15="NA","NA",E15/Table8s2!$G$35*100)</f>
        <v>3.5430033574899316E-4</v>
      </c>
      <c r="H15" s="3845">
        <f>IF(E15="NA","NA",E15/Table8s2!$G$34*100)</f>
        <v>3.2035995263782809E-4</v>
      </c>
      <c r="I15" s="3846">
        <v>697.91177017472592</v>
      </c>
      <c r="J15" s="3839">
        <f>Summary2!D15</f>
        <v>697.91599320116802</v>
      </c>
      <c r="K15" s="3839">
        <f t="shared" si="10"/>
        <v>4.2230264421050379E-3</v>
      </c>
      <c r="L15" s="3847">
        <f t="shared" si="11"/>
        <v>6.0509460114819115E-4</v>
      </c>
      <c r="M15" s="3844">
        <f>IF(K15="NA","NA",K15/Table8s2!$G$35*100)</f>
        <v>7.9856418189799082E-7</v>
      </c>
      <c r="N15" s="3845">
        <f>IF(K15="NA","NA",K15/Table8s2!$G$34*100)</f>
        <v>7.22065314869895E-7</v>
      </c>
      <c r="O15" s="3848">
        <v>1889.2588336298131</v>
      </c>
      <c r="P15" s="3847">
        <f>Summary2!E15</f>
        <v>1889.2588336298131</v>
      </c>
      <c r="Q15" s="3839">
        <f t="shared" si="12"/>
        <v>0</v>
      </c>
      <c r="R15" s="3847">
        <f t="shared" si="13"/>
        <v>0</v>
      </c>
      <c r="S15" s="3844">
        <f>IF(Q15="NA","NA",Q15/Table8s2!$G$35*100)</f>
        <v>0</v>
      </c>
      <c r="T15" s="3845">
        <f>IF(Q15="NA","NA",Q15/Table8s2!$G$34*100)</f>
        <v>0</v>
      </c>
    </row>
    <row r="16" spans="2:20" ht="18" customHeight="1" x14ac:dyDescent="0.2">
      <c r="B16" s="1392" t="s">
        <v>1481</v>
      </c>
      <c r="C16" s="3847">
        <v>18147.233809804056</v>
      </c>
      <c r="D16" s="3839">
        <f>Summary2!C16</f>
        <v>18154.119522443081</v>
      </c>
      <c r="E16" s="3839">
        <f t="shared" si="4"/>
        <v>6.8857126390248595</v>
      </c>
      <c r="F16" s="3847">
        <f t="shared" si="5"/>
        <v>3.7943593559172907E-2</v>
      </c>
      <c r="G16" s="3844">
        <f>IF(E16="NA","NA",E16/Table8s2!$G$35*100)</f>
        <v>1.3020717619818248E-3</v>
      </c>
      <c r="H16" s="3845">
        <f>IF(E16="NA","NA",E16/Table8s2!$G$34*100)</f>
        <v>1.1773391270367604E-3</v>
      </c>
      <c r="I16" s="3846">
        <v>1475.6729506703673</v>
      </c>
      <c r="J16" s="3839">
        <f>Summary2!D16</f>
        <v>1475.6729506703675</v>
      </c>
      <c r="K16" s="3839">
        <f t="shared" si="10"/>
        <v>2.2737367544323206E-13</v>
      </c>
      <c r="L16" s="3847">
        <f t="shared" si="11"/>
        <v>1.540813466425206E-14</v>
      </c>
      <c r="M16" s="3844">
        <f>IF(K16="NA","NA",K16/Table8s2!$G$35*100)</f>
        <v>4.299581724261146E-17</v>
      </c>
      <c r="N16" s="3845">
        <f>IF(K16="NA","NA",K16/Table8s2!$G$34*100)</f>
        <v>3.8877010789021986E-17</v>
      </c>
      <c r="O16" s="3848">
        <v>175.77091516755263</v>
      </c>
      <c r="P16" s="3847">
        <f>Summary2!E16</f>
        <v>175.77091516755269</v>
      </c>
      <c r="Q16" s="3839">
        <f t="shared" si="12"/>
        <v>5.6843418860808015E-14</v>
      </c>
      <c r="R16" s="3847">
        <f t="shared" si="13"/>
        <v>3.2339490755124273E-14</v>
      </c>
      <c r="S16" s="3844">
        <f>IF(Q16="NA","NA",Q16/Table8s2!$G$35*100)</f>
        <v>1.0748954310652865E-17</v>
      </c>
      <c r="T16" s="3845">
        <f>IF(Q16="NA","NA",Q16/Table8s2!$G$34*100)</f>
        <v>9.7192526972554964E-18</v>
      </c>
    </row>
    <row r="17" spans="2:20" ht="18" customHeight="1" x14ac:dyDescent="0.2">
      <c r="B17" s="1392" t="s">
        <v>1482</v>
      </c>
      <c r="C17" s="3847">
        <v>577.64061290953441</v>
      </c>
      <c r="D17" s="3839">
        <f>Summary2!C17</f>
        <v>577.64061290953441</v>
      </c>
      <c r="E17" s="3839">
        <f t="shared" si="4"/>
        <v>0</v>
      </c>
      <c r="F17" s="3847">
        <f t="shared" si="5"/>
        <v>0</v>
      </c>
      <c r="G17" s="3844">
        <f>IF(E17="NA","NA",E17/Table8s2!$G$35*100)</f>
        <v>0</v>
      </c>
      <c r="H17" s="3845">
        <f>IF(E17="NA","NA",E17/Table8s2!$G$34*100)</f>
        <v>0</v>
      </c>
      <c r="I17" s="3846">
        <v>0.60746317260431393</v>
      </c>
      <c r="J17" s="3839">
        <f>Summary2!D17</f>
        <v>0.60746317260431382</v>
      </c>
      <c r="K17" s="3839">
        <f t="shared" si="10"/>
        <v>-1.1102230246251565E-16</v>
      </c>
      <c r="L17" s="3847">
        <f t="shared" si="11"/>
        <v>-1.8276384062352494E-14</v>
      </c>
      <c r="M17" s="3844">
        <f>IF(K17="NA","NA",K17/Table8s2!$G$35*100)</f>
        <v>-2.0994051387993877E-20</v>
      </c>
      <c r="N17" s="3845">
        <f>IF(K17="NA","NA",K17/Table8s2!$G$34*100)</f>
        <v>-1.8982915424327141E-20</v>
      </c>
      <c r="O17" s="3848">
        <v>4.2028023551912854</v>
      </c>
      <c r="P17" s="3847">
        <f>Summary2!E17</f>
        <v>4.2028023551912845</v>
      </c>
      <c r="Q17" s="3839">
        <f t="shared" si="12"/>
        <v>-8.8817841970012523E-16</v>
      </c>
      <c r="R17" s="3847">
        <f t="shared" si="13"/>
        <v>-2.1133004710608165E-14</v>
      </c>
      <c r="S17" s="3844">
        <f>IF(Q17="NA","NA",Q17/Table8s2!$G$35*100)</f>
        <v>-1.6795241110395101E-19</v>
      </c>
      <c r="T17" s="3845">
        <f>IF(Q17="NA","NA",Q17/Table8s2!$G$34*100)</f>
        <v>-1.5186332339461713E-19</v>
      </c>
    </row>
    <row r="18" spans="2:20" ht="18" customHeight="1" x14ac:dyDescent="0.2">
      <c r="B18" s="620" t="s">
        <v>99</v>
      </c>
      <c r="C18" s="3847">
        <f>SUM(C19:C20)</f>
        <v>6857.9401712544886</v>
      </c>
      <c r="D18" s="3839">
        <f>Summary2!C18</f>
        <v>6857.9401712544859</v>
      </c>
      <c r="E18" s="3839">
        <f t="shared" si="4"/>
        <v>-2.7284841053187847E-12</v>
      </c>
      <c r="F18" s="3847">
        <f t="shared" si="5"/>
        <v>-3.978576711350453E-14</v>
      </c>
      <c r="G18" s="3844">
        <f>IF(E18="NA","NA",E18/Table8s2!$G$35*100)</f>
        <v>-5.1594980691133747E-16</v>
      </c>
      <c r="H18" s="3845">
        <f>IF(E18="NA","NA",E18/Table8s2!$G$34*100)</f>
        <v>-4.6652412946826375E-16</v>
      </c>
      <c r="I18" s="3846">
        <f>SUM(I19:I20)</f>
        <v>33924.530722744166</v>
      </c>
      <c r="J18" s="3839">
        <f>Summary2!D18</f>
        <v>33924.825772696568</v>
      </c>
      <c r="K18" s="3839">
        <f t="shared" si="10"/>
        <v>0.29504995240131393</v>
      </c>
      <c r="L18" s="3847">
        <f t="shared" si="11"/>
        <v>8.6972449173335911E-4</v>
      </c>
      <c r="M18" s="3844">
        <f>IF(K18="NA","NA",K18/Table8s2!$G$35*100)</f>
        <v>5.5793239064103399E-5</v>
      </c>
      <c r="N18" s="3845">
        <f>IF(K18="NA","NA",K18/Table8s2!$G$34*100)</f>
        <v>5.0448496997050829E-5</v>
      </c>
      <c r="O18" s="3848">
        <f>SUM(O19:O20)</f>
        <v>21.891397745421958</v>
      </c>
      <c r="P18" s="3847">
        <f>Summary2!E18</f>
        <v>21.891397745421958</v>
      </c>
      <c r="Q18" s="3839">
        <f t="shared" si="12"/>
        <v>0</v>
      </c>
      <c r="R18" s="3847">
        <f t="shared" si="13"/>
        <v>0</v>
      </c>
      <c r="S18" s="3844">
        <f>IF(Q18="NA","NA",Q18/Table8s2!$G$35*100)</f>
        <v>0</v>
      </c>
      <c r="T18" s="3845">
        <f>IF(Q18="NA","NA",Q18/Table8s2!$G$34*100)</f>
        <v>0</v>
      </c>
    </row>
    <row r="19" spans="2:20" ht="18" customHeight="1" x14ac:dyDescent="0.2">
      <c r="B19" s="1392" t="s">
        <v>1483</v>
      </c>
      <c r="C19" s="3847">
        <v>1056.4851416166223</v>
      </c>
      <c r="D19" s="3839">
        <f>Summary2!C19</f>
        <v>1056.4851416166221</v>
      </c>
      <c r="E19" s="3839">
        <f t="shared" si="4"/>
        <v>-2.2737367544323206E-13</v>
      </c>
      <c r="F19" s="3847">
        <f t="shared" si="5"/>
        <v>-2.152171066933391E-14</v>
      </c>
      <c r="G19" s="3844">
        <f>IF(E19="NA","NA",E19/Table8s2!$G$35*100)</f>
        <v>-4.299581724261146E-17</v>
      </c>
      <c r="H19" s="3845">
        <f>IF(E19="NA","NA",E19/Table8s2!$G$34*100)</f>
        <v>-3.8877010789021986E-17</v>
      </c>
      <c r="I19" s="3846">
        <v>27727.549845314541</v>
      </c>
      <c r="J19" s="3839">
        <f>Summary2!D19</f>
        <v>27727.549845314545</v>
      </c>
      <c r="K19" s="3839">
        <f t="shared" si="10"/>
        <v>3.637978807091713E-12</v>
      </c>
      <c r="L19" s="3847">
        <f t="shared" si="11"/>
        <v>1.3120448172980081E-14</v>
      </c>
      <c r="M19" s="3844">
        <f>IF(K19="NA","NA",K19/Table8s2!$G$35*100)</f>
        <v>6.8793307588178335E-16</v>
      </c>
      <c r="N19" s="3845">
        <f>IF(K19="NA","NA",K19/Table8s2!$G$34*100)</f>
        <v>6.2203217262435177E-16</v>
      </c>
      <c r="O19" s="3848">
        <v>2.6727666881135106E-2</v>
      </c>
      <c r="P19" s="3847">
        <f>Summary2!E19</f>
        <v>2.6727666881135106E-2</v>
      </c>
      <c r="Q19" s="3839">
        <f t="shared" si="12"/>
        <v>0</v>
      </c>
      <c r="R19" s="3847">
        <f t="shared" si="13"/>
        <v>0</v>
      </c>
      <c r="S19" s="3844">
        <f>IF(Q19="NA","NA",Q19/Table8s2!$G$35*100)</f>
        <v>0</v>
      </c>
      <c r="T19" s="3845">
        <f>IF(Q19="NA","NA",Q19/Table8s2!$G$34*100)</f>
        <v>0</v>
      </c>
    </row>
    <row r="20" spans="2:20" ht="18" customHeight="1" x14ac:dyDescent="0.2">
      <c r="B20" s="1393" t="s">
        <v>1484</v>
      </c>
      <c r="C20" s="3849">
        <v>5801.4550296378666</v>
      </c>
      <c r="D20" s="3850">
        <f>Summary2!C20</f>
        <v>5801.4550296378638</v>
      </c>
      <c r="E20" s="3850">
        <f t="shared" si="4"/>
        <v>-2.7284841053187847E-12</v>
      </c>
      <c r="F20" s="3849">
        <f t="shared" si="5"/>
        <v>-4.7031030860013407E-14</v>
      </c>
      <c r="G20" s="3851">
        <f>IF(E20="NA","NA",E20/Table8s2!$G$35*100)</f>
        <v>-5.1594980691133747E-16</v>
      </c>
      <c r="H20" s="3852">
        <f>IF(E20="NA","NA",E20/Table8s2!$G$34*100)</f>
        <v>-4.6652412946826375E-16</v>
      </c>
      <c r="I20" s="3853">
        <v>6196.9808774296216</v>
      </c>
      <c r="J20" s="3850">
        <f>Summary2!D20</f>
        <v>6197.2759273820211</v>
      </c>
      <c r="K20" s="3839">
        <f t="shared" si="10"/>
        <v>0.29504995239949494</v>
      </c>
      <c r="L20" s="3847">
        <f t="shared" si="11"/>
        <v>4.7611886858343107E-3</v>
      </c>
      <c r="M20" s="3844">
        <f>IF(K20="NA","NA",K20/Table8s2!$G$35*100)</f>
        <v>5.5793239063759436E-5</v>
      </c>
      <c r="N20" s="3845">
        <f>IF(K20="NA","NA",K20/Table8s2!$G$34*100)</f>
        <v>5.0448496996739826E-5</v>
      </c>
      <c r="O20" s="3854">
        <v>21.864670078540822</v>
      </c>
      <c r="P20" s="3849">
        <f>Summary2!E20</f>
        <v>21.864670078540822</v>
      </c>
      <c r="Q20" s="3839">
        <f t="shared" si="12"/>
        <v>0</v>
      </c>
      <c r="R20" s="3847">
        <f t="shared" si="13"/>
        <v>0</v>
      </c>
      <c r="S20" s="3844">
        <f>IF(Q20="NA","NA",Q20/Table8s2!$G$35*100)</f>
        <v>0</v>
      </c>
      <c r="T20" s="3845">
        <f>IF(Q20="NA","NA",Q20/Table8s2!$G$34*100)</f>
        <v>0</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23771.595666297559</v>
      </c>
      <c r="D22" s="3839">
        <f>Summary2!C22</f>
        <v>23815.400141611954</v>
      </c>
      <c r="E22" s="3861">
        <f t="shared" si="4"/>
        <v>43.804475314394949</v>
      </c>
      <c r="F22" s="3861">
        <f t="shared" si="5"/>
        <v>0.18427233884218899</v>
      </c>
      <c r="G22" s="3862">
        <f>IF(E22="NA","NA",E22/Table8s2!$G$35*100)</f>
        <v>8.283321327127148E-3</v>
      </c>
      <c r="H22" s="3863">
        <f>IF(E22="NA","NA",E22/Table8s2!$G$34*100)</f>
        <v>7.4898162950722104E-3</v>
      </c>
      <c r="I22" s="3839">
        <f>SUM(I23:I29)</f>
        <v>96.652436766189282</v>
      </c>
      <c r="J22" s="3839">
        <f>Summary2!D22</f>
        <v>96.652436766189311</v>
      </c>
      <c r="K22" s="3861">
        <f t="shared" ref="K22" si="14">IF(J22="NO",IF(I22="NO","NA",-I22),IF(I22="NO",J22,J22-I22))</f>
        <v>2.8421709430404007E-14</v>
      </c>
      <c r="L22" s="3861">
        <f t="shared" ref="L22" si="15">IF(K22="NA","NA",K22/I22*100)</f>
        <v>2.940609712630279E-14</v>
      </c>
      <c r="M22" s="3862">
        <f>IF(K22="NA","NA",K22/Table8s2!$G$35*100)</f>
        <v>5.3744771553264324E-18</v>
      </c>
      <c r="N22" s="3863">
        <f>IF(K22="NA","NA",K22/Table8s2!$G$34*100)</f>
        <v>4.8596263486277482E-18</v>
      </c>
      <c r="O22" s="3839">
        <f>SUM(O23:O29)</f>
        <v>2214.5081002658562</v>
      </c>
      <c r="P22" s="3839">
        <f>Summary2!E22</f>
        <v>2214.5081002658562</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6389.4246039360687</v>
      </c>
      <c r="D23" s="3839">
        <f>Summary2!C23</f>
        <v>6389.4246039360696</v>
      </c>
      <c r="E23" s="3839">
        <f t="shared" si="4"/>
        <v>9.0949470177292824E-13</v>
      </c>
      <c r="F23" s="3847">
        <f t="shared" si="5"/>
        <v>1.4234375677782525E-14</v>
      </c>
      <c r="G23" s="3844">
        <f>IF(E23="NA","NA",E23/Table8s2!$G$35*100)</f>
        <v>1.7198326897044584E-16</v>
      </c>
      <c r="H23" s="3845">
        <f>IF(E23="NA","NA",E23/Table8s2!$G$34*100)</f>
        <v>1.5550804315608794E-16</v>
      </c>
      <c r="I23" s="1925"/>
      <c r="J23" s="1925"/>
      <c r="K23" s="1925"/>
      <c r="L23" s="1925"/>
      <c r="M23" s="1925"/>
      <c r="N23" s="1925"/>
      <c r="O23" s="1925"/>
      <c r="P23" s="1925"/>
      <c r="Q23" s="1925"/>
      <c r="R23" s="1925"/>
      <c r="S23" s="1925"/>
      <c r="T23" s="1925"/>
    </row>
    <row r="24" spans="2:20" ht="18" customHeight="1" x14ac:dyDescent="0.2">
      <c r="B24" s="1394" t="s">
        <v>621</v>
      </c>
      <c r="C24" s="3839">
        <v>2525.7619309920597</v>
      </c>
      <c r="D24" s="3839">
        <f>Summary2!C24</f>
        <v>2572.6230039920597</v>
      </c>
      <c r="E24" s="3839">
        <f t="shared" si="4"/>
        <v>46.861073000000033</v>
      </c>
      <c r="F24" s="3847">
        <f t="shared" si="5"/>
        <v>1.8553242261274447</v>
      </c>
      <c r="G24" s="3844">
        <f>IF(E24="NA","NA",E24/Table8s2!$G$35*100)</f>
        <v>8.8613166259157126E-3</v>
      </c>
      <c r="H24" s="3845">
        <f>IF(E24="NA","NA",E24/Table8s2!$G$34*100)</f>
        <v>8.0124422365727976E-3</v>
      </c>
      <c r="I24" s="3846">
        <v>15.480746399999997</v>
      </c>
      <c r="J24" s="3839">
        <f>Summary2!D24</f>
        <v>15.480746399999997</v>
      </c>
      <c r="K24" s="3839">
        <f t="shared" ref="K24" si="18">IF(J24="NO",IF(I24="NO","NA",-I24),IF(I24="NO",J24,J24-I24))</f>
        <v>0</v>
      </c>
      <c r="L24" s="3847">
        <f t="shared" ref="L24" si="19">IF(K24="NA","NA",K24/I24*100)</f>
        <v>0</v>
      </c>
      <c r="M24" s="3844">
        <f>IF(K24="NA","NA",K24/Table8s2!$G$35*100)</f>
        <v>0</v>
      </c>
      <c r="N24" s="3845">
        <f>IF(K24="NA","NA",K24/Table8s2!$G$34*100)</f>
        <v>0</v>
      </c>
      <c r="O24" s="3848">
        <v>2189.70226895</v>
      </c>
      <c r="P24" s="3847">
        <f>Summary2!E24</f>
        <v>2189.70226895</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14357.155159378399</v>
      </c>
      <c r="D25" s="3839">
        <f>Summary2!C25</f>
        <v>14357.155159378397</v>
      </c>
      <c r="E25" s="3839">
        <f t="shared" si="4"/>
        <v>-1.8189894035458565E-12</v>
      </c>
      <c r="F25" s="3847">
        <f t="shared" si="5"/>
        <v>-1.2669567078946376E-14</v>
      </c>
      <c r="G25" s="3844">
        <f>IF(E25="NA","NA",E25/Table8s2!$G$35*100)</f>
        <v>-3.4396653794089168E-16</v>
      </c>
      <c r="H25" s="3845">
        <f>IF(E25="NA","NA",E25/Table8s2!$G$34*100)</f>
        <v>-3.1101608631217588E-16</v>
      </c>
      <c r="I25" s="3846">
        <v>81.171690366189281</v>
      </c>
      <c r="J25" s="3839">
        <f>Summary2!D25</f>
        <v>81.171690366189296</v>
      </c>
      <c r="K25" s="3839">
        <f t="shared" ref="K25:K26" si="22">IF(J25="NO",IF(I25="NO","NA",-I25),IF(I25="NO",J25,J25-I25))</f>
        <v>1.4210854715202004E-14</v>
      </c>
      <c r="L25" s="3847">
        <f t="shared" ref="L25:L26" si="23">IF(K25="NA","NA",K25/I25*100)</f>
        <v>1.7507156314095067E-14</v>
      </c>
      <c r="M25" s="3844">
        <f>IF(K25="NA","NA",K25/Table8s2!$G$35*100)</f>
        <v>2.6872385776632162E-18</v>
      </c>
      <c r="N25" s="3845">
        <f>IF(K25="NA","NA",K25/Table8s2!$G$34*100)</f>
        <v>2.4298131743138741E-18</v>
      </c>
      <c r="O25" s="3848">
        <v>24.805831315856317</v>
      </c>
      <c r="P25" s="3847">
        <f>Summary2!E25</f>
        <v>24.805831315856317</v>
      </c>
      <c r="Q25" s="3839">
        <f t="shared" ref="Q25:Q29" si="24">IF(P25="NO",IF(O25="NO","NA",-O25),IF(O25="NO",P25,P25-O25))</f>
        <v>0</v>
      </c>
      <c r="R25" s="3847">
        <f t="shared" ref="R25:R29" si="25">IF(Q25="NA","NA",Q25/O25*100)</f>
        <v>0</v>
      </c>
      <c r="S25" s="3844">
        <f>IF(Q25="NA","NA",Q25/Table8s2!$G$35*100)</f>
        <v>0</v>
      </c>
      <c r="T25" s="3845">
        <f>IF(Q25="NA","NA",Q25/Table8s2!$G$34*100)</f>
        <v>0</v>
      </c>
    </row>
    <row r="26" spans="2:20" ht="18" customHeight="1" x14ac:dyDescent="0.2">
      <c r="B26" s="1395" t="s">
        <v>1519</v>
      </c>
      <c r="C26" s="3839">
        <v>334.2476211856</v>
      </c>
      <c r="D26" s="3839">
        <f>Summary2!C26</f>
        <v>331.19102349999997</v>
      </c>
      <c r="E26" s="3839">
        <f t="shared" si="4"/>
        <v>-3.0565976856000248</v>
      </c>
      <c r="F26" s="3847">
        <f t="shared" si="5"/>
        <v>-0.9144710364005153</v>
      </c>
      <c r="G26" s="3844">
        <f>IF(E26="NA","NA",E26/Table8s2!$G$35*100)</f>
        <v>-5.7799529878760933E-4</v>
      </c>
      <c r="H26" s="3845">
        <f>IF(E26="NA","NA",E26/Table8s2!$G$34*100)</f>
        <v>-5.2262594149972376E-4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165.00635080543125</v>
      </c>
      <c r="D29" s="3855">
        <f>Summary2!C30</f>
        <v>165.00635080543125</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2035.0700679623124</v>
      </c>
      <c r="D30" s="3875">
        <f>Summary2!C31</f>
        <v>2035.0700679623124</v>
      </c>
      <c r="E30" s="3861">
        <f t="shared" si="4"/>
        <v>0</v>
      </c>
      <c r="F30" s="3876">
        <f t="shared" si="5"/>
        <v>0</v>
      </c>
      <c r="G30" s="3877">
        <f>IF(E30="NA","NA",E30/Table8s2!$G$35*100)</f>
        <v>0</v>
      </c>
      <c r="H30" s="3878">
        <f>IF(E30="NA","NA",E30/Table8s2!$G$34*100)</f>
        <v>0</v>
      </c>
      <c r="I30" s="3874">
        <f>SUM(I31:I40)</f>
        <v>70983.074135412346</v>
      </c>
      <c r="J30" s="3875">
        <f>Summary2!D31</f>
        <v>70983.074135412346</v>
      </c>
      <c r="K30" s="3861">
        <f t="shared" ref="K30" si="28">IF(J30="NO",IF(I30="NO","NA",-I30),IF(I30="NO",J30,J30-I30))</f>
        <v>0</v>
      </c>
      <c r="L30" s="3876">
        <f t="shared" ref="L30" si="29">IF(K30="NA","NA",K30/I30*100)</f>
        <v>0</v>
      </c>
      <c r="M30" s="3877">
        <f>IF(K30="NA","NA",K30/Table8s2!$G$35*100)</f>
        <v>0</v>
      </c>
      <c r="N30" s="3878">
        <f>IF(K30="NA","NA",K30/Table8s2!$G$34*100)</f>
        <v>0</v>
      </c>
      <c r="O30" s="3874">
        <f>SUM(O31:O40)</f>
        <v>12232.7033595499</v>
      </c>
      <c r="P30" s="3875">
        <f>Summary2!E31</f>
        <v>12232.614207897739</v>
      </c>
      <c r="Q30" s="3861">
        <f t="shared" ref="Q30" si="30">IF(P30="NO",IF(O30="NO","NA",-O30),IF(O30="NO",P30,P30-O30))</f>
        <v>-8.9151652160580852E-2</v>
      </c>
      <c r="R30" s="3880">
        <f t="shared" ref="R30" si="31">IF(Q30="NA","NA",Q30/O30*100)</f>
        <v>-7.28797629928477E-4</v>
      </c>
      <c r="S30" s="3881">
        <f>IF(Q30="NA","NA",Q30/Table8s2!$G$35*100)</f>
        <v>-1.6858363817627673E-5</v>
      </c>
      <c r="T30" s="3882">
        <f>IF(Q30="NA","NA",Q30/Table8s2!$G$34*100)</f>
        <v>-1.5243408174449702E-5</v>
      </c>
    </row>
    <row r="31" spans="2:20" ht="18" customHeight="1" x14ac:dyDescent="0.2">
      <c r="B31" s="620" t="s">
        <v>1492</v>
      </c>
      <c r="C31" s="3867"/>
      <c r="D31" s="3867"/>
      <c r="E31" s="3868"/>
      <c r="F31" s="3868"/>
      <c r="G31" s="3869"/>
      <c r="H31" s="3870"/>
      <c r="I31" s="3846">
        <v>63611.225066302228</v>
      </c>
      <c r="J31" s="3839">
        <f>Summary2!D32</f>
        <v>63611.225066302235</v>
      </c>
      <c r="K31" s="3883">
        <f t="shared" ref="K31:K33" si="32">IF(J31="NO",IF(I31="NO","NA",-I31),IF(I31="NO",J31,J31-I31))</f>
        <v>7.2759576141834259E-12</v>
      </c>
      <c r="L31" s="3883">
        <f t="shared" ref="L31:L33" si="33">IF(K31="NA","NA",K31/I31*100)</f>
        <v>1.1438166151649597E-14</v>
      </c>
      <c r="M31" s="3884">
        <f>IF(K31="NA","NA",K31/Table8s2!$G$35*100)</f>
        <v>1.3758661517635667E-15</v>
      </c>
      <c r="N31" s="3885">
        <f>IF(K31="NA","NA",K31/Table8s2!$G$34*100)</f>
        <v>1.2440643452487035E-15</v>
      </c>
      <c r="O31" s="3886"/>
      <c r="P31" s="3887"/>
      <c r="Q31" s="3868"/>
      <c r="R31" s="3888"/>
      <c r="S31" s="3889"/>
      <c r="T31" s="3890"/>
    </row>
    <row r="32" spans="2:20" ht="18" customHeight="1" x14ac:dyDescent="0.2">
      <c r="B32" s="620" t="s">
        <v>1493</v>
      </c>
      <c r="C32" s="3891"/>
      <c r="D32" s="3891"/>
      <c r="E32" s="3892"/>
      <c r="F32" s="3892"/>
      <c r="G32" s="3869"/>
      <c r="H32" s="3870"/>
      <c r="I32" s="3846">
        <v>6689.6553750300291</v>
      </c>
      <c r="J32" s="3847">
        <f>Summary2!D33</f>
        <v>6689.6553750300291</v>
      </c>
      <c r="K32" s="3893">
        <f t="shared" si="32"/>
        <v>0</v>
      </c>
      <c r="L32" s="3893">
        <f t="shared" si="33"/>
        <v>0</v>
      </c>
      <c r="M32" s="3884">
        <f>IF(K32="NA","NA",K32/Table8s2!$G$35*100)</f>
        <v>0</v>
      </c>
      <c r="N32" s="3885">
        <f>IF(K32="NA","NA",K32/Table8s2!$G$34*100)</f>
        <v>0</v>
      </c>
      <c r="O32" s="3848">
        <v>393.25593859429716</v>
      </c>
      <c r="P32" s="3847">
        <f>Summary2!E33</f>
        <v>393.25593859429728</v>
      </c>
      <c r="Q32" s="3893">
        <f t="shared" ref="Q32" si="34">IF(P32="NO",IF(O32="NO","NA",-O32),IF(O32="NO",P32,P32-O32))</f>
        <v>1.1368683772161603E-13</v>
      </c>
      <c r="R32" s="3894">
        <f t="shared" ref="R32" si="35">IF(Q32="NA","NA",Q32/O32*100)</f>
        <v>2.8909121659546289E-14</v>
      </c>
      <c r="S32" s="3895">
        <f>IF(Q32="NA","NA",Q32/Table8s2!$G$35*100)</f>
        <v>2.149790862130573E-17</v>
      </c>
      <c r="T32" s="3896">
        <f>IF(Q32="NA","NA",Q32/Table8s2!$G$34*100)</f>
        <v>1.9438505394510993E-17</v>
      </c>
    </row>
    <row r="33" spans="2:21" ht="18" customHeight="1" x14ac:dyDescent="0.2">
      <c r="B33" s="620" t="s">
        <v>1494</v>
      </c>
      <c r="C33" s="3891"/>
      <c r="D33" s="3891"/>
      <c r="E33" s="3892"/>
      <c r="F33" s="3892"/>
      <c r="G33" s="3897"/>
      <c r="H33" s="3898"/>
      <c r="I33" s="3848">
        <v>296.79589883999995</v>
      </c>
      <c r="J33" s="3847">
        <f>Summary2!D34</f>
        <v>296.79589883999995</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11688.926478850437</v>
      </c>
      <c r="P34" s="3847">
        <f>Summary2!E35</f>
        <v>11688.837327198273</v>
      </c>
      <c r="Q34" s="3893">
        <f t="shared" ref="Q34" si="36">IF(P34="NO",IF(O34="NO","NA",-O34),IF(O34="NO",P34,P34-O34))</f>
        <v>-8.9151652164218831E-2</v>
      </c>
      <c r="R34" s="3894">
        <f t="shared" ref="R34" si="37">IF(Q34="NA","NA",Q34/O34*100)</f>
        <v>-7.6270179580243682E-4</v>
      </c>
      <c r="S34" s="3895">
        <f>IF(Q34="NA","NA",Q34/Table8s2!$G$35*100)</f>
        <v>-1.6858363818315606E-5</v>
      </c>
      <c r="T34" s="3896">
        <f>IF(Q34="NA","NA",Q34/Table8s2!$G$34*100)</f>
        <v>-1.5243408175071735E-5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385.39779524008918</v>
      </c>
      <c r="J36" s="3847">
        <f>Summary2!D37</f>
        <v>385.39779524008918</v>
      </c>
      <c r="K36" s="3893">
        <f t="shared" ref="K36" si="38">IF(J36="NO",IF(I36="NO","NA",-I36),IF(I36="NO",J36,J36-I36))</f>
        <v>0</v>
      </c>
      <c r="L36" s="3893">
        <f t="shared" ref="L36" si="39">IF(K36="NA","NA",K36/I36*100)</f>
        <v>0</v>
      </c>
      <c r="M36" s="3884">
        <f>IF(K36="NA","NA",K36/Table8s2!$G$35*100)</f>
        <v>0</v>
      </c>
      <c r="N36" s="3885">
        <f>IF(K36="NA","NA",K36/Table8s2!$G$34*100)</f>
        <v>0</v>
      </c>
      <c r="O36" s="3848">
        <v>150.52094210516677</v>
      </c>
      <c r="P36" s="3847">
        <f>Summary2!E37</f>
        <v>150.52094210516677</v>
      </c>
      <c r="Q36" s="3893">
        <f t="shared" ref="Q36" si="40">IF(P36="NO",IF(O36="NO","NA",-O36),IF(O36="NO",P36,P36-O36))</f>
        <v>0</v>
      </c>
      <c r="R36" s="3894">
        <f t="shared" ref="R36" si="41">IF(Q36="NA","NA",Q36/O36*100)</f>
        <v>0</v>
      </c>
      <c r="S36" s="3895">
        <f>IF(Q36="NA","NA",Q36/Table8s2!$G$35*100)</f>
        <v>0</v>
      </c>
      <c r="T36" s="3896">
        <f>IF(Q36="NA","NA",Q36/Table8s2!$G$34*100)</f>
        <v>0</v>
      </c>
    </row>
    <row r="37" spans="2:21" ht="18" customHeight="1" x14ac:dyDescent="0.2">
      <c r="B37" s="620" t="s">
        <v>721</v>
      </c>
      <c r="C37" s="3847">
        <v>1079.5133123531791</v>
      </c>
      <c r="D37" s="3847">
        <f>Summary2!C38</f>
        <v>1079.5133123531791</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955.55675560913323</v>
      </c>
      <c r="D38" s="3847">
        <f>Summary2!C39</f>
        <v>955.55675560913323</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36356.484181154396</v>
      </c>
      <c r="D41" s="3839">
        <f>Summary2!C42</f>
        <v>33222.88199643189</v>
      </c>
      <c r="E41" s="3929">
        <f t="shared" ref="E41" si="42">IF(D41="NO",IF(C41="NO","NA",-C41),IF(C41="NO",D41,D41-C41))</f>
        <v>-3133.6021847225056</v>
      </c>
      <c r="F41" s="3929">
        <f t="shared" ref="F41" si="43">IF(E41="NA","NA",E41/C41*100)</f>
        <v>-8.6191012560747744</v>
      </c>
      <c r="G41" s="3869"/>
      <c r="H41" s="3929">
        <f>IF(E41="NA","NA",E41/Table8s2!$G$34*100)</f>
        <v>-0.53579239420077696</v>
      </c>
      <c r="I41" s="3846">
        <f>SUM(I42:I49)</f>
        <v>22533.780440637787</v>
      </c>
      <c r="J41" s="3839">
        <f>Summary2!D42</f>
        <v>18637.270520576112</v>
      </c>
      <c r="K41" s="3929">
        <f t="shared" ref="K41:K46" si="44">IF(J41="NO",IF(I41="NO","NA",-I41),IF(I41="NO",J41,J41-I41))</f>
        <v>-3896.5099200616751</v>
      </c>
      <c r="L41" s="3929">
        <f t="shared" ref="L41:L46" si="45">IF(K41="NA","NA",K41/I41*100)</f>
        <v>-17.291860681462243</v>
      </c>
      <c r="M41" s="3889"/>
      <c r="N41" s="3930">
        <f>IF(K41="NA","NA",K41/Table8s2!$G$34*100)</f>
        <v>-0.66623657249007173</v>
      </c>
      <c r="O41" s="3846">
        <f>SUM(O42:O49)</f>
        <v>4200.904566702121</v>
      </c>
      <c r="P41" s="3839">
        <f>Summary2!E42</f>
        <v>4166.2185537736896</v>
      </c>
      <c r="Q41" s="3929">
        <f t="shared" ref="Q41" si="46">IF(P41="NO",IF(O41="NO","NA",-O41),IF(O41="NO",P41,P41-O41))</f>
        <v>-34.68601292843141</v>
      </c>
      <c r="R41" s="3929">
        <f t="shared" ref="R41" si="47">IF(Q41="NA","NA",Q41/O41*100)</f>
        <v>-0.82567962155972818</v>
      </c>
      <c r="S41" s="3889"/>
      <c r="T41" s="3930">
        <f>IF(Q41="NA","NA",Q41/Table8s2!$G$34*100)</f>
        <v>-5.9307151376169686E-3</v>
      </c>
      <c r="U41" s="713"/>
    </row>
    <row r="42" spans="2:21" ht="18" customHeight="1" x14ac:dyDescent="0.2">
      <c r="B42" s="620" t="s">
        <v>981</v>
      </c>
      <c r="C42" s="3847">
        <v>-38714.610710804205</v>
      </c>
      <c r="D42" s="3847">
        <f>Summary2!C43</f>
        <v>-41114.37885114376</v>
      </c>
      <c r="E42" s="3931">
        <f t="shared" ref="E42:E50" si="48">IF(D42="NO",IF(C42="NO","NA",-C42),IF(C42="NO",D42,D42-C42))</f>
        <v>-2399.7681403395545</v>
      </c>
      <c r="F42" s="3931">
        <f t="shared" ref="F42:F50" si="49">IF(E42="NA","NA",E42/C42*100)</f>
        <v>6.1986110573748938</v>
      </c>
      <c r="G42" s="3889"/>
      <c r="H42" s="3931">
        <f>IF(E42="NA","NA",E42/Table8s2!$G$34*100)</f>
        <v>-0.41031931995322413</v>
      </c>
      <c r="I42" s="3848">
        <v>6825.1868333130533</v>
      </c>
      <c r="J42" s="3847">
        <f>Summary2!D43</f>
        <v>6632.3936946626736</v>
      </c>
      <c r="K42" s="3931">
        <f t="shared" si="44"/>
        <v>-192.79313865037966</v>
      </c>
      <c r="L42" s="3931">
        <f t="shared" si="45"/>
        <v>-2.8247305657535362</v>
      </c>
      <c r="M42" s="3889"/>
      <c r="N42" s="3932">
        <f>IF(K42="NA","NA",K42/Table8s2!$G$34*100)</f>
        <v>-3.2964330267122498E-2</v>
      </c>
      <c r="O42" s="3848">
        <v>1227.0738934978649</v>
      </c>
      <c r="P42" s="3847">
        <f>Summary2!E43</f>
        <v>1209.3506512241393</v>
      </c>
      <c r="Q42" s="3931">
        <f t="shared" ref="Q42:Q46" si="50">IF(P42="NO",IF(O42="NO","NA",-O42),IF(O42="NO",P42,P42-O42))</f>
        <v>-17.723242273725646</v>
      </c>
      <c r="R42" s="3931">
        <f t="shared" ref="R42:R46" si="51">IF(Q42="NA","NA",Q42/O42*100)</f>
        <v>-1.4443500401760021</v>
      </c>
      <c r="S42" s="3889"/>
      <c r="T42" s="3932">
        <f>IF(Q42="NA","NA",Q42/Table8s2!$G$34*100)</f>
        <v>-3.0303713908346017E-3</v>
      </c>
      <c r="U42" s="713"/>
    </row>
    <row r="43" spans="2:21" ht="18" customHeight="1" x14ac:dyDescent="0.2">
      <c r="B43" s="620" t="s">
        <v>984</v>
      </c>
      <c r="C43" s="3847">
        <v>8327.6282525165097</v>
      </c>
      <c r="D43" s="3847">
        <f>Summary2!C44</f>
        <v>8265.1879916794096</v>
      </c>
      <c r="E43" s="3931">
        <f t="shared" si="48"/>
        <v>-62.440260837100141</v>
      </c>
      <c r="F43" s="3931">
        <f t="shared" si="49"/>
        <v>-0.74979644796501865</v>
      </c>
      <c r="G43" s="3889"/>
      <c r="H43" s="3931">
        <f>IF(E43="NA","NA",E43/Table8s2!$G$34*100)</f>
        <v>-1.0676216978510143E-2</v>
      </c>
      <c r="I43" s="3848">
        <v>116.12908480124673</v>
      </c>
      <c r="J43" s="3847">
        <f>Summary2!D44</f>
        <v>116.84010239999999</v>
      </c>
      <c r="K43" s="3931">
        <f t="shared" si="44"/>
        <v>0.71101759875325854</v>
      </c>
      <c r="L43" s="3931">
        <f t="shared" si="45"/>
        <v>0.61226487745955716</v>
      </c>
      <c r="M43" s="3889"/>
      <c r="N43" s="3932">
        <f>IF(K43="NA","NA",K43/Table8s2!$G$34*100)</f>
        <v>1.215718521681562E-4</v>
      </c>
      <c r="O43" s="3848">
        <v>43.316855602597265</v>
      </c>
      <c r="P43" s="3847">
        <f>Summary2!E44</f>
        <v>43.203710317712144</v>
      </c>
      <c r="Q43" s="3931">
        <f t="shared" si="50"/>
        <v>-0.1131452848851211</v>
      </c>
      <c r="R43" s="3931">
        <f t="shared" si="51"/>
        <v>-0.26120382772736844</v>
      </c>
      <c r="S43" s="3889"/>
      <c r="T43" s="3932">
        <f>IF(Q43="NA","NA",Q43/Table8s2!$G$34*100)</f>
        <v>-1.9345909119123361E-5</v>
      </c>
      <c r="U43" s="713"/>
    </row>
    <row r="44" spans="2:21" ht="18" customHeight="1" x14ac:dyDescent="0.2">
      <c r="B44" s="620" t="s">
        <v>987</v>
      </c>
      <c r="C44" s="3847">
        <v>69046.269053594006</v>
      </c>
      <c r="D44" s="3847">
        <f>Summary2!C45</f>
        <v>68700.153340731194</v>
      </c>
      <c r="E44" s="3931">
        <f t="shared" si="48"/>
        <v>-346.11571286281105</v>
      </c>
      <c r="F44" s="3931">
        <f t="shared" si="49"/>
        <v>-0.5012808332831924</v>
      </c>
      <c r="G44" s="3889"/>
      <c r="H44" s="3931">
        <f>IF(E44="NA","NA",E44/Table8s2!$G$34*100)</f>
        <v>-5.9179868896375644E-2</v>
      </c>
      <c r="I44" s="3848">
        <v>9419.5882742445283</v>
      </c>
      <c r="J44" s="3847">
        <f>Summary2!D45</f>
        <v>9384.8339069129197</v>
      </c>
      <c r="K44" s="3931">
        <f t="shared" si="44"/>
        <v>-34.754367331608591</v>
      </c>
      <c r="L44" s="3931">
        <f t="shared" si="45"/>
        <v>-0.36895845465598087</v>
      </c>
      <c r="M44" s="3889"/>
      <c r="N44" s="3932">
        <f>IF(K44="NA","NA",K44/Table8s2!$G$34*100)</f>
        <v>-5.9424025718136323E-3</v>
      </c>
      <c r="O44" s="3848">
        <v>2801.363976433734</v>
      </c>
      <c r="P44" s="3847">
        <f>Summary2!E45</f>
        <v>2784.497357969185</v>
      </c>
      <c r="Q44" s="3931">
        <f t="shared" si="50"/>
        <v>-16.866618464548992</v>
      </c>
      <c r="R44" s="3931">
        <f t="shared" si="51"/>
        <v>-0.60208593408204591</v>
      </c>
      <c r="S44" s="3889"/>
      <c r="T44" s="3932">
        <f>IF(Q44="NA","NA",Q44/Table8s2!$G$34*100)</f>
        <v>-2.8839033663081272E-3</v>
      </c>
      <c r="U44" s="713"/>
    </row>
    <row r="45" spans="2:21" ht="18" customHeight="1" x14ac:dyDescent="0.2">
      <c r="B45" s="620" t="s">
        <v>1525</v>
      </c>
      <c r="C45" s="3847">
        <v>273.69142059566298</v>
      </c>
      <c r="D45" s="3847">
        <f>Summary2!C46</f>
        <v>159.28817855286738</v>
      </c>
      <c r="E45" s="3931">
        <f t="shared" si="48"/>
        <v>-114.4032420427956</v>
      </c>
      <c r="F45" s="3931">
        <f t="shared" si="49"/>
        <v>-41.800083390925437</v>
      </c>
      <c r="G45" s="3889"/>
      <c r="H45" s="3931">
        <f>IF(E45="NA","NA",E45/Table8s2!$G$34*100)</f>
        <v>-1.9560998284110048E-2</v>
      </c>
      <c r="I45" s="3848">
        <v>6060.2873322807618</v>
      </c>
      <c r="J45" s="3847">
        <f>Summary2!D46</f>
        <v>2389.6794374005203</v>
      </c>
      <c r="K45" s="3931">
        <f t="shared" si="44"/>
        <v>-3670.6078948802415</v>
      </c>
      <c r="L45" s="3931">
        <f t="shared" si="45"/>
        <v>-60.568215558499347</v>
      </c>
      <c r="M45" s="3889"/>
      <c r="N45" s="3932">
        <f>IF(K45="NA","NA",K45/Table8s2!$G$34*100)</f>
        <v>-0.62761118873304489</v>
      </c>
      <c r="O45" s="3848">
        <v>80.517053304382586</v>
      </c>
      <c r="P45" s="3847">
        <f>Summary2!E46</f>
        <v>80.357085791003144</v>
      </c>
      <c r="Q45" s="3931">
        <f t="shared" si="50"/>
        <v>-0.15996751337944204</v>
      </c>
      <c r="R45" s="3931">
        <f t="shared" si="51"/>
        <v>-0.19867532008990565</v>
      </c>
      <c r="S45" s="3889"/>
      <c r="T45" s="3932">
        <f>IF(Q45="NA","NA",Q45/Table8s2!$G$34*100)</f>
        <v>-2.7351709609401492E-5</v>
      </c>
      <c r="U45" s="713"/>
    </row>
    <row r="46" spans="2:21" ht="18" customHeight="1" x14ac:dyDescent="0.2">
      <c r="B46" s="620" t="s">
        <v>1526</v>
      </c>
      <c r="C46" s="3847">
        <v>5289.696258556165</v>
      </c>
      <c r="D46" s="3847">
        <f>Summary2!C47</f>
        <v>5241.0018922011732</v>
      </c>
      <c r="E46" s="3931">
        <f t="shared" si="48"/>
        <v>-48.694366354991871</v>
      </c>
      <c r="F46" s="3931">
        <f t="shared" si="49"/>
        <v>-0.92055127506098267</v>
      </c>
      <c r="G46" s="3889"/>
      <c r="H46" s="3931">
        <f>IF(E46="NA","NA",E46/Table8s2!$G$34*100)</f>
        <v>-8.3259040540084525E-3</v>
      </c>
      <c r="I46" s="3848">
        <v>112.58891599819717</v>
      </c>
      <c r="J46" s="3847">
        <f>Summary2!D47</f>
        <v>113.52337920000001</v>
      </c>
      <c r="K46" s="3931">
        <f t="shared" si="44"/>
        <v>0.93446320180284204</v>
      </c>
      <c r="L46" s="3931">
        <f t="shared" si="45"/>
        <v>0.82997797209256818</v>
      </c>
      <c r="M46" s="3889"/>
      <c r="N46" s="3932">
        <f>IF(K46="NA","NA",K46/Table8s2!$G$34*100)</f>
        <v>1.5977722974137057E-4</v>
      </c>
      <c r="O46" s="3848">
        <v>26.475185956284935</v>
      </c>
      <c r="P46" s="3847">
        <f>Summary2!E47</f>
        <v>26.652146564392687</v>
      </c>
      <c r="Q46" s="3931">
        <f t="shared" si="50"/>
        <v>0.17696060810775194</v>
      </c>
      <c r="R46" s="3931">
        <f t="shared" si="51"/>
        <v>0.668401757026161</v>
      </c>
      <c r="S46" s="3889"/>
      <c r="T46" s="3932">
        <f>IF(Q46="NA","NA",Q46/Table8s2!$G$34*100)</f>
        <v>3.0257238254278931E-5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-7868.3955229770363</v>
      </c>
      <c r="D48" s="3847">
        <f>Summary2!C49</f>
        <v>-8030.575985262295</v>
      </c>
      <c r="E48" s="3931">
        <f t="shared" si="48"/>
        <v>-162.18046228525873</v>
      </c>
      <c r="F48" s="3931">
        <f t="shared" si="49"/>
        <v>2.0611630644604042</v>
      </c>
      <c r="G48" s="3889"/>
      <c r="H48" s="3931">
        <f>IF(E48="NA","NA",E48/Table8s2!$G$34*100)</f>
        <v>-2.7730086034549573E-2</v>
      </c>
      <c r="I48" s="3913"/>
      <c r="J48" s="3910"/>
      <c r="K48" s="3918"/>
      <c r="L48" s="3918"/>
      <c r="M48" s="3918"/>
      <c r="N48" s="3905"/>
      <c r="O48" s="3913"/>
      <c r="P48" s="3910"/>
      <c r="Q48" s="3918"/>
      <c r="R48" s="3918"/>
      <c r="S48" s="3918"/>
      <c r="T48" s="3905"/>
      <c r="U48" s="713"/>
    </row>
    <row r="49" spans="2:21" ht="18" customHeight="1" thickBot="1" x14ac:dyDescent="0.25">
      <c r="B49" s="1552" t="s">
        <v>1529</v>
      </c>
      <c r="C49" s="3855">
        <v>2.2054296732966669</v>
      </c>
      <c r="D49" s="3855">
        <f>Summary2!C50</f>
        <v>2.2054296732966669</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22.157601907257146</v>
      </c>
      <c r="P49" s="3855">
        <f>Summary2!E50</f>
        <v>22.157601907257146</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28.845923344468943</v>
      </c>
      <c r="D50" s="3839">
        <f>Summary2!C51</f>
        <v>28.845923344468943</v>
      </c>
      <c r="E50" s="3839">
        <f t="shared" si="48"/>
        <v>0</v>
      </c>
      <c r="F50" s="3839">
        <f t="shared" si="49"/>
        <v>0</v>
      </c>
      <c r="G50" s="3844">
        <f>IF(E50="NA","NA",E50/Table8s2!$G$35*100)</f>
        <v>0</v>
      </c>
      <c r="H50" s="3845">
        <f>IF(E50="NA","NA",E50/Table8s2!$G$34*100)</f>
        <v>0</v>
      </c>
      <c r="I50" s="3839">
        <f>SUM(I51:I55)</f>
        <v>15630.269959367777</v>
      </c>
      <c r="J50" s="3839">
        <f>Summary2!D51</f>
        <v>15627.544254858882</v>
      </c>
      <c r="K50" s="3839">
        <f t="shared" ref="K50" si="54">IF(J50="NO",IF(I50="NO","NA",-I50),IF(I50="NO",J50,J50-I50))</f>
        <v>-2.7257045088954328</v>
      </c>
      <c r="L50" s="3839">
        <f t="shared" ref="L50" si="55">IF(K50="NA","NA",K50/I50*100)</f>
        <v>-1.7438627202096539E-2</v>
      </c>
      <c r="M50" s="3844">
        <f>IF(K50="NA","NA",K50/Table8s2!$G$35*100)</f>
        <v>-5.1542419188755034E-4</v>
      </c>
      <c r="N50" s="3845">
        <f>IF(K50="NA","NA",K50/Table8s2!$G$34*100)</f>
        <v>-4.6604886600634752E-4</v>
      </c>
      <c r="O50" s="3839">
        <f>SUM(O51:O55)</f>
        <v>380.77831239069172</v>
      </c>
      <c r="P50" s="3839">
        <f>Summary2!E51</f>
        <v>236.39935165015569</v>
      </c>
      <c r="Q50" s="3839">
        <f t="shared" si="52"/>
        <v>-144.37896074053603</v>
      </c>
      <c r="R50" s="3839">
        <f t="shared" si="53"/>
        <v>-37.916802517995883</v>
      </c>
      <c r="S50" s="3844">
        <f>IF(Q50="NA","NA",Q50/Table8s2!$G$35*100)</f>
        <v>-2.7301715546345751E-2</v>
      </c>
      <c r="T50" s="3845">
        <f>IF(Q50="NA","NA",Q50/Table8s2!$G$34*100)</f>
        <v>-2.4686333646477879E-2</v>
      </c>
    </row>
    <row r="51" spans="2:21" ht="18" customHeight="1" x14ac:dyDescent="0.2">
      <c r="B51" s="620" t="s">
        <v>1530</v>
      </c>
      <c r="C51" s="3918"/>
      <c r="D51" s="3918"/>
      <c r="E51" s="3888"/>
      <c r="F51" s="3903"/>
      <c r="G51" s="3904"/>
      <c r="H51" s="3905"/>
      <c r="I51" s="3839">
        <v>12446.344287428896</v>
      </c>
      <c r="J51" s="3839">
        <f>Summary2!D52</f>
        <v>12443.61858292</v>
      </c>
      <c r="K51" s="3839">
        <f t="shared" ref="K51:K52" si="56">IF(J51="NO",IF(I51="NO","NA",-I51),IF(I51="NO",J51,J51-I51))</f>
        <v>-2.7257045088954328</v>
      </c>
      <c r="L51" s="3839">
        <f t="shared" ref="L51:L52" si="57">IF(K51="NA","NA",K51/I51*100)</f>
        <v>-2.1899639331433723E-2</v>
      </c>
      <c r="M51" s="3844">
        <f>IF(K51="NA","NA",K51/Table8s2!$G$35*100)</f>
        <v>-5.1542419188755034E-4</v>
      </c>
      <c r="N51" s="3845">
        <f>IF(K51="NA","NA",K51/Table8s2!$G$34*100)</f>
        <v>-4.6604886600634752E-4</v>
      </c>
      <c r="O51" s="3886"/>
      <c r="P51" s="3887"/>
      <c r="Q51" s="3940"/>
      <c r="R51" s="3941"/>
      <c r="S51" s="3942"/>
      <c r="T51" s="3943"/>
    </row>
    <row r="52" spans="2:21" ht="18" customHeight="1" x14ac:dyDescent="0.2">
      <c r="B52" s="1396" t="s">
        <v>1531</v>
      </c>
      <c r="C52" s="3918"/>
      <c r="D52" s="3918"/>
      <c r="E52" s="3888"/>
      <c r="F52" s="3903"/>
      <c r="G52" s="3904"/>
      <c r="H52" s="3905"/>
      <c r="I52" s="3849">
        <v>61.878567824247995</v>
      </c>
      <c r="J52" s="3847">
        <f>Summary2!D53</f>
        <v>61.878567824247995</v>
      </c>
      <c r="K52" s="3839">
        <f t="shared" si="56"/>
        <v>0</v>
      </c>
      <c r="L52" s="3839">
        <f t="shared" si="57"/>
        <v>0</v>
      </c>
      <c r="M52" s="3844">
        <f>IF(K52="NA","NA",K52/Table8s2!$G$35*100)</f>
        <v>0</v>
      </c>
      <c r="N52" s="3845">
        <f>IF(K52="NA","NA",K52/Table8s2!$G$34*100)</f>
        <v>0</v>
      </c>
      <c r="O52" s="3839">
        <v>74.961465021374735</v>
      </c>
      <c r="P52" s="3839">
        <f>Summary2!E53</f>
        <v>74.961465021374735</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28.845923344468943</v>
      </c>
      <c r="D53" s="3839">
        <f>Summary2!C54</f>
        <v>28.845923344468943</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3122.0471041146334</v>
      </c>
      <c r="J54" s="3847">
        <f>Summary2!D55</f>
        <v>3122.0471041146329</v>
      </c>
      <c r="K54" s="3839">
        <f t="shared" ref="K54" si="62">IF(J54="NO",IF(I54="NO","NA",-I54),IF(I54="NO",J54,J54-I54))</f>
        <v>-4.5474735088646412E-13</v>
      </c>
      <c r="L54" s="3839">
        <f t="shared" ref="L54" si="63">IF(K54="NA","NA",K54/I54*100)</f>
        <v>-1.4565678726856489E-14</v>
      </c>
      <c r="M54" s="3844">
        <f>IF(K54="NA","NA",K54/Table8s2!$G$35*100)</f>
        <v>-8.5991634485222919E-17</v>
      </c>
      <c r="N54" s="3845">
        <f>IF(K54="NA","NA",K54/Table8s2!$G$34*100)</f>
        <v>-7.7754021578043971E-17</v>
      </c>
      <c r="O54" s="3839">
        <v>305.81684736931697</v>
      </c>
      <c r="P54" s="3839">
        <f>Summary2!E55</f>
        <v>161.43788662878094</v>
      </c>
      <c r="Q54" s="3839">
        <f t="shared" ref="Q54" si="64">IF(P54="NO",IF(O54="NO","NA",-O54),IF(O54="NO",P54,P54-O54))</f>
        <v>-144.37896074053603</v>
      </c>
      <c r="R54" s="3839">
        <f t="shared" ref="R54" si="65">IF(Q54="NA","NA",Q54/O54*100)</f>
        <v>-47.210924441379149</v>
      </c>
      <c r="S54" s="3844">
        <f>IF(Q54="NA","NA",Q54/Table8s2!$G$35*100)</f>
        <v>-2.7301715546345751E-2</v>
      </c>
      <c r="T54" s="3845">
        <f>IF(Q54="NA","NA",Q54/Table8s2!$G$34*100)</f>
        <v>-2.4686333646477879E-2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9992.887999999999</v>
      </c>
      <c r="D59" s="3847">
        <f>Summary2!C60</f>
        <v>9992.887999999999</v>
      </c>
      <c r="E59" s="3861">
        <f t="shared" ref="E59" si="66">IF(D59="NO",IF(C59="NO","NA",-C59),IF(C59="NO",D59,D59-C59))</f>
        <v>0</v>
      </c>
      <c r="F59" s="3861">
        <f t="shared" ref="F59" si="67">IF(E59="NA","NA",E59/C59*100)</f>
        <v>0</v>
      </c>
      <c r="G59" s="3862">
        <f>IF(E59="NA","NA",E59/Table8s2!$G$35*100)</f>
        <v>0</v>
      </c>
      <c r="H59" s="3863">
        <f>IF(E59="NA","NA",E59/Table8s2!$G$34*100)</f>
        <v>0</v>
      </c>
      <c r="I59" s="3847">
        <v>7.9342222866667607</v>
      </c>
      <c r="J59" s="3847">
        <f>Summary2!D60</f>
        <v>7.9342222866666674</v>
      </c>
      <c r="K59" s="3861">
        <f t="shared" ref="K59:K61" si="68">IF(J59="NO",IF(I59="NO","NA",-I59),IF(I59="NO",J59,J59-I59))</f>
        <v>-9.3258734068513149E-14</v>
      </c>
      <c r="L59" s="3861">
        <f t="shared" ref="L59:L61" si="69">IF(K59="NA","NA",K59/I59*100)</f>
        <v>-1.1753985545027122E-12</v>
      </c>
      <c r="M59" s="3862">
        <f>IF(K59="NA","NA",K59/Table8s2!$G$35*100)</f>
        <v>-1.7635003165914855E-17</v>
      </c>
      <c r="N59" s="3863">
        <f>IF(K59="NA","NA",K59/Table8s2!$G$34*100)</f>
        <v>-1.5945648956434798E-17</v>
      </c>
      <c r="O59" s="3848">
        <v>30.597980206713753</v>
      </c>
      <c r="P59" s="3847">
        <f>Summary2!E60</f>
        <v>30.597980206714915</v>
      </c>
      <c r="Q59" s="3861">
        <f t="shared" ref="Q59" si="70">IF(P59="NO",IF(O59="NO","NA",-O59),IF(O59="NO",P59,P59-O59))</f>
        <v>1.1617373729677638E-12</v>
      </c>
      <c r="R59" s="3966">
        <f t="shared" ref="R59" si="71">IF(Q59="NA","NA",Q59/O59*100)</f>
        <v>3.7967779739685481E-12</v>
      </c>
      <c r="S59" s="3967">
        <f>IF(Q59="NA","NA",Q59/Table8s2!$G$35*100)</f>
        <v>2.1968175372396789E-16</v>
      </c>
      <c r="T59" s="3968">
        <f>IF(Q59="NA","NA",Q59/Table8s2!$G$34*100)</f>
        <v>1.9863722700015918E-16</v>
      </c>
    </row>
    <row r="60" spans="2:21" ht="18" customHeight="1" x14ac:dyDescent="0.2">
      <c r="B60" s="1410" t="s">
        <v>111</v>
      </c>
      <c r="C60" s="3847">
        <v>7173.6719999999996</v>
      </c>
      <c r="D60" s="3847">
        <f>Summary2!C61</f>
        <v>7173.6719999999996</v>
      </c>
      <c r="E60" s="3861">
        <f t="shared" ref="E60:E61" si="72">IF(D60="NO",IF(C60="NO","NA",-C60),IF(C60="NO",D60,D60-C60))</f>
        <v>0</v>
      </c>
      <c r="F60" s="3861">
        <f t="shared" ref="F60:F61" si="73">IF(E60="NA","NA",E60/C60*100)</f>
        <v>0</v>
      </c>
      <c r="G60" s="3862">
        <f>IF(E60="NA","NA",E60/Table8s2!$G$35*100)</f>
        <v>0</v>
      </c>
      <c r="H60" s="3863">
        <f>IF(E60="NA","NA",E60/Table8s2!$G$34*100)</f>
        <v>0</v>
      </c>
      <c r="I60" s="3847">
        <v>0.37450228666676</v>
      </c>
      <c r="J60" s="3847">
        <f>Summary2!D61</f>
        <v>0.37450228666666668</v>
      </c>
      <c r="K60" s="3861">
        <f t="shared" si="68"/>
        <v>-9.3314245219744407E-14</v>
      </c>
      <c r="L60" s="3861">
        <f t="shared" si="69"/>
        <v>-2.4916869280100654E-11</v>
      </c>
      <c r="M60" s="3862">
        <f>IF(K60="NA","NA",K60/Table8s2!$G$35*100)</f>
        <v>-1.7645500191608851E-17</v>
      </c>
      <c r="N60" s="3863">
        <f>IF(K60="NA","NA",K60/Table8s2!$G$34*100)</f>
        <v>-1.5955140414146963E-17</v>
      </c>
      <c r="O60" s="3848">
        <v>10.15588020671375</v>
      </c>
      <c r="P60" s="3847">
        <f>Summary2!E61</f>
        <v>10.155880206714912</v>
      </c>
      <c r="Q60" s="3861">
        <f t="shared" ref="Q60:Q61" si="74">IF(P60="NO",IF(O60="NO","NA",-O60),IF(O60="NO",P60,P60-O60))</f>
        <v>1.1617373729677638E-12</v>
      </c>
      <c r="R60" s="3966">
        <f t="shared" ref="R60:R61" si="75">IF(Q60="NA","NA",Q60/O60*100)</f>
        <v>1.1439061404050178E-11</v>
      </c>
      <c r="S60" s="3967">
        <f>IF(Q60="NA","NA",Q60/Table8s2!$G$35*100)</f>
        <v>2.1968175372396789E-16</v>
      </c>
      <c r="T60" s="3968">
        <f>IF(Q60="NA","NA",Q60/Table8s2!$G$34*100)</f>
        <v>1.9863722700015918E-16</v>
      </c>
    </row>
    <row r="61" spans="2:21" ht="18" customHeight="1" x14ac:dyDescent="0.2">
      <c r="B61" s="1411" t="s">
        <v>1503</v>
      </c>
      <c r="C61" s="3847">
        <v>2819.2159999999999</v>
      </c>
      <c r="D61" s="3847">
        <f>Summary2!C62</f>
        <v>2819.2160000000003</v>
      </c>
      <c r="E61" s="3861">
        <f t="shared" si="72"/>
        <v>4.5474735088646412E-13</v>
      </c>
      <c r="F61" s="3861">
        <f t="shared" si="73"/>
        <v>1.6130277030439104E-14</v>
      </c>
      <c r="G61" s="3862">
        <f>IF(E61="NA","NA",E61/Table8s2!$G$35*100)</f>
        <v>8.5991634485222919E-17</v>
      </c>
      <c r="H61" s="3863">
        <f>IF(E61="NA","NA",E61/Table8s2!$G$34*100)</f>
        <v>7.7754021578043971E-17</v>
      </c>
      <c r="I61" s="3847">
        <v>7.5597200000000004</v>
      </c>
      <c r="J61" s="3847">
        <f>Summary2!D62</f>
        <v>7.5597200000000004</v>
      </c>
      <c r="K61" s="3861">
        <f t="shared" si="68"/>
        <v>0</v>
      </c>
      <c r="L61" s="3861">
        <f t="shared" si="69"/>
        <v>0</v>
      </c>
      <c r="M61" s="3862">
        <f>IF(K61="NA","NA",K61/Table8s2!$G$35*100)</f>
        <v>0</v>
      </c>
      <c r="N61" s="3863">
        <f>IF(K61="NA","NA",K61/Table8s2!$G$34*100)</f>
        <v>0</v>
      </c>
      <c r="O61" s="3848">
        <v>20.4421</v>
      </c>
      <c r="P61" s="3847">
        <f>Summary2!E62</f>
        <v>20.4421</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18497.25728454626</v>
      </c>
      <c r="D63" s="3847">
        <f>Summary2!C64</f>
        <v>18497.257284546271</v>
      </c>
      <c r="E63" s="3861">
        <f t="shared" ref="E63:E65" si="76">IF(D63="NO",IF(C63="NO","NA",-C63),IF(C63="NO",D63,D63-C63))</f>
        <v>1.0913936421275139E-11</v>
      </c>
      <c r="F63" s="3861">
        <f t="shared" ref="F63:F65" si="77">IF(E63="NA","NA",E63/C63*100)</f>
        <v>5.900299840881442E-14</v>
      </c>
      <c r="G63" s="3862">
        <f>IF(E63="NA","NA",E63/Table8s2!$G$35*100)</f>
        <v>2.0637992276453499E-15</v>
      </c>
      <c r="H63" s="3863">
        <f>IF(E63="NA","NA",E63/Table8s2!$G$34*100)</f>
        <v>1.866096517873055E-15</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-249013.07269421828</v>
      </c>
      <c r="D65" s="3849">
        <f>Summary2!C66</f>
        <v>-248987.38813341095</v>
      </c>
      <c r="E65" s="3977">
        <f t="shared" si="76"/>
        <v>25.684560807334492</v>
      </c>
      <c r="F65" s="3984">
        <f t="shared" si="77"/>
        <v>-1.0314543140019993E-2</v>
      </c>
      <c r="G65" s="3985">
        <f>IF(E65="NA","NA",E65/Table8s2!$G$35*100)</f>
        <v>4.8568889088684781E-3</v>
      </c>
      <c r="H65" s="3986">
        <f>IF(E65="NA","NA",E65/Table8s2!$G$34*100)</f>
        <v>4.3916207347729549E-3</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2925.3286647757277</v>
      </c>
      <c r="D10" s="4019">
        <f>IF(SUM(D11:D30)=0,"NO",SUM(D11:D30))</f>
        <v>2925.3286647757286</v>
      </c>
      <c r="E10" s="4019">
        <f>IF(D10="NO",IF(C10="NO","NA",-C10),IF(C10="NO",D10,D10-C10))</f>
        <v>9.0949470177292824E-13</v>
      </c>
      <c r="F10" s="4019">
        <f>IF(E10="NA","NA",E10/C10*100)</f>
        <v>3.1090342521996763E-14</v>
      </c>
      <c r="G10" s="4020">
        <f>IF(E10="NA","NA",E10/$G$35*100)</f>
        <v>1.7198326897044584E-16</v>
      </c>
      <c r="H10" s="4021">
        <f>IF(E10="NA","NA",E10/$G$34*100)</f>
        <v>1.5550804315608794E-16</v>
      </c>
      <c r="I10" s="4022">
        <f>IF(SUM(I11:I30)=0,"NO",SUM(I11:I30))</f>
        <v>1541.4296180492076</v>
      </c>
      <c r="J10" s="4022">
        <f>IF(SUM(J11:J30)=0,"NO",SUM(J11:J30))</f>
        <v>1541.4296180492074</v>
      </c>
      <c r="K10" s="4019">
        <f>IF(J10="NO",IF(I10="NO","NA",-I10),IF(I10="NO",J10,J10-I10))</f>
        <v>-2.2737367544323206E-13</v>
      </c>
      <c r="L10" s="4019">
        <f>IF(K10="NA","NA",K10/I10*100)</f>
        <v>-1.475083083786791E-14</v>
      </c>
      <c r="M10" s="4020">
        <f>IF(K10="NA","NA",K10/$G$35*100)</f>
        <v>-4.299581724261146E-17</v>
      </c>
      <c r="N10" s="4021">
        <f>IF(K10="NA","NA",K10/$G$34*100)</f>
        <v>-3.8877010789021986E-17</v>
      </c>
      <c r="O10" s="4018" t="s">
        <v>2146</v>
      </c>
      <c r="P10" s="4019" t="s">
        <v>2146</v>
      </c>
      <c r="Q10" s="4019" t="s">
        <v>2147</v>
      </c>
      <c r="R10" s="4023" t="s">
        <v>2147</v>
      </c>
      <c r="S10" s="4024" t="s">
        <v>2147</v>
      </c>
      <c r="T10" s="4021" t="s">
        <v>2147</v>
      </c>
      <c r="U10" s="4018">
        <f>IF(SUM(U11:U30)=0,"NO",SUM(U11:U30))</f>
        <v>237.74641315441517</v>
      </c>
      <c r="V10" s="4019">
        <f>IF(SUM(V11:V30)=0,"NO",SUM(V11:V30))</f>
        <v>237.74641315441519</v>
      </c>
      <c r="W10" s="4019">
        <f>IF(V10="NO",IF(U10="NO","NA",-U10),IF(U10="NO",V10,V10-U10))</f>
        <v>2.8421709430404007E-14</v>
      </c>
      <c r="X10" s="4023">
        <f>IF(W10="NA","NA",W10/U10*100)</f>
        <v>1.1954632271126734E-14</v>
      </c>
      <c r="Y10" s="4024">
        <f>IF(W10="NA","NA",W10/$G$35*100)</f>
        <v>5.3744771553264324E-18</v>
      </c>
      <c r="Z10" s="4021">
        <f>IF(W10="NA","NA",W10/$G$34*100)</f>
        <v>4.8596263486277482E-18</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1541.4296180492076</v>
      </c>
      <c r="J13" s="3839">
        <f>'Table2(II)'!AH41</f>
        <v>1541.4296180492074</v>
      </c>
      <c r="K13" s="3847">
        <f>IF(J13="NO",IF(I13="NO","NA",-I13),IF(I13="NO",J13,J13-I13))</f>
        <v>-2.2737367544323206E-13</v>
      </c>
      <c r="L13" s="4016">
        <f>IF(K13="NA","NA",K13/I13*100)</f>
        <v>-1.475083083786791E-14</v>
      </c>
      <c r="M13" s="3871">
        <f>IF(K13="NA","NA",K13/$G$35*100)</f>
        <v>-4.299581724261146E-17</v>
      </c>
      <c r="N13" s="3872">
        <f>IF(K13="NA","NA",K13/$G$34*100)</f>
        <v>-3.8877010789021986E-17</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2714.4708319357687</v>
      </c>
      <c r="D21" s="3847">
        <f>'Table2(I)'!F46</f>
        <v>2714.4708319357696</v>
      </c>
      <c r="E21" s="3847">
        <f>IF(D21="NO",IF(C21="NO","NA",-C21),IF(C21="NO",D21,D21-C21))</f>
        <v>9.0949470177292824E-13</v>
      </c>
      <c r="F21" s="4016">
        <f>IF(E21="NA","NA",E21/C21*100)</f>
        <v>3.3505414428208864E-14</v>
      </c>
      <c r="G21" s="3871">
        <f>IF(E21="NA","NA",E21/$G$35*100)</f>
        <v>1.7198326897044584E-16</v>
      </c>
      <c r="H21" s="3872">
        <f>IF(E21="NA","NA",E21/$G$34*100)</f>
        <v>1.5550804315608794E-16</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42.411408518478183</v>
      </c>
      <c r="D22" s="3847">
        <f>'Table2(I)'!F47</f>
        <v>42.41140851847819</v>
      </c>
      <c r="E22" s="3847">
        <f t="shared" ref="E22:E25" si="0">IF(D22="NO",IF(C22="NO","NA",-C22),IF(C22="NO",D22,D22-C22))</f>
        <v>7.1054273576010019E-15</v>
      </c>
      <c r="F22" s="4016">
        <f t="shared" ref="F22:F25" si="1">IF(E22="NA","NA",E22/C22*100)</f>
        <v>1.6753575525569365E-14</v>
      </c>
      <c r="G22" s="3871">
        <f t="shared" ref="G22:G25" si="2">IF(E22="NA","NA",E22/$G$35*100)</f>
        <v>1.3436192888316081E-18</v>
      </c>
      <c r="H22" s="3872">
        <f t="shared" ref="H22:H25" si="3">IF(E22="NA","NA",E22/$G$34*100)</f>
        <v>1.214906587156937E-18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16.235219270488614</v>
      </c>
      <c r="D23" s="3847">
        <f>'Table2(I)'!F48</f>
        <v>16.235219270488614</v>
      </c>
      <c r="E23" s="3847">
        <f t="shared" si="0"/>
        <v>0</v>
      </c>
      <c r="F23" s="4016">
        <f t="shared" si="1"/>
        <v>0</v>
      </c>
      <c r="G23" s="3871">
        <f t="shared" si="2"/>
        <v>0</v>
      </c>
      <c r="H23" s="3872">
        <f t="shared" si="3"/>
        <v>0</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84.799819629116556</v>
      </c>
      <c r="D24" s="3847">
        <f>'Table2(I)'!F49</f>
        <v>84.79981962911657</v>
      </c>
      <c r="E24" s="3847">
        <f t="shared" si="0"/>
        <v>1.4210854715202004E-14</v>
      </c>
      <c r="F24" s="4016">
        <f t="shared" si="1"/>
        <v>1.6758119035341221E-14</v>
      </c>
      <c r="G24" s="3871">
        <f t="shared" si="2"/>
        <v>2.6872385776632162E-18</v>
      </c>
      <c r="H24" s="3872">
        <f t="shared" si="3"/>
        <v>2.4298131743138741E-18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67.411385421875693</v>
      </c>
      <c r="D25" s="3847">
        <f>'Table2(I)'!F50</f>
        <v>67.411385421875707</v>
      </c>
      <c r="E25" s="3847">
        <f t="shared" si="0"/>
        <v>1.4210854715202004E-14</v>
      </c>
      <c r="F25" s="4016">
        <f t="shared" si="1"/>
        <v>2.1080793142385758E-14</v>
      </c>
      <c r="G25" s="3871">
        <f t="shared" si="2"/>
        <v>2.6872385776632162E-18</v>
      </c>
      <c r="H25" s="3872">
        <f t="shared" si="3"/>
        <v>2.4298131743138741E-18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221.51213927780677</v>
      </c>
      <c r="V27" s="3847">
        <f>IFERROR('Table2(I)'!I53*23500,'Table2(I)'!I53)</f>
        <v>221.51213927780677</v>
      </c>
      <c r="W27" s="3847">
        <f>IF(V27="NO",IF(U27="NO","NA",-U27),IF(U27="NO",V27,V27-U27))</f>
        <v>0</v>
      </c>
      <c r="X27" s="4016">
        <f>IF(W27="NA","NA",W27/U27*100)</f>
        <v>0</v>
      </c>
      <c r="Y27" s="3871">
        <f>IF(W27="NA","NA",W27/$G$35*100)</f>
        <v>0</v>
      </c>
      <c r="Z27" s="3872">
        <f>IF(W27="NA","NA",W27/$G$34*100)</f>
        <v>0</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16.234273876608409</v>
      </c>
      <c r="V28" s="3847">
        <f>IFERROR('Table2(I)'!I54*23500,'Table2(I)'!I54)</f>
        <v>16.23427387660842</v>
      </c>
      <c r="W28" s="3847">
        <f>IF(V28="NO",IF(U28="NO","NA",-U28),IF(U28="NO",V28,V28-U28))</f>
        <v>1.0658141036401503E-14</v>
      </c>
      <c r="X28" s="4016">
        <f>IF(W28="NA","NA",W28/U28*100)</f>
        <v>6.5652095790736739E-14</v>
      </c>
      <c r="Y28" s="3871">
        <f>IF(W28="NA","NA",W28/$G$35*100)</f>
        <v>2.015428933247412E-18</v>
      </c>
      <c r="Z28" s="3872">
        <f>IF(W28="NA","NA",W28/$G$34*100)</f>
        <v>1.8223598807354053E-18</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592012.93016673962</v>
      </c>
      <c r="F34" s="4523"/>
      <c r="G34" s="4522">
        <f>SUM(Table8s1!D10,Table8s1!J10,Table8s1!P10,D10,J10,P10,V10,AB10)</f>
        <v>584853.80133041868</v>
      </c>
      <c r="H34" s="4523"/>
      <c r="I34" s="3839">
        <f>G34-E34</f>
        <v>-7159.128836320946</v>
      </c>
      <c r="J34" s="4045">
        <f>IF(I34="NA","NA",I34/E34*100)</f>
        <v>-1.2092858908173825</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528921.76097824529</v>
      </c>
      <c r="F35" s="4525"/>
      <c r="G35" s="4526">
        <f>G34-SUM(Table8s1!D41,Table8s1!J41,Table8s1!P41)</f>
        <v>528827.43025963695</v>
      </c>
      <c r="H35" s="4527"/>
      <c r="I35" s="3855">
        <f>G35-E35</f>
        <v>-94.330718608340248</v>
      </c>
      <c r="J35" s="4046">
        <f>IF(I35="NA","NA",I35/E35*100)</f>
        <v>-1.7834531601398813E-2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1156665.6429559621</v>
      </c>
      <c r="D10" s="1913" t="s">
        <v>1814</v>
      </c>
      <c r="E10" s="628"/>
      <c r="F10" s="628"/>
      <c r="G10" s="628"/>
      <c r="H10" s="1847">
        <f>IF(SUM(H11:H14)=0,"NO",SUM(H11:H14))</f>
        <v>78429.970225474652</v>
      </c>
      <c r="I10" s="1847">
        <f>IF(SUM(I11:I15)=0,"NO",SUM(I11:I15))</f>
        <v>24.925571185755999</v>
      </c>
      <c r="J10" s="2192">
        <f>IF(SUM(J11:J15)=0,"NO",SUM(J11:J15))</f>
        <v>7.1292786174709928</v>
      </c>
    </row>
    <row r="11" spans="2:11" ht="18" customHeight="1" x14ac:dyDescent="0.2">
      <c r="B11" s="282" t="s">
        <v>132</v>
      </c>
      <c r="C11" s="1913">
        <f>IF(SUM(C17:C18,C21:C24,C82,C89:C92,C100)=0,"NO",SUM(C17:C18,C21:C24,C82,C89:C92,C100))</f>
        <v>1135119.9817368493</v>
      </c>
      <c r="D11" s="1909" t="s">
        <v>1814</v>
      </c>
      <c r="E11" s="1913">
        <f>IFERROR(H11*1000/$C11,"NA")</f>
        <v>67.920481826653202</v>
      </c>
      <c r="F11" s="1913">
        <f t="shared" ref="F11:G15" si="0">IFERROR(I11*1000000/$C11,"NA")</f>
        <v>21.567975448004592</v>
      </c>
      <c r="G11" s="1913">
        <f t="shared" si="0"/>
        <v>6.2731551748172629</v>
      </c>
      <c r="H11" s="1913">
        <f>IF(SUM(H17:H18,H21:H24,H82,H89:H92,H100)=0,"NO",SUM(H17:H18,H21:H24,H82,H89:H92,H100))</f>
        <v>77097.896090628594</v>
      </c>
      <c r="I11" s="1913">
        <f>IF(SUM(I17:I18,I21:I24,I82,I89:I92,I100)=0,"NO",SUM(I17:I18,I21:I24,I82,I89:I92,I100))</f>
        <v>24.482239896639786</v>
      </c>
      <c r="J11" s="3085">
        <f>IF(SUM(J17:J18,J21:J24,J82,J89:J92,J100)=0,"NO",SUM(J17:J18,J21:J24,J82,J89:J92,J100))</f>
        <v>7.1207837874709927</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15720.099999999999</v>
      </c>
      <c r="D13" s="1909" t="s">
        <v>1814</v>
      </c>
      <c r="E13" s="1913">
        <f t="shared" si="1"/>
        <v>51.411918339264993</v>
      </c>
      <c r="F13" s="1913">
        <f t="shared" si="0"/>
        <v>16.395015878792893</v>
      </c>
      <c r="G13" s="1913">
        <f t="shared" si="0"/>
        <v>0.17142575428909487</v>
      </c>
      <c r="H13" s="1913">
        <f>IF(SUM(H26,H84,H94,H102)=0,"NO",SUM(H26,H84,H94,H102))</f>
        <v>808.20049748507961</v>
      </c>
      <c r="I13" s="1913">
        <f>IF(SUM(I26,I84,I94,I102)=0,"NO",SUM(I26,I84,I94,I102))</f>
        <v>0.25773128911621213</v>
      </c>
      <c r="J13" s="3085">
        <f>IF(SUM(J26,J84,J94,J102)=0,"NO",SUM(J26,J84,J94,J102))</f>
        <v>2.6948300000000001E-3</v>
      </c>
    </row>
    <row r="14" spans="2:11" ht="18" customHeight="1" x14ac:dyDescent="0.2">
      <c r="B14" s="282" t="s">
        <v>175</v>
      </c>
      <c r="C14" s="1913">
        <f>IF(SUM(C28,C86,C96,C103)=0,"NO",SUM(C28,C86,C96,C103))</f>
        <v>5825.5612191128075</v>
      </c>
      <c r="D14" s="1909" t="s">
        <v>1814</v>
      </c>
      <c r="E14" s="1913">
        <f t="shared" si="1"/>
        <v>89.926724251427771</v>
      </c>
      <c r="F14" s="1913">
        <f t="shared" si="0"/>
        <v>31.859591379981342</v>
      </c>
      <c r="G14" s="1913">
        <f t="shared" si="0"/>
        <v>0.99561223062441695</v>
      </c>
      <c r="H14" s="1913">
        <f>IF(SUM(H28,H86,H96,H103)=0,"NO",SUM(H28,H86,H96,H103))</f>
        <v>523.87363736096881</v>
      </c>
      <c r="I14" s="1913">
        <f>IF(SUM(I28,I86,I96,I103)=0,"NO",SUM(I28,I86,I96,I103))</f>
        <v>0.18559999999999999</v>
      </c>
      <c r="J14" s="3085">
        <f>IF(SUM(J28,J86,J96,J103)=0,"NO",SUM(J28,J86,J96,J103))</f>
        <v>5.7999999999999996E-3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70953.027240272058</v>
      </c>
      <c r="D16" s="1909" t="s">
        <v>1814</v>
      </c>
      <c r="E16" s="628"/>
      <c r="F16" s="628"/>
      <c r="G16" s="628"/>
      <c r="H16" s="1913">
        <f>IF(SUM(H17:H18)=0,"NO",SUM(H17:H18))</f>
        <v>4930.3065114392102</v>
      </c>
      <c r="I16" s="1913">
        <f>IF(SUM(I17:I19)=0,"NO",SUM(I17:I19))</f>
        <v>2.9971837958567314E-2</v>
      </c>
      <c r="J16" s="3085">
        <f>IF(SUM(J17:J19)=0,"NO",SUM(J17:J19))</f>
        <v>4.3105194036791472E-2</v>
      </c>
    </row>
    <row r="17" spans="2:10" ht="18" customHeight="1" x14ac:dyDescent="0.2">
      <c r="B17" s="282" t="s">
        <v>177</v>
      </c>
      <c r="C17" s="691">
        <v>3086.2248014321599</v>
      </c>
      <c r="D17" s="1909" t="s">
        <v>1814</v>
      </c>
      <c r="E17" s="1913">
        <f t="shared" ref="E17:E19" si="2">IFERROR(H17*1000/$C17,"NA")</f>
        <v>67.000000000000028</v>
      </c>
      <c r="F17" s="1913">
        <f t="shared" ref="F17:G19" si="3">IFERROR(I17*1000000/$C17,"NA")</f>
        <v>0.50000000000000011</v>
      </c>
      <c r="G17" s="1913">
        <f t="shared" si="3"/>
        <v>2.0000000000000009</v>
      </c>
      <c r="H17" s="691">
        <v>206.77706169595479</v>
      </c>
      <c r="I17" s="691">
        <v>1.5431124007160805E-3</v>
      </c>
      <c r="J17" s="2911">
        <v>6.1724496028643227E-3</v>
      </c>
    </row>
    <row r="18" spans="2:10" ht="18" customHeight="1" x14ac:dyDescent="0.2">
      <c r="B18" s="282" t="s">
        <v>178</v>
      </c>
      <c r="C18" s="691">
        <v>67866.802438839892</v>
      </c>
      <c r="D18" s="1909" t="s">
        <v>1814</v>
      </c>
      <c r="E18" s="1913">
        <f t="shared" si="2"/>
        <v>69.59999999999998</v>
      </c>
      <c r="F18" s="1913">
        <f t="shared" si="3"/>
        <v>0.41889001008218402</v>
      </c>
      <c r="G18" s="1913">
        <f t="shared" si="3"/>
        <v>0.54419455620014134</v>
      </c>
      <c r="H18" s="691">
        <v>4723.5294497432551</v>
      </c>
      <c r="I18" s="691">
        <v>2.8428725557851232E-2</v>
      </c>
      <c r="J18" s="2911">
        <v>3.6932744433927148E-2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1017622.3432616817</v>
      </c>
      <c r="D20" s="1909" t="s">
        <v>1814</v>
      </c>
      <c r="E20" s="628"/>
      <c r="F20" s="628"/>
      <c r="G20" s="628"/>
      <c r="H20" s="1913">
        <f>IF(SUM(H21:H24,H26,H28)=0,"NO",SUM(H21:H24,H26,H28))</f>
        <v>68893.607687467491</v>
      </c>
      <c r="I20" s="1913">
        <f>IF(SUM(I21:I24,I26:I28)=0,"NO",SUM(I21:I24,I26:I28))</f>
        <v>20.400516211746556</v>
      </c>
      <c r="J20" s="3085">
        <f>IF(SUM(J21:J24,J26:J28)=0,"NO",SUM(J21:J24,J26:J28))</f>
        <v>6.2684670951083516</v>
      </c>
    </row>
    <row r="21" spans="2:10" ht="18" customHeight="1" x14ac:dyDescent="0.2">
      <c r="B21" s="282" t="s">
        <v>167</v>
      </c>
      <c r="C21" s="1913">
        <f>IF(SUM(C31,C41,C51,C61,C72)=0,"NO",SUM(C31,C41,C51,C61,C72))</f>
        <v>630420.82053548982</v>
      </c>
      <c r="D21" s="1909" t="s">
        <v>1814</v>
      </c>
      <c r="E21" s="1913">
        <f t="shared" ref="E21:E23" si="4">IFERROR(H21*1000/$C21,"NA")</f>
        <v>67.399999999999991</v>
      </c>
      <c r="F21" s="1913">
        <f t="shared" ref="F21:G23" si="5">IFERROR(I21*1000000/$C21,"NA")</f>
        <v>22.567747410847627</v>
      </c>
      <c r="G21" s="1913">
        <f t="shared" si="5"/>
        <v>9.0150308795427989</v>
      </c>
      <c r="H21" s="1913">
        <f>IF(SUM(H31,H41,H51,H61,H72)=0,"NO",SUM(H31,H41,H51,H61,H72))</f>
        <v>42490.36330409201</v>
      </c>
      <c r="I21" s="1913">
        <f>IF(SUM(I31,I41,I51,I61,I72)=0,"NO",SUM(I31,I41,I51,I61,I72))</f>
        <v>14.227177840384238</v>
      </c>
      <c r="J21" s="3085">
        <f>IF(SUM(J31,J41,J51,J61,J72)=0,"NO",SUM(J31,J41,J51,J61,J72))</f>
        <v>5.68326316423415</v>
      </c>
    </row>
    <row r="22" spans="2:10" ht="18" customHeight="1" x14ac:dyDescent="0.2">
      <c r="B22" s="282" t="s">
        <v>168</v>
      </c>
      <c r="C22" s="1913">
        <f t="shared" ref="C22:C29" si="6">IF(SUM(C32,C42,C52,C62,C73)=0,"NO",SUM(C32,C42,C52,C62,C73))</f>
        <v>320009.65155238647</v>
      </c>
      <c r="D22" s="1909" t="s">
        <v>1814</v>
      </c>
      <c r="E22" s="1913">
        <f t="shared" si="4"/>
        <v>69.900000000000034</v>
      </c>
      <c r="F22" s="1913">
        <f t="shared" si="5"/>
        <v>11.595691382572493</v>
      </c>
      <c r="G22" s="1913">
        <f t="shared" si="5"/>
        <v>1.5229444740031017</v>
      </c>
      <c r="H22" s="1913">
        <f t="shared" ref="H22:J29" si="7">IF(SUM(H32,H42,H52,H62,H73)=0,"NO",SUM(H32,H42,H52,H62,H73))</f>
        <v>22368.674643511826</v>
      </c>
      <c r="I22" s="1913">
        <f t="shared" si="7"/>
        <v>3.7107331588460344</v>
      </c>
      <c r="J22" s="3085">
        <f t="shared" si="7"/>
        <v>0.48735693045936507</v>
      </c>
    </row>
    <row r="23" spans="2:10" ht="18" customHeight="1" x14ac:dyDescent="0.2">
      <c r="B23" s="282" t="s">
        <v>169</v>
      </c>
      <c r="C23" s="1913">
        <f t="shared" si="6"/>
        <v>65996.000000000044</v>
      </c>
      <c r="D23" s="1909" t="s">
        <v>1814</v>
      </c>
      <c r="E23" s="1913">
        <f t="shared" si="4"/>
        <v>60.19999999999996</v>
      </c>
      <c r="F23" s="1913">
        <f t="shared" si="5"/>
        <v>35.347055849283201</v>
      </c>
      <c r="G23" s="1913">
        <f t="shared" si="5"/>
        <v>1.4645887692411101</v>
      </c>
      <c r="H23" s="1913">
        <f t="shared" si="7"/>
        <v>3972.9592000000002</v>
      </c>
      <c r="I23" s="1913">
        <f t="shared" si="7"/>
        <v>2.3327642978292955</v>
      </c>
      <c r="J23" s="3085">
        <f t="shared" si="7"/>
        <v>9.6657000414836367E-2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1189.999999999997</v>
      </c>
      <c r="D26" s="1909" t="s">
        <v>1814</v>
      </c>
      <c r="E26" s="1913">
        <f t="shared" si="8"/>
        <v>51.411918339265135</v>
      </c>
      <c r="F26" s="1913">
        <f t="shared" si="9"/>
        <v>109.11001234200729</v>
      </c>
      <c r="G26" s="1913">
        <f t="shared" si="9"/>
        <v>1.0000000000000024</v>
      </c>
      <c r="H26" s="1913">
        <f t="shared" si="7"/>
        <v>61.18018282372536</v>
      </c>
      <c r="I26" s="1913">
        <f t="shared" si="7"/>
        <v>0.12984091468698836</v>
      </c>
      <c r="J26" s="3085">
        <f t="shared" si="7"/>
        <v>1.1900000000000001E-3</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5.8711738054495504</v>
      </c>
      <c r="D28" s="1909" t="s">
        <v>1814</v>
      </c>
      <c r="E28" s="628"/>
      <c r="F28" s="628"/>
      <c r="G28" s="628"/>
      <c r="H28" s="1913">
        <f>H29</f>
        <v>0.43035703993945168</v>
      </c>
      <c r="I28" s="1913" t="str">
        <f>I29</f>
        <v>NE</v>
      </c>
      <c r="J28" s="3085" t="str">
        <f>J29</f>
        <v>NE</v>
      </c>
    </row>
    <row r="29" spans="2:10" ht="18" customHeight="1" x14ac:dyDescent="0.2">
      <c r="B29" s="3105" t="s">
        <v>252</v>
      </c>
      <c r="C29" s="1913">
        <f t="shared" si="6"/>
        <v>5.8711738054495504</v>
      </c>
      <c r="D29" s="1909" t="s">
        <v>1814</v>
      </c>
      <c r="E29" s="3103">
        <f t="shared" ref="E29" si="10">IFERROR(H29*1000/$C29,"NA")</f>
        <v>73.29999999999994</v>
      </c>
      <c r="F29" s="3103" t="str">
        <f>IFERROR(I29*1000000/$C29,"NA")</f>
        <v>NA</v>
      </c>
      <c r="G29" s="3103" t="str">
        <f>IFERROR(J29*1000000/$C29,"NA")</f>
        <v>NA</v>
      </c>
      <c r="H29" s="1913">
        <f t="shared" si="7"/>
        <v>0.43035703993945168</v>
      </c>
      <c r="I29" s="1913" t="str">
        <f>IF(SUM(I39,I49,I59,I69,I80)=0,"NE",SUM(I39,I49,I59,I69,I80))</f>
        <v>NE</v>
      </c>
      <c r="J29" s="3085" t="str">
        <f>IF(SUM(J39,J49,J59,J69,J80)=0,"NE",SUM(J39,J49,J59,J69,J80))</f>
        <v>NE</v>
      </c>
    </row>
    <row r="30" spans="2:10" ht="18" customHeight="1" x14ac:dyDescent="0.2">
      <c r="B30" s="1242" t="s">
        <v>182</v>
      </c>
      <c r="C30" s="1913">
        <f>IF(SUM(C31:C34,C36:C38)=0,"NO",SUM(C31:C34,C36:C38))</f>
        <v>614263.08621297556</v>
      </c>
      <c r="D30" s="1909" t="s">
        <v>1814</v>
      </c>
      <c r="E30" s="628"/>
      <c r="F30" s="628"/>
      <c r="G30" s="628"/>
      <c r="H30" s="1913">
        <f>IF(SUM(H31:H34,H36,H38)=0,"NO",SUM(H31:H34,H36,H38))</f>
        <v>41146.698124247683</v>
      </c>
      <c r="I30" s="1913">
        <f>IF(SUM(I31:I34,I36:I38)=0,"NO",SUM(I31:I34,I36:I38))</f>
        <v>14.30330628866346</v>
      </c>
      <c r="J30" s="3085">
        <f>IF(SUM(J31:J34,J36:J38)=0,"NO",SUM(J31:J34,J36:J38))</f>
        <v>5.3751268558549441</v>
      </c>
    </row>
    <row r="31" spans="2:10" ht="18" customHeight="1" x14ac:dyDescent="0.2">
      <c r="B31" s="282" t="s">
        <v>167</v>
      </c>
      <c r="C31" s="691">
        <v>532579.62370624207</v>
      </c>
      <c r="D31" s="1909" t="s">
        <v>1814</v>
      </c>
      <c r="E31" s="1913">
        <f t="shared" ref="E31:E33" si="11">IFERROR(H31*1000/$C31,"NA")</f>
        <v>67.399999999999991</v>
      </c>
      <c r="F31" s="1913">
        <f t="shared" ref="F31:G33" si="12">IFERROR(I31*1000000/$C31,"NA")</f>
        <v>22.977418005262177</v>
      </c>
      <c r="G31" s="1913">
        <f t="shared" si="12"/>
        <v>9.9337483796143697</v>
      </c>
      <c r="H31" s="691">
        <v>35895.866637800711</v>
      </c>
      <c r="I31" s="691">
        <v>12.237304634983563</v>
      </c>
      <c r="J31" s="2911">
        <v>5.2905119740075133</v>
      </c>
    </row>
    <row r="32" spans="2:10" ht="18" customHeight="1" x14ac:dyDescent="0.2">
      <c r="B32" s="282" t="s">
        <v>168</v>
      </c>
      <c r="C32" s="691">
        <v>34433.147818617203</v>
      </c>
      <c r="D32" s="1909" t="s">
        <v>1814</v>
      </c>
      <c r="E32" s="1913">
        <f t="shared" si="11"/>
        <v>69.899999999999963</v>
      </c>
      <c r="F32" s="1913">
        <f t="shared" si="12"/>
        <v>11.62194963099985</v>
      </c>
      <c r="G32" s="1913">
        <f t="shared" si="12"/>
        <v>0.41334305111906489</v>
      </c>
      <c r="H32" s="691">
        <v>2406.8770325213409</v>
      </c>
      <c r="I32" s="691">
        <v>0.40018030958474149</v>
      </c>
      <c r="J32" s="2911">
        <v>1.4232702378981008E-2</v>
      </c>
    </row>
    <row r="33" spans="2:10" ht="18" customHeight="1" x14ac:dyDescent="0.2">
      <c r="B33" s="282" t="s">
        <v>169</v>
      </c>
      <c r="C33" s="691">
        <v>47191.770591824301</v>
      </c>
      <c r="D33" s="1909" t="s">
        <v>1814</v>
      </c>
      <c r="E33" s="1913">
        <f t="shared" si="11"/>
        <v>60.199999999999982</v>
      </c>
      <c r="F33" s="1913">
        <f t="shared" si="12"/>
        <v>34.975194070147921</v>
      </c>
      <c r="G33" s="1913">
        <f t="shared" si="12"/>
        <v>1.4901673425311357</v>
      </c>
      <c r="H33" s="691">
        <v>2840.9445896278221</v>
      </c>
      <c r="I33" s="691">
        <v>1.6505413349629545</v>
      </c>
      <c r="J33" s="2911">
        <v>7.0323635372157814E-2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58.544096291967101</v>
      </c>
      <c r="D36" s="1909" t="s">
        <v>1814</v>
      </c>
      <c r="E36" s="1913">
        <f t="shared" si="13"/>
        <v>51.411918339265014</v>
      </c>
      <c r="F36" s="1913">
        <f t="shared" si="14"/>
        <v>261.00000000000006</v>
      </c>
      <c r="G36" s="1913">
        <f t="shared" si="14"/>
        <v>1.0000000000000002</v>
      </c>
      <c r="H36" s="691">
        <v>3.0098642978086803</v>
      </c>
      <c r="I36" s="691">
        <v>1.5280009132203417E-2</v>
      </c>
      <c r="J36" s="2911">
        <v>5.854409629196711E-5</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166728.52720355711</v>
      </c>
      <c r="D40" s="1909" t="s">
        <v>1814</v>
      </c>
      <c r="E40" s="628"/>
      <c r="F40" s="628"/>
      <c r="G40" s="628"/>
      <c r="H40" s="1913">
        <f>IF(SUM(H41:H44,H46,H48)=0,"NO",SUM(H41:H44,H46,H48))</f>
        <v>11256.956779559634</v>
      </c>
      <c r="I40" s="1913">
        <f>IF(SUM(I41:I44,I46:I48)=0,"NO",SUM(I41:I44,I46:I48))</f>
        <v>4.1351127843732725</v>
      </c>
      <c r="J40" s="3085">
        <f>IF(SUM(J41:J44,J46:J48)=0,"NO",SUM(J41:J44,J46:J48))</f>
        <v>0.4311470263384663</v>
      </c>
    </row>
    <row r="41" spans="2:10" ht="18" customHeight="1" x14ac:dyDescent="0.2">
      <c r="B41" s="282" t="s">
        <v>167</v>
      </c>
      <c r="C41" s="691">
        <v>92222.664311986606</v>
      </c>
      <c r="D41" s="1909" t="s">
        <v>1814</v>
      </c>
      <c r="E41" s="1913">
        <f t="shared" ref="E41:E43" si="16">IFERROR(H41*1000/$C41,"NA")</f>
        <v>67.40000000000002</v>
      </c>
      <c r="F41" s="1913">
        <f t="shared" ref="F41:G43" si="17">IFERROR(I41*1000000/$C41,"NA")</f>
        <v>18.563912345915131</v>
      </c>
      <c r="G41" s="1913">
        <f t="shared" si="17"/>
        <v>4.2003966653249778</v>
      </c>
      <c r="H41" s="691">
        <v>6215.8075746278992</v>
      </c>
      <c r="I41" s="691">
        <v>1.7120134565944749</v>
      </c>
      <c r="J41" s="2911">
        <v>0.38737177164345338</v>
      </c>
    </row>
    <row r="42" spans="2:10" ht="18" customHeight="1" x14ac:dyDescent="0.2">
      <c r="B42" s="282" t="s">
        <v>168</v>
      </c>
      <c r="C42" s="691">
        <v>57310.499997426297</v>
      </c>
      <c r="D42" s="1909" t="s">
        <v>1814</v>
      </c>
      <c r="E42" s="1913">
        <f t="shared" si="16"/>
        <v>69.900000000000048</v>
      </c>
      <c r="F42" s="1913">
        <f t="shared" si="17"/>
        <v>30.705087472099063</v>
      </c>
      <c r="G42" s="1913">
        <f t="shared" si="17"/>
        <v>0.34333027829658874</v>
      </c>
      <c r="H42" s="691">
        <v>4006.0039498201008</v>
      </c>
      <c r="I42" s="691">
        <v>1.7597239154907076</v>
      </c>
      <c r="J42" s="2911">
        <v>1.9676429913433019E-2</v>
      </c>
    </row>
    <row r="43" spans="2:10" ht="18" customHeight="1" x14ac:dyDescent="0.2">
      <c r="B43" s="282" t="s">
        <v>169</v>
      </c>
      <c r="C43" s="691">
        <v>17193.588773642499</v>
      </c>
      <c r="D43" s="1909" t="s">
        <v>1814</v>
      </c>
      <c r="E43" s="1913">
        <f t="shared" si="16"/>
        <v>60.199999999999882</v>
      </c>
      <c r="F43" s="1913">
        <f t="shared" si="17"/>
        <v>38.555788181544656</v>
      </c>
      <c r="G43" s="1913">
        <f t="shared" si="17"/>
        <v>1.4015137257451789</v>
      </c>
      <c r="H43" s="691">
        <v>1035.0540441732765</v>
      </c>
      <c r="I43" s="691">
        <v>0.66291236683714438</v>
      </c>
      <c r="J43" s="2911">
        <v>2.409705066107818E-2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1.7741205017100101</v>
      </c>
      <c r="D46" s="1909" t="s">
        <v>1814</v>
      </c>
      <c r="E46" s="1913">
        <f t="shared" si="18"/>
        <v>51.411918339265092</v>
      </c>
      <c r="F46" s="1913">
        <f t="shared" si="19"/>
        <v>261.00000000000051</v>
      </c>
      <c r="G46" s="1913">
        <f t="shared" si="19"/>
        <v>1.0000000000000018</v>
      </c>
      <c r="H46" s="691">
        <v>9.1210938357931051E-2</v>
      </c>
      <c r="I46" s="691">
        <v>4.6304545094631353E-4</v>
      </c>
      <c r="J46" s="2911">
        <v>1.7741205017100135E-6</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233332.47018989132</v>
      </c>
      <c r="D50" s="1909" t="s">
        <v>1814</v>
      </c>
      <c r="E50" s="628"/>
      <c r="F50" s="628"/>
      <c r="G50" s="628"/>
      <c r="H50" s="1913">
        <f>IF(SUM(H51:H54,H56,H58)=0,"NO",SUM(H51:H54,H56,H58))</f>
        <v>16267.615442970357</v>
      </c>
      <c r="I50" s="1913">
        <f>IF(SUM(I51:I54,I56:I58)=0,"NO",SUM(I51:I54,I56:I58))</f>
        <v>1.7328860219281188</v>
      </c>
      <c r="J50" s="3085">
        <f>IF(SUM(J51:J54,J56:J58)=0,"NO",SUM(J51:J54,J56:J58))</f>
        <v>0.45913706469118531</v>
      </c>
    </row>
    <row r="51" spans="2:10" ht="18" customHeight="1" x14ac:dyDescent="0.2">
      <c r="B51" s="282" t="s">
        <v>167</v>
      </c>
      <c r="C51" s="691">
        <v>2326.1440358087402</v>
      </c>
      <c r="D51" s="1909" t="s">
        <v>1814</v>
      </c>
      <c r="E51" s="1913">
        <f t="shared" ref="E51:E53" si="21">IFERROR(H51*1000/$C51,"NA")</f>
        <v>67.400000000000077</v>
      </c>
      <c r="F51" s="1913">
        <f t="shared" ref="F51:G53" si="22">IFERROR(I51*1000000/$C51,"NA")</f>
        <v>20.913851969439296</v>
      </c>
      <c r="G51" s="1913">
        <f t="shared" si="22"/>
        <v>0.99876461803873373</v>
      </c>
      <c r="H51" s="691">
        <v>156.78210801350929</v>
      </c>
      <c r="I51" s="691">
        <v>4.8648632024498095E-2</v>
      </c>
      <c r="J51" s="2911">
        <v>2.323270359427595E-3</v>
      </c>
    </row>
    <row r="52" spans="2:10" ht="18" customHeight="1" x14ac:dyDescent="0.2">
      <c r="B52" s="282" t="s">
        <v>168</v>
      </c>
      <c r="C52" s="691">
        <v>228266.003736343</v>
      </c>
      <c r="D52" s="1909" t="s">
        <v>1814</v>
      </c>
      <c r="E52" s="1913">
        <f t="shared" si="21"/>
        <v>69.900000000000048</v>
      </c>
      <c r="F52" s="1913">
        <f t="shared" si="22"/>
        <v>6.7939548964192626</v>
      </c>
      <c r="G52" s="1913">
        <f t="shared" si="22"/>
        <v>1.9864885298062285</v>
      </c>
      <c r="H52" s="691">
        <v>15955.793661170386</v>
      </c>
      <c r="I52" s="691">
        <v>1.5508289337705854</v>
      </c>
      <c r="J52" s="2911">
        <v>0.45344779816695102</v>
      </c>
    </row>
    <row r="53" spans="2:10" ht="18" customHeight="1" x14ac:dyDescent="0.2">
      <c r="B53" s="282" t="s">
        <v>169</v>
      </c>
      <c r="C53" s="691">
        <v>1610.64063453325</v>
      </c>
      <c r="D53" s="1909" t="s">
        <v>1814</v>
      </c>
      <c r="E53" s="1913">
        <f t="shared" si="21"/>
        <v>60.200000000000074</v>
      </c>
      <c r="F53" s="1913">
        <f t="shared" si="22"/>
        <v>11.989388331055347</v>
      </c>
      <c r="G53" s="1913">
        <f t="shared" si="22"/>
        <v>1.3884626611624182</v>
      </c>
      <c r="H53" s="691">
        <v>96.960566198901773</v>
      </c>
      <c r="I53" s="691">
        <v>1.9310596029196526E-2</v>
      </c>
      <c r="J53" s="2911">
        <v>2.2363143816003621E-3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1129.68178320632</v>
      </c>
      <c r="D56" s="1909" t="s">
        <v>1814</v>
      </c>
      <c r="E56" s="1913">
        <f t="shared" si="23"/>
        <v>51.411918339265142</v>
      </c>
      <c r="F56" s="1913">
        <f t="shared" si="24"/>
        <v>101.00000000000027</v>
      </c>
      <c r="G56" s="1913">
        <f t="shared" si="24"/>
        <v>1.0000000000000027</v>
      </c>
      <c r="H56" s="691">
        <v>58.079107587558752</v>
      </c>
      <c r="I56" s="691">
        <v>0.11409786010383863</v>
      </c>
      <c r="J56" s="2911">
        <v>1.1296817832063229E-3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3298.2596552578193</v>
      </c>
      <c r="D60" s="1909" t="s">
        <v>1814</v>
      </c>
      <c r="E60" s="628"/>
      <c r="F60" s="628"/>
      <c r="G60" s="628"/>
      <c r="H60" s="1913">
        <f>IF(SUM(H61:H64,H66,H68)=0,"NO",SUM(H61:H64,H66,H68))</f>
        <v>222.33734068982955</v>
      </c>
      <c r="I60" s="1913">
        <f>IF(SUM(I61:I64,I66:I68)=0,"NO",SUM(I61:I64,I66:I68))</f>
        <v>0.2292111167817025</v>
      </c>
      <c r="J60" s="3085">
        <f>IF(SUM(J61:J64,J66:J68)=0,"NO",SUM(J61:J64,J66:J68))</f>
        <v>3.0561482237560331E-3</v>
      </c>
    </row>
    <row r="61" spans="2:10" ht="18" customHeight="1" x14ac:dyDescent="0.2">
      <c r="B61" s="282" t="s">
        <v>167</v>
      </c>
      <c r="C61" s="691">
        <v>3292.3884814523699</v>
      </c>
      <c r="D61" s="1909" t="s">
        <v>1814</v>
      </c>
      <c r="E61" s="1913">
        <f t="shared" ref="E61:E63" si="26">IFERROR(H61*1000/$C61,"NA")</f>
        <v>67.400000000000105</v>
      </c>
      <c r="F61" s="1913">
        <f t="shared" ref="F61:G63" si="27">IFERROR(I61*1000000/$C61,"NA")</f>
        <v>69.618490671122345</v>
      </c>
      <c r="G61" s="1913">
        <f t="shared" si="27"/>
        <v>0.92824654228163128</v>
      </c>
      <c r="H61" s="691">
        <v>221.90698364989009</v>
      </c>
      <c r="I61" s="691">
        <v>0.2292111167817025</v>
      </c>
      <c r="J61" s="2911">
        <v>3.0561482237560331E-3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5.8711738054495504</v>
      </c>
      <c r="D68" s="1909" t="s">
        <v>1814</v>
      </c>
      <c r="E68" s="628"/>
      <c r="F68" s="628"/>
      <c r="G68" s="628"/>
      <c r="H68" s="1913">
        <f>H69</f>
        <v>0.43035703993945168</v>
      </c>
      <c r="I68" s="1913" t="str">
        <f>I69</f>
        <v>NE</v>
      </c>
      <c r="J68" s="3085" t="str">
        <f>J69</f>
        <v>NE</v>
      </c>
    </row>
    <row r="69" spans="2:10" ht="18" customHeight="1" x14ac:dyDescent="0.2">
      <c r="B69" s="3105" t="s">
        <v>252</v>
      </c>
      <c r="C69" s="691">
        <v>5.8711738054495504</v>
      </c>
      <c r="D69" s="1909" t="s">
        <v>1814</v>
      </c>
      <c r="E69" s="3103">
        <f t="shared" ref="E69" si="30">IFERROR(H69*1000/$C69,"NA")</f>
        <v>73.29999999999994</v>
      </c>
      <c r="F69" s="3103" t="str">
        <f>IFERROR(I69*1000000/$C69,"NA")</f>
        <v>NA</v>
      </c>
      <c r="G69" s="3103" t="str">
        <f>IFERROR(J69*1000000/$C69,"NA")</f>
        <v>NA</v>
      </c>
      <c r="H69" s="691">
        <v>0.43035703993945168</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26030</v>
      </c>
      <c r="D81" s="1909" t="s">
        <v>1814</v>
      </c>
      <c r="E81" s="628"/>
      <c r="F81" s="628"/>
      <c r="G81" s="628"/>
      <c r="H81" s="1913">
        <f>IF(SUM(H82:H84,H86)=0,"NO",SUM(H82:H84,H86))</f>
        <v>1819.1272383667856</v>
      </c>
      <c r="I81" s="1913">
        <f>IF(SUM(I82:I86)=0,"NO",SUM(I82:I86))</f>
        <v>0.10403999999999999</v>
      </c>
      <c r="J81" s="3085">
        <f>IF(SUM(J82:J86)=0,"NO",SUM(J82:J86))</f>
        <v>0.78029999999999988</v>
      </c>
    </row>
    <row r="82" spans="2:10" ht="18" customHeight="1" x14ac:dyDescent="0.2">
      <c r="B82" s="282" t="s">
        <v>132</v>
      </c>
      <c r="C82" s="691">
        <v>26010</v>
      </c>
      <c r="D82" s="1909" t="s">
        <v>1814</v>
      </c>
      <c r="E82" s="1913">
        <f t="shared" ref="E82:E85" si="36">IFERROR(H82*1000/$C82,"NA")</f>
        <v>69.90000000000002</v>
      </c>
      <c r="F82" s="1913">
        <f t="shared" ref="F82:G85" si="37">IFERROR(I82*1000000/$C82,"NA")</f>
        <v>4</v>
      </c>
      <c r="G82" s="1913">
        <f t="shared" si="37"/>
        <v>29.999999999999996</v>
      </c>
      <c r="H82" s="691">
        <v>1818.0990000000004</v>
      </c>
      <c r="I82" s="691">
        <v>0.10403999999999999</v>
      </c>
      <c r="J82" s="2911">
        <v>0.78029999999999988</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v>20</v>
      </c>
      <c r="D84" s="1909" t="s">
        <v>1814</v>
      </c>
      <c r="E84" s="1913">
        <f t="shared" si="36"/>
        <v>51.411918339265</v>
      </c>
      <c r="F84" s="1913" t="str">
        <f t="shared" si="37"/>
        <v>NA</v>
      </c>
      <c r="G84" s="1913" t="str">
        <f t="shared" si="37"/>
        <v>NA</v>
      </c>
      <c r="H84" s="691">
        <v>1.0282383667853001</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26919.520826842981</v>
      </c>
      <c r="D88" s="1909" t="s">
        <v>1814</v>
      </c>
      <c r="E88" s="628"/>
      <c r="F88" s="628"/>
      <c r="G88" s="628"/>
      <c r="H88" s="1913">
        <f>IF(SUM(H89:H92,H94,H96)=0,"NO",SUM(H89:H92,H94,H96))</f>
        <v>1998.5579365194201</v>
      </c>
      <c r="I88" s="3334">
        <f>IF(SUM(I89:I92,I94:I96)=0,"NE",SUM(I89:I92,I94:I96))</f>
        <v>4.2449229324050188</v>
      </c>
      <c r="J88" s="3335">
        <f>IF(SUM(J89:J92,J94:J96)=0,"NE",SUM(J89:J92,J94:J96))</f>
        <v>3.5830253408983749E-2</v>
      </c>
    </row>
    <row r="89" spans="2:10" ht="18" customHeight="1" x14ac:dyDescent="0.2">
      <c r="B89" s="282" t="s">
        <v>190</v>
      </c>
      <c r="C89" s="691">
        <v>7838.8799999999992</v>
      </c>
      <c r="D89" s="1909" t="s">
        <v>1814</v>
      </c>
      <c r="E89" s="1913">
        <f t="shared" ref="E89:E91" si="39">IFERROR(H89*1000/$C89,"NA")</f>
        <v>73.600000000000009</v>
      </c>
      <c r="F89" s="1913">
        <f t="shared" ref="F89:G91" si="40">IFERROR(I89*1000000/$C89,"NA")</f>
        <v>7.0000000000000009</v>
      </c>
      <c r="G89" s="1913">
        <f t="shared" si="40"/>
        <v>2</v>
      </c>
      <c r="H89" s="691">
        <v>576.94156799999996</v>
      </c>
      <c r="I89" s="3336">
        <v>5.4872160000000003E-2</v>
      </c>
      <c r="J89" s="3337">
        <v>1.5677759999999999E-2</v>
      </c>
    </row>
    <row r="90" spans="2:10" ht="18" customHeight="1" x14ac:dyDescent="0.2">
      <c r="B90" s="282" t="s">
        <v>191</v>
      </c>
      <c r="C90" s="691">
        <v>2178.0050330245699</v>
      </c>
      <c r="D90" s="1909" t="s">
        <v>1814</v>
      </c>
      <c r="E90" s="1913">
        <f t="shared" si="39"/>
        <v>69.899999999999935</v>
      </c>
      <c r="F90" s="1913">
        <f t="shared" si="40"/>
        <v>6.999999999999992</v>
      </c>
      <c r="G90" s="1913">
        <f t="shared" si="40"/>
        <v>1.999999999999998</v>
      </c>
      <c r="H90" s="691">
        <v>152.24255180841729</v>
      </c>
      <c r="I90" s="3336">
        <v>1.5246035231171972E-2</v>
      </c>
      <c r="J90" s="3337">
        <v>4.3560100660491353E-3</v>
      </c>
    </row>
    <row r="91" spans="2:10" ht="18" customHeight="1" x14ac:dyDescent="0.2">
      <c r="B91" s="282" t="s">
        <v>167</v>
      </c>
      <c r="C91" s="691">
        <v>11040.759269927401</v>
      </c>
      <c r="D91" s="1909" t="s">
        <v>1814</v>
      </c>
      <c r="E91" s="1913">
        <f t="shared" si="39"/>
        <v>67.399999999999721</v>
      </c>
      <c r="F91" s="1913">
        <f t="shared" si="40"/>
        <v>359.99999999999841</v>
      </c>
      <c r="G91" s="1913">
        <f t="shared" si="40"/>
        <v>0.89999999999999625</v>
      </c>
      <c r="H91" s="691">
        <v>744.14717479310377</v>
      </c>
      <c r="I91" s="3336">
        <v>3.9746733371738467</v>
      </c>
      <c r="J91" s="3337">
        <v>9.9366833429346182E-3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59.8</v>
      </c>
      <c r="D94" s="1909" t="s">
        <v>1814</v>
      </c>
      <c r="E94" s="1913">
        <f t="shared" ref="E94:E95" si="43">IFERROR(H94*1000/$C94,"NA")</f>
        <v>51.411918339265007</v>
      </c>
      <c r="F94" s="1913">
        <f t="shared" si="42"/>
        <v>243</v>
      </c>
      <c r="G94" s="1913">
        <f t="shared" si="42"/>
        <v>1.0000000000000002</v>
      </c>
      <c r="H94" s="691">
        <v>3.074432716688047</v>
      </c>
      <c r="I94" s="3336">
        <v>1.45314E-2</v>
      </c>
      <c r="J94" s="3337">
        <v>5.9800000000000003E-5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5802.0765238910089</v>
      </c>
      <c r="D96" s="1909" t="s">
        <v>1814</v>
      </c>
      <c r="E96" s="628"/>
      <c r="F96" s="628"/>
      <c r="G96" s="628"/>
      <c r="H96" s="1913">
        <f>IF(SUM(H97:H98)=0,"NO",SUM(H97:H98))</f>
        <v>522.15220920121101</v>
      </c>
      <c r="I96" s="3334">
        <f>IF(SUM(I97:I98)=0,"NE",SUM(I97:I98))</f>
        <v>0.18559999999999999</v>
      </c>
      <c r="J96" s="3335">
        <f>IF(SUM(J97:J98)=0,"NE",SUM(J97:J98))</f>
        <v>5.7999999999999996E-3</v>
      </c>
    </row>
    <row r="97" spans="2:10" ht="18" customHeight="1" x14ac:dyDescent="0.2">
      <c r="B97" s="2572" t="s">
        <v>2260</v>
      </c>
      <c r="C97" s="691">
        <v>5800</v>
      </c>
      <c r="D97" s="1909" t="s">
        <v>1814</v>
      </c>
      <c r="E97" s="3103">
        <f t="shared" ref="E97" si="44">IFERROR(H97*1000/$C97,"NA")</f>
        <v>90</v>
      </c>
      <c r="F97" s="3103">
        <f>IFERROR(I97*1000000/$C97,"NA")</f>
        <v>32</v>
      </c>
      <c r="G97" s="3103">
        <f>IFERROR(J97*1000000/$C97,"NA")</f>
        <v>1</v>
      </c>
      <c r="H97" s="691">
        <v>522</v>
      </c>
      <c r="I97" s="3336">
        <v>0.18559999999999999</v>
      </c>
      <c r="J97" s="3337">
        <v>5.7999999999999996E-3</v>
      </c>
    </row>
    <row r="98" spans="2:10" ht="18" customHeight="1" x14ac:dyDescent="0.2">
      <c r="B98" s="2572" t="s">
        <v>252</v>
      </c>
      <c r="C98" s="691">
        <v>2.0765238910090802</v>
      </c>
      <c r="D98" s="1909" t="s">
        <v>1814</v>
      </c>
      <c r="E98" s="3103">
        <f t="shared" ref="E98" si="45">IFERROR(H98*1000/$C98,"NA")</f>
        <v>73.30000000000004</v>
      </c>
      <c r="F98" s="3103" t="str">
        <f>IFERROR(I98*1000000/$C98,"NA")</f>
        <v>NA</v>
      </c>
      <c r="G98" s="3103" t="str">
        <f>IFERROR(J98*1000000/$C98,"NA")</f>
        <v>NA</v>
      </c>
      <c r="H98" s="691">
        <v>0.15220920121096565</v>
      </c>
      <c r="I98" s="3336" t="s">
        <v>2154</v>
      </c>
      <c r="J98" s="3337" t="s">
        <v>2154</v>
      </c>
    </row>
    <row r="99" spans="2:10" ht="18" customHeight="1" x14ac:dyDescent="0.2">
      <c r="B99" s="1241" t="s">
        <v>193</v>
      </c>
      <c r="C99" s="1913">
        <f>IF(SUM(C100:C104)=0,"NO",SUM(C100:C104))</f>
        <v>15140.751627165375</v>
      </c>
      <c r="D99" s="1909" t="s">
        <v>1814</v>
      </c>
      <c r="E99" s="628"/>
      <c r="F99" s="628"/>
      <c r="G99" s="628"/>
      <c r="H99" s="1913">
        <f>IF(SUM(H100:H103)=0,"NO",SUM(H100:H103))</f>
        <v>788.37085168172166</v>
      </c>
      <c r="I99" s="1913">
        <f>IF(SUM(I100:I104)=0,"NO",SUM(I100:I104))</f>
        <v>0.14612020364585765</v>
      </c>
      <c r="J99" s="3085">
        <f>IF(SUM(J100:J104)=0,"NO",SUM(J100:J104))</f>
        <v>1.5760749168665354E-3</v>
      </c>
    </row>
    <row r="100" spans="2:10" ht="18" customHeight="1" x14ac:dyDescent="0.2">
      <c r="B100" s="282" t="s">
        <v>132</v>
      </c>
      <c r="C100" s="1913">
        <f>IF(SUM(C106,C113:C116)=0,"NO",SUM(C106,C113:C116))</f>
        <v>672.838105749026</v>
      </c>
      <c r="D100" s="1909" t="s">
        <v>1814</v>
      </c>
      <c r="E100" s="3103">
        <f t="shared" ref="E100:E104" si="46">IFERROR(H100*1000/$C100,"NA")</f>
        <v>65.635606257555381</v>
      </c>
      <c r="F100" s="3103">
        <f t="shared" ref="F100:G104" si="47">IFERROR(I100*1000000/$C100,"NA")</f>
        <v>48.691102564952068</v>
      </c>
      <c r="G100" s="3103">
        <f t="shared" si="47"/>
        <v>0.19476441025980826</v>
      </c>
      <c r="H100" s="1913">
        <f>IF(SUM(H106,H113:H116)=0,"NO",SUM(H106,H113:H116))</f>
        <v>44.162136984022482</v>
      </c>
      <c r="I100" s="1913">
        <f>IF(SUM(I106,I113:I116)=0,"NO",SUM(I106,I113:I116))</f>
        <v>3.2761229216633887E-2</v>
      </c>
      <c r="J100" s="3085">
        <f>IF(SUM(J106,J113:J116)=0,"NO",SUM(J106,J113:J116))</f>
        <v>1.3104491686653555E-4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14450.300000000001</v>
      </c>
      <c r="D102" s="1909" t="s">
        <v>1814</v>
      </c>
      <c r="E102" s="3103">
        <f t="shared" si="46"/>
        <v>51.411918339264986</v>
      </c>
      <c r="F102" s="3103">
        <f t="shared" si="47"/>
        <v>7.8447488584474891</v>
      </c>
      <c r="G102" s="3103">
        <f t="shared" si="47"/>
        <v>9.9999999999999992E-2</v>
      </c>
      <c r="H102" s="1913">
        <f t="shared" si="48"/>
        <v>742.91764357788088</v>
      </c>
      <c r="I102" s="1913">
        <f t="shared" si="48"/>
        <v>0.11335897442922375</v>
      </c>
      <c r="J102" s="3085">
        <f t="shared" si="48"/>
        <v>1.4450299999999999E-3</v>
      </c>
    </row>
    <row r="103" spans="2:10" ht="18" customHeight="1" x14ac:dyDescent="0.2">
      <c r="B103" s="282" t="s">
        <v>175</v>
      </c>
      <c r="C103" s="1913">
        <f>IF(SUM(C109,C120)=0,"NO",SUM(C109,C120))</f>
        <v>17.6135214163486</v>
      </c>
      <c r="D103" s="1909" t="s">
        <v>1814</v>
      </c>
      <c r="E103" s="3103">
        <f t="shared" si="46"/>
        <v>73.300000000000139</v>
      </c>
      <c r="F103" s="3103" t="str">
        <f t="shared" si="47"/>
        <v>NA</v>
      </c>
      <c r="G103" s="3103" t="str">
        <f t="shared" si="47"/>
        <v>NA</v>
      </c>
      <c r="H103" s="1913">
        <f t="shared" si="48"/>
        <v>1.2910711198183549</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14450.300000000001</v>
      </c>
      <c r="D105" s="1909" t="s">
        <v>1814</v>
      </c>
      <c r="E105" s="628"/>
      <c r="F105" s="628"/>
      <c r="G105" s="628"/>
      <c r="H105" s="1913">
        <f>IF(SUM(H106:H109)=0,"NO",SUM(H106:H109))</f>
        <v>742.91764357788088</v>
      </c>
      <c r="I105" s="1913">
        <f>IF(SUM(I106:I110)=0,"NO",SUM(I106:I110))</f>
        <v>0.11335897442922375</v>
      </c>
      <c r="J105" s="3085">
        <f>IF(SUM(J106:J110)=0,"NO",SUM(J106:J110))</f>
        <v>1.4450299999999999E-3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14450.300000000001</v>
      </c>
      <c r="D108" s="1909" t="s">
        <v>1814</v>
      </c>
      <c r="E108" s="3103">
        <f t="shared" si="49"/>
        <v>51.411918339264986</v>
      </c>
      <c r="F108" s="3103">
        <f t="shared" si="50"/>
        <v>7.8447488584474891</v>
      </c>
      <c r="G108" s="3103">
        <f t="shared" si="50"/>
        <v>9.9999999999999992E-2</v>
      </c>
      <c r="H108" s="691">
        <v>742.91764357788088</v>
      </c>
      <c r="I108" s="691">
        <v>0.11335897442922375</v>
      </c>
      <c r="J108" s="2911">
        <v>1.4450299999999999E-3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690.45162716537459</v>
      </c>
      <c r="D111" s="1909" t="s">
        <v>1814</v>
      </c>
      <c r="E111" s="628"/>
      <c r="F111" s="628"/>
      <c r="G111" s="628"/>
      <c r="H111" s="1913">
        <f>H112</f>
        <v>45.453208103840836</v>
      </c>
      <c r="I111" s="1913">
        <f>I112</f>
        <v>3.2761229216633887E-2</v>
      </c>
      <c r="J111" s="3085">
        <f>J112</f>
        <v>1.3104491686653555E-4</v>
      </c>
    </row>
    <row r="112" spans="2:10" ht="18" customHeight="1" x14ac:dyDescent="0.2">
      <c r="B112" s="3089" t="s">
        <v>2148</v>
      </c>
      <c r="C112" s="3099">
        <f>IF(SUM(C113:C116,C118:C121)=0,"NO",SUM(C113:C116,C118:C121))</f>
        <v>690.45162716537459</v>
      </c>
      <c r="D112" s="3099" t="s">
        <v>1814</v>
      </c>
      <c r="E112" s="628"/>
      <c r="F112" s="628"/>
      <c r="G112" s="628"/>
      <c r="H112" s="3099">
        <f>IF(SUM(H113:H116,H118:H120)=0,"NO",SUM(H113:H116,H118:H120))</f>
        <v>45.453208103840836</v>
      </c>
      <c r="I112" s="3099">
        <f>IF(SUM(I113:I116,I118:I121)=0,"NO",SUM(I113:I116,I118:I121))</f>
        <v>3.2761229216633887E-2</v>
      </c>
      <c r="J112" s="3100">
        <f>IF(SUM(J113:J116,J118:J121)=0,"NO",SUM(J113:J116,J118:J121))</f>
        <v>1.3104491686653555E-4</v>
      </c>
    </row>
    <row r="113" spans="2:10" ht="18" customHeight="1" x14ac:dyDescent="0.2">
      <c r="B113" s="282" t="s">
        <v>167</v>
      </c>
      <c r="C113" s="691">
        <v>672.838105749026</v>
      </c>
      <c r="D113" s="1913" t="s">
        <v>1814</v>
      </c>
      <c r="E113" s="1913">
        <f t="shared" ref="E113:E115" si="51">IFERROR(H113*1000/$C113,"NA")</f>
        <v>65.635606257555381</v>
      </c>
      <c r="F113" s="1913">
        <f t="shared" ref="F113:G115" si="52">IFERROR(I113*1000000/$C113,"NA")</f>
        <v>48.691102564952068</v>
      </c>
      <c r="G113" s="1913">
        <f t="shared" si="52"/>
        <v>0.19476441025980826</v>
      </c>
      <c r="H113" s="691">
        <v>44.162136984022482</v>
      </c>
      <c r="I113" s="691">
        <v>3.2761229216633887E-2</v>
      </c>
      <c r="J113" s="2911">
        <v>1.3104491686653555E-4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17.6135214163486</v>
      </c>
      <c r="D120" s="1909" t="s">
        <v>1814</v>
      </c>
      <c r="E120" s="3103">
        <f t="shared" si="53"/>
        <v>73.300000000000139</v>
      </c>
      <c r="F120" s="3103" t="str">
        <f t="shared" si="54"/>
        <v>NA</v>
      </c>
      <c r="G120" s="3103" t="str">
        <f t="shared" si="54"/>
        <v>NA</v>
      </c>
      <c r="H120" s="691">
        <v>1.2910711198183549</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377760.49175006826</v>
      </c>
      <c r="D10" s="3109" t="s">
        <v>1814</v>
      </c>
      <c r="E10" s="2135"/>
      <c r="F10" s="2135"/>
      <c r="G10" s="2135"/>
      <c r="H10" s="3109">
        <f>IF(SUM(H11:H15)=0,"NO",SUM(H11:H15))</f>
        <v>18154.119522443078</v>
      </c>
      <c r="I10" s="3109">
        <f>IF(SUM(I11:I16)=0,"NO",SUM(I11:I16))</f>
        <v>52.702605381084553</v>
      </c>
      <c r="J10" s="3109">
        <f>IF(SUM(J11:J16)=0,"NO",SUM(J11:J16))</f>
        <v>0.66328647233038762</v>
      </c>
      <c r="K10" s="420" t="str">
        <f>IF(SUM(K11:K16)=0,"NO",SUM(K11:K16))</f>
        <v>NO</v>
      </c>
    </row>
    <row r="11" spans="2:12" ht="18" customHeight="1" x14ac:dyDescent="0.2">
      <c r="B11" s="282" t="s">
        <v>132</v>
      </c>
      <c r="C11" s="1913">
        <f>IF(SUM(C18,C39,C60)=0,"NO",SUM(C18,C39,C60))</f>
        <v>132871.5917500683</v>
      </c>
      <c r="D11" s="3109" t="s">
        <v>1814</v>
      </c>
      <c r="E11" s="1913">
        <f t="shared" ref="E11:E16" si="0">IFERROR(H11*1000/$C11,"NA")</f>
        <v>68.506151938660423</v>
      </c>
      <c r="F11" s="1913">
        <f t="shared" ref="F11:G16" si="1">IFERROR(I11*1000000/$C11,"NA")</f>
        <v>9.8413337991254952</v>
      </c>
      <c r="G11" s="1913">
        <f t="shared" si="1"/>
        <v>2.7923853478588772</v>
      </c>
      <c r="H11" s="1913">
        <f>IF(SUM(H18,H39,H60)=0,"NO",SUM(H18,H39,H60))</f>
        <v>9102.5214527618391</v>
      </c>
      <c r="I11" s="1913">
        <f>IF(SUM(I18,I39,I60)=0,"NO",SUM(I18,I39,I60))</f>
        <v>1.3076336868335514</v>
      </c>
      <c r="J11" s="1913">
        <f>IF(SUM(J18,J39,J60)=0,"NO",SUM(J18,J39,J60))</f>
        <v>0.37102868594957722</v>
      </c>
      <c r="K11" s="3085" t="str">
        <f>IF(SUM(K18,K39,K60)=0,"NO",SUM(K18,K39,K60))</f>
        <v>NO</v>
      </c>
    </row>
    <row r="12" spans="2:12" ht="18" customHeight="1" x14ac:dyDescent="0.2">
      <c r="B12" s="282" t="s">
        <v>133</v>
      </c>
      <c r="C12" s="1913">
        <f t="shared" ref="C12:C16" si="2">IF(SUM(C19,C40,C61)=0,"NO",SUM(C19,C40,C61))</f>
        <v>2768.5000000000005</v>
      </c>
      <c r="D12" s="3109" t="s">
        <v>1814</v>
      </c>
      <c r="E12" s="1913">
        <f t="shared" si="0"/>
        <v>92.523929925952658</v>
      </c>
      <c r="F12" s="1913">
        <f t="shared" si="1"/>
        <v>0.95238095238095233</v>
      </c>
      <c r="G12" s="1913">
        <f t="shared" si="1"/>
        <v>0.66666666666666641</v>
      </c>
      <c r="H12" s="1913">
        <f t="shared" ref="H12:K16" si="3">IF(SUM(H19,H40,H61)=0,"NO",SUM(H19,H40,H61))</f>
        <v>256.15249999999997</v>
      </c>
      <c r="I12" s="1913">
        <f t="shared" si="3"/>
        <v>2.6366666666666669E-3</v>
      </c>
      <c r="J12" s="1913">
        <f t="shared" si="3"/>
        <v>1.8456666666666662E-3</v>
      </c>
      <c r="K12" s="3085" t="str">
        <f t="shared" si="3"/>
        <v>NO</v>
      </c>
    </row>
    <row r="13" spans="2:12" ht="18" customHeight="1" x14ac:dyDescent="0.2">
      <c r="B13" s="282" t="s">
        <v>134</v>
      </c>
      <c r="C13" s="1913">
        <f t="shared" si="2"/>
        <v>170888.4</v>
      </c>
      <c r="D13" s="3109" t="s">
        <v>1814</v>
      </c>
      <c r="E13" s="1913">
        <f t="shared" si="0"/>
        <v>51.468944467156582</v>
      </c>
      <c r="F13" s="1913">
        <f t="shared" si="1"/>
        <v>0.90909090909090884</v>
      </c>
      <c r="G13" s="1913">
        <f t="shared" si="1"/>
        <v>0.90909090909090895</v>
      </c>
      <c r="H13" s="1913">
        <f t="shared" si="3"/>
        <v>8795.4455696812402</v>
      </c>
      <c r="I13" s="1913">
        <f t="shared" si="3"/>
        <v>0.15535309090909086</v>
      </c>
      <c r="J13" s="1913">
        <f t="shared" si="3"/>
        <v>0.15535309090909089</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71232.000000000015</v>
      </c>
      <c r="D16" s="3109" t="s">
        <v>1814</v>
      </c>
      <c r="E16" s="1913">
        <f t="shared" si="0"/>
        <v>77.514797763216762</v>
      </c>
      <c r="F16" s="1913">
        <f t="shared" si="1"/>
        <v>719.29725315413339</v>
      </c>
      <c r="G16" s="1913">
        <f t="shared" si="1"/>
        <v>1.8960443172317607</v>
      </c>
      <c r="H16" s="1913">
        <f t="shared" si="3"/>
        <v>5521.534074269458</v>
      </c>
      <c r="I16" s="1913">
        <f t="shared" si="3"/>
        <v>51.236981936675242</v>
      </c>
      <c r="J16" s="1913">
        <f t="shared" si="3"/>
        <v>0.1350590288050528</v>
      </c>
      <c r="K16" s="3085" t="str">
        <f t="shared" si="3"/>
        <v>NO</v>
      </c>
    </row>
    <row r="17" spans="2:11" ht="18" customHeight="1" x14ac:dyDescent="0.2">
      <c r="B17" s="1241" t="s">
        <v>1942</v>
      </c>
      <c r="C17" s="3109">
        <f>IF(SUM(C18:C23)=0,"NO",SUM(C18:C23))</f>
        <v>74540.899999999994</v>
      </c>
      <c r="D17" s="3109" t="s">
        <v>1814</v>
      </c>
      <c r="E17" s="628"/>
      <c r="F17" s="628"/>
      <c r="G17" s="628"/>
      <c r="H17" s="3078">
        <f>IF(SUM(H18:H22)=0,"NO",SUM(H18:H22))</f>
        <v>4360.5494560528368</v>
      </c>
      <c r="I17" s="3078">
        <f>IF(SUM(I18:I23)=0,"NO",SUM(I18:I23))</f>
        <v>8.2909633333333316E-2</v>
      </c>
      <c r="J17" s="3110">
        <f>IF(SUM(J18:J23)=0,"NO",SUM(J18:J23))</f>
        <v>8.731607142857141E-2</v>
      </c>
      <c r="K17" s="3085" t="str">
        <f>IF(SUM(K18:K23)=0,"NO",SUM(K18:K23))</f>
        <v>NO</v>
      </c>
    </row>
    <row r="18" spans="2:11" ht="18" customHeight="1" x14ac:dyDescent="0.2">
      <c r="B18" s="282" t="s">
        <v>132</v>
      </c>
      <c r="C18" s="3109">
        <f>IF(SUM(C26,C33)=0,"NO",SUM(C26,C33))</f>
        <v>26577.199999999997</v>
      </c>
      <c r="D18" s="3109" t="s">
        <v>1814</v>
      </c>
      <c r="E18" s="1913">
        <f t="shared" ref="E18" si="4">IFERROR(H18*1000/$C18,"NA")</f>
        <v>68.349008548680828</v>
      </c>
      <c r="F18" s="1913">
        <f t="shared" ref="F18:G23" si="5">IFERROR(I18*1000000/$C18,"NA")</f>
        <v>1.3415756290927485</v>
      </c>
      <c r="G18" s="1913">
        <f t="shared" si="5"/>
        <v>1.5896497033260872</v>
      </c>
      <c r="H18" s="3109">
        <f>IF(SUM(H26,H33)=0,"NO",SUM(H26,H33))</f>
        <v>1816.5252699999999</v>
      </c>
      <c r="I18" s="3109">
        <f>IF(SUM(I26,I33)=0,"NO",SUM(I26,I33))</f>
        <v>3.5655323809523791E-2</v>
      </c>
      <c r="J18" s="3109">
        <f>IF(SUM(J26,J33)=0,"NO",SUM(J26,J33))</f>
        <v>4.2248438095238081E-2</v>
      </c>
      <c r="K18" s="3085" t="str">
        <f>IF(SUM(K26,K33)=0,"NO",SUM(K26,K33))</f>
        <v>NO</v>
      </c>
    </row>
    <row r="19" spans="2:11" ht="18" customHeight="1" x14ac:dyDescent="0.2">
      <c r="B19" s="282" t="s">
        <v>133</v>
      </c>
      <c r="C19" s="3109">
        <f t="shared" ref="C19:C21" si="6">IF(SUM(C27,C34)=0,"NO",SUM(C27,C34))</f>
        <v>2657.7000000000003</v>
      </c>
      <c r="D19" s="3109" t="s">
        <v>1814</v>
      </c>
      <c r="E19" s="1913">
        <f t="shared" ref="E19:E23" si="7">IFERROR(H19*1000/$C19,"NA")</f>
        <v>92.516273469541318</v>
      </c>
      <c r="F19" s="1913">
        <f t="shared" si="5"/>
        <v>0.95238095238095233</v>
      </c>
      <c r="G19" s="1913">
        <f t="shared" si="5"/>
        <v>0.66666666666666641</v>
      </c>
      <c r="H19" s="3109">
        <f t="shared" ref="H19:K21" si="8">IF(SUM(H27,H34)=0,"NO",SUM(H27,H34))</f>
        <v>245.88049999999998</v>
      </c>
      <c r="I19" s="3109">
        <f t="shared" si="8"/>
        <v>2.5311428571428572E-3</v>
      </c>
      <c r="J19" s="3109">
        <f t="shared" si="8"/>
        <v>1.7717999999999996E-3</v>
      </c>
      <c r="K19" s="3085" t="str">
        <f t="shared" si="8"/>
        <v>NO</v>
      </c>
    </row>
    <row r="20" spans="2:11" ht="18" customHeight="1" x14ac:dyDescent="0.2">
      <c r="B20" s="282" t="s">
        <v>134</v>
      </c>
      <c r="C20" s="3109">
        <f t="shared" si="6"/>
        <v>44647.8</v>
      </c>
      <c r="D20" s="3109" t="s">
        <v>1814</v>
      </c>
      <c r="E20" s="1913">
        <f t="shared" si="7"/>
        <v>51.472719508079606</v>
      </c>
      <c r="F20" s="1913">
        <f t="shared" si="5"/>
        <v>0.90909090909090895</v>
      </c>
      <c r="G20" s="1913">
        <f t="shared" si="5"/>
        <v>0.90909090909090895</v>
      </c>
      <c r="H20" s="3109">
        <f t="shared" si="8"/>
        <v>2298.143686052837</v>
      </c>
      <c r="I20" s="3109">
        <f t="shared" si="8"/>
        <v>4.0588909090909085E-2</v>
      </c>
      <c r="J20" s="3109">
        <f t="shared" si="8"/>
        <v>4.0588909090909085E-2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658.2</v>
      </c>
      <c r="D23" s="3109" t="s">
        <v>1814</v>
      </c>
      <c r="E23" s="1913">
        <f t="shared" si="7"/>
        <v>78.58482573359602</v>
      </c>
      <c r="F23" s="1913">
        <f t="shared" si="5"/>
        <v>6.2811570582764746</v>
      </c>
      <c r="G23" s="1913">
        <f t="shared" si="5"/>
        <v>4.1126165943850532</v>
      </c>
      <c r="H23" s="3109">
        <f>IF(SUM(H31,H37)=0,"NO",SUM(H31,H37))</f>
        <v>51.724532297852903</v>
      </c>
      <c r="I23" s="3109">
        <f>IF(SUM(I31,I37)=0,"NO",SUM(I31,I37))</f>
        <v>4.1342575757575759E-3</v>
      </c>
      <c r="J23" s="3109">
        <f>IF(SUM(J31,J37)=0,"NO",SUM(J31,J37))</f>
        <v>2.7069242424242424E-3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74540.899999999994</v>
      </c>
      <c r="D25" s="3078" t="s">
        <v>1814</v>
      </c>
      <c r="E25" s="628"/>
      <c r="F25" s="628"/>
      <c r="G25" s="628"/>
      <c r="H25" s="3078">
        <f>IF(SUM(H26:H30)=0,"NO",SUM(H26:H30))</f>
        <v>4360.5494560528368</v>
      </c>
      <c r="I25" s="3078">
        <f>IF(SUM(I26:I31)=0,"NO",SUM(I26:I31))</f>
        <v>8.2909633333333316E-2</v>
      </c>
      <c r="J25" s="3110">
        <f>IF(SUM(J26:J31)=0,"NO",SUM(J26:J31))</f>
        <v>8.731607142857141E-2</v>
      </c>
      <c r="K25" s="3085" t="str">
        <f>IF(SUM(K26:K31)=0,"NO",SUM(K26:K31))</f>
        <v>NO</v>
      </c>
    </row>
    <row r="26" spans="2:11" ht="18" customHeight="1" x14ac:dyDescent="0.2">
      <c r="B26" s="282" t="s">
        <v>132</v>
      </c>
      <c r="C26" s="691">
        <v>26577.199999999997</v>
      </c>
      <c r="D26" s="3078" t="s">
        <v>1814</v>
      </c>
      <c r="E26" s="1913">
        <f t="shared" ref="E26:E31" si="9">IFERROR(H26*1000/$C26,"NA")</f>
        <v>68.349008548680828</v>
      </c>
      <c r="F26" s="1913">
        <f t="shared" ref="F26:G31" si="10">IFERROR(I26*1000000/$C26,"NA")</f>
        <v>1.3415756290927485</v>
      </c>
      <c r="G26" s="1913">
        <f t="shared" si="10"/>
        <v>1.5896497033260872</v>
      </c>
      <c r="H26" s="691">
        <v>1816.5252699999999</v>
      </c>
      <c r="I26" s="691">
        <v>3.5655323809523791E-2</v>
      </c>
      <c r="J26" s="691">
        <v>4.2248438095238081E-2</v>
      </c>
      <c r="K26" s="2911" t="s">
        <v>2146</v>
      </c>
    </row>
    <row r="27" spans="2:11" ht="18" customHeight="1" x14ac:dyDescent="0.2">
      <c r="B27" s="282" t="s">
        <v>133</v>
      </c>
      <c r="C27" s="691">
        <v>2657.7000000000003</v>
      </c>
      <c r="D27" s="3078" t="s">
        <v>1814</v>
      </c>
      <c r="E27" s="1913">
        <f t="shared" si="9"/>
        <v>92.516273469541318</v>
      </c>
      <c r="F27" s="1913">
        <f t="shared" si="10"/>
        <v>0.95238095238095233</v>
      </c>
      <c r="G27" s="1913">
        <f t="shared" si="10"/>
        <v>0.66666666666666641</v>
      </c>
      <c r="H27" s="691">
        <v>245.88049999999998</v>
      </c>
      <c r="I27" s="691">
        <v>2.5311428571428572E-3</v>
      </c>
      <c r="J27" s="691">
        <v>1.7717999999999996E-3</v>
      </c>
      <c r="K27" s="2911" t="s">
        <v>2146</v>
      </c>
    </row>
    <row r="28" spans="2:11" ht="18" customHeight="1" x14ac:dyDescent="0.2">
      <c r="B28" s="282" t="s">
        <v>134</v>
      </c>
      <c r="C28" s="691">
        <v>44647.8</v>
      </c>
      <c r="D28" s="3078" t="s">
        <v>1814</v>
      </c>
      <c r="E28" s="1913">
        <f t="shared" si="9"/>
        <v>51.472719508079606</v>
      </c>
      <c r="F28" s="1913">
        <f t="shared" si="10"/>
        <v>0.90909090909090895</v>
      </c>
      <c r="G28" s="1913">
        <f t="shared" si="10"/>
        <v>0.90909090909090895</v>
      </c>
      <c r="H28" s="691">
        <v>2298.143686052837</v>
      </c>
      <c r="I28" s="691">
        <v>4.0588909090909085E-2</v>
      </c>
      <c r="J28" s="691">
        <v>4.0588909090909085E-2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658.2</v>
      </c>
      <c r="D31" s="3078" t="s">
        <v>1814</v>
      </c>
      <c r="E31" s="1913">
        <f t="shared" si="9"/>
        <v>78.58482573359602</v>
      </c>
      <c r="F31" s="1913">
        <f t="shared" si="10"/>
        <v>6.2811570582764746</v>
      </c>
      <c r="G31" s="1913">
        <f t="shared" si="10"/>
        <v>4.1126165943850532</v>
      </c>
      <c r="H31" s="691">
        <v>51.724532297852903</v>
      </c>
      <c r="I31" s="691">
        <v>4.1342575757575759E-3</v>
      </c>
      <c r="J31" s="691">
        <v>2.7069242424242424E-3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215224.49175006829</v>
      </c>
      <c r="D38" s="3078" t="s">
        <v>1814</v>
      </c>
      <c r="E38" s="628"/>
      <c r="F38" s="628"/>
      <c r="G38" s="628"/>
      <c r="H38" s="1913">
        <f>IF(SUM(H39:H43)=0,"NO",SUM(H39:H43))</f>
        <v>7668.6647231603292</v>
      </c>
      <c r="I38" s="1913">
        <f>IF(SUM(I39:I44)=0,"NO",SUM(I39:I44))</f>
        <v>52.098688096668965</v>
      </c>
      <c r="J38" s="1913">
        <f>IF(SUM(J39:J44)=0,"NO",SUM(J39:J44))</f>
        <v>0.2574998069624222</v>
      </c>
      <c r="K38" s="3085" t="str">
        <f>IF(SUM(K39:K44)=0,"NO",SUM(K39:K44))</f>
        <v>NO</v>
      </c>
    </row>
    <row r="39" spans="2:11" ht="18" customHeight="1" x14ac:dyDescent="0.2">
      <c r="B39" s="282" t="s">
        <v>132</v>
      </c>
      <c r="C39" s="3109">
        <f>IF(SUM(C47,C54)=0,"NO",SUM(C47,C54))</f>
        <v>18396.891750068302</v>
      </c>
      <c r="D39" s="3078" t="s">
        <v>1814</v>
      </c>
      <c r="E39" s="1913">
        <f t="shared" ref="E39:E44" si="13">IFERROR(H39*1000/$C39,"NA")</f>
        <v>63.386177328434222</v>
      </c>
      <c r="F39" s="1913">
        <f t="shared" ref="F39:G44" si="14">IFERROR(I39*1000000/$C39,"NA")</f>
        <v>40.825344271089449</v>
      </c>
      <c r="G39" s="1913">
        <f t="shared" si="14"/>
        <v>0.5652248939081701</v>
      </c>
      <c r="H39" s="1913">
        <f>IF(SUM(H47,H54)=0,"NO",SUM(H47,H54))</f>
        <v>1166.1086427618379</v>
      </c>
      <c r="I39" s="1913">
        <f>IF(SUM(I47,I54)=0,"NO",SUM(I47,I54))</f>
        <v>0.7510594392145038</v>
      </c>
      <c r="J39" s="1913">
        <f>IF(SUM(J47,J54)=0,"NO",SUM(J47,J54))</f>
        <v>1.0398381187672445E-2</v>
      </c>
      <c r="K39" s="3085" t="str">
        <f>IF(SUM(K47,K54)=0,"NO",SUM(K47,K54))</f>
        <v>NO</v>
      </c>
    </row>
    <row r="40" spans="2:11" ht="18" customHeight="1" x14ac:dyDescent="0.2">
      <c r="B40" s="282" t="s">
        <v>133</v>
      </c>
      <c r="C40" s="3109">
        <f t="shared" ref="C40:C42" si="15">IF(SUM(C48,C55)=0,"NO",SUM(C48,C55))</f>
        <v>110.79999999999998</v>
      </c>
      <c r="D40" s="3078" t="s">
        <v>1814</v>
      </c>
      <c r="E40" s="1913">
        <f t="shared" si="13"/>
        <v>92.707581227436819</v>
      </c>
      <c r="F40" s="1913">
        <f t="shared" si="14"/>
        <v>0.95238095238095233</v>
      </c>
      <c r="G40" s="1913">
        <f t="shared" si="14"/>
        <v>0.66666666666666674</v>
      </c>
      <c r="H40" s="1913">
        <f t="shared" ref="H40:K42" si="16">IF(SUM(H48,H55)=0,"NO",SUM(H48,H55))</f>
        <v>10.271999999999998</v>
      </c>
      <c r="I40" s="1913">
        <f t="shared" si="16"/>
        <v>1.055238095238095E-4</v>
      </c>
      <c r="J40" s="1913">
        <f t="shared" si="16"/>
        <v>7.3866666666666655E-5</v>
      </c>
      <c r="K40" s="3085" t="str">
        <f t="shared" si="16"/>
        <v>NO</v>
      </c>
    </row>
    <row r="41" spans="2:11" ht="18" customHeight="1" x14ac:dyDescent="0.2">
      <c r="B41" s="282" t="s">
        <v>134</v>
      </c>
      <c r="C41" s="3109">
        <f t="shared" si="15"/>
        <v>126142.99999999999</v>
      </c>
      <c r="D41" s="3078" t="s">
        <v>1814</v>
      </c>
      <c r="E41" s="1913">
        <f t="shared" si="13"/>
        <v>51.467652429373736</v>
      </c>
      <c r="F41" s="1913">
        <f t="shared" si="14"/>
        <v>0.90909090909090895</v>
      </c>
      <c r="G41" s="1913">
        <f t="shared" si="14"/>
        <v>0.90909090909090906</v>
      </c>
      <c r="H41" s="1913">
        <f t="shared" si="16"/>
        <v>6492.2840803984909</v>
      </c>
      <c r="I41" s="1913">
        <f t="shared" si="16"/>
        <v>0.11467545454545451</v>
      </c>
      <c r="J41" s="1913">
        <f t="shared" si="16"/>
        <v>0.11467545454545452</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70573.800000000017</v>
      </c>
      <c r="D44" s="3078" t="s">
        <v>1814</v>
      </c>
      <c r="E44" s="1913">
        <f t="shared" si="13"/>
        <v>77.504818246595804</v>
      </c>
      <c r="F44" s="1913">
        <f t="shared" si="14"/>
        <v>725.94713164233008</v>
      </c>
      <c r="G44" s="1913">
        <f t="shared" si="14"/>
        <v>1.8753716614753424</v>
      </c>
      <c r="H44" s="1913">
        <f>IF(SUM(H52,H58)=0,"NO",SUM(H52,H58))</f>
        <v>5469.8095419716046</v>
      </c>
      <c r="I44" s="1913">
        <f>IF(SUM(I52,I58)=0,"NO",SUM(I52,I58))</f>
        <v>51.232847679099486</v>
      </c>
      <c r="J44" s="1913">
        <f>IF(SUM(J52,J58)=0,"NO",SUM(J52,J58))</f>
        <v>0.13235210456262855</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211053.6</v>
      </c>
      <c r="D46" s="3078" t="s">
        <v>1814</v>
      </c>
      <c r="E46" s="628"/>
      <c r="F46" s="628"/>
      <c r="G46" s="628"/>
      <c r="H46" s="1913">
        <f>IF(SUM(H47:H51)=0,"NO",SUM(H47:H51))</f>
        <v>7386.9923803984912</v>
      </c>
      <c r="I46" s="1913">
        <f>IF(SUM(I47:I52)=0,"NO",SUM(I47:I52))</f>
        <v>51.364836562216368</v>
      </c>
      <c r="J46" s="1913">
        <f>IF(SUM(J47:J52)=0,"NO",SUM(J47:J52))</f>
        <v>0.25586902577474974</v>
      </c>
      <c r="K46" s="3085" t="str">
        <f>IF(SUM(K47:K52)=0,"NO",SUM(K47:K52))</f>
        <v>NO</v>
      </c>
    </row>
    <row r="47" spans="2:11" ht="18" customHeight="1" x14ac:dyDescent="0.2">
      <c r="B47" s="282" t="s">
        <v>132</v>
      </c>
      <c r="C47" s="691">
        <v>14226</v>
      </c>
      <c r="D47" s="3078" t="s">
        <v>1814</v>
      </c>
      <c r="E47" s="1913">
        <f t="shared" ref="E47:E52" si="17">IFERROR(H47*1000/$C47,"NA")</f>
        <v>62.170413327709831</v>
      </c>
      <c r="F47" s="1913">
        <f t="shared" ref="F47:G52" si="18">IFERROR(I47*1000000/$C47,"NA")</f>
        <v>1.2096095010477128</v>
      </c>
      <c r="G47" s="1913">
        <f t="shared" si="18"/>
        <v>0.61630816814283718</v>
      </c>
      <c r="H47" s="691">
        <v>884.43630000000007</v>
      </c>
      <c r="I47" s="691">
        <v>1.7207904761904765E-2</v>
      </c>
      <c r="J47" s="691">
        <v>8.7676000000000021E-3</v>
      </c>
      <c r="K47" s="2911" t="s">
        <v>2146</v>
      </c>
    </row>
    <row r="48" spans="2:11" ht="18" customHeight="1" x14ac:dyDescent="0.2">
      <c r="B48" s="282" t="s">
        <v>133</v>
      </c>
      <c r="C48" s="691">
        <v>110.79999999999998</v>
      </c>
      <c r="D48" s="3078" t="s">
        <v>1814</v>
      </c>
      <c r="E48" s="1913">
        <f t="shared" si="17"/>
        <v>92.707581227436819</v>
      </c>
      <c r="F48" s="1913">
        <f t="shared" si="18"/>
        <v>0.95238095238095233</v>
      </c>
      <c r="G48" s="1913">
        <f t="shared" si="18"/>
        <v>0.66666666666666674</v>
      </c>
      <c r="H48" s="691">
        <v>10.271999999999998</v>
      </c>
      <c r="I48" s="691">
        <v>1.055238095238095E-4</v>
      </c>
      <c r="J48" s="691">
        <v>7.3866666666666655E-5</v>
      </c>
      <c r="K48" s="2911" t="s">
        <v>2146</v>
      </c>
    </row>
    <row r="49" spans="2:11" ht="18" customHeight="1" x14ac:dyDescent="0.2">
      <c r="B49" s="282" t="s">
        <v>134</v>
      </c>
      <c r="C49" s="691">
        <v>126142.99999999999</v>
      </c>
      <c r="D49" s="3078" t="s">
        <v>1814</v>
      </c>
      <c r="E49" s="1913">
        <f t="shared" si="17"/>
        <v>51.467652429373736</v>
      </c>
      <c r="F49" s="1913">
        <f t="shared" si="18"/>
        <v>0.90909090909090895</v>
      </c>
      <c r="G49" s="1913">
        <f t="shared" si="18"/>
        <v>0.90909090909090906</v>
      </c>
      <c r="H49" s="691">
        <v>6492.2840803984909</v>
      </c>
      <c r="I49" s="691">
        <v>0.11467545454545451</v>
      </c>
      <c r="J49" s="691">
        <v>0.11467545454545452</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70573.800000000017</v>
      </c>
      <c r="D52" s="3078" t="s">
        <v>1814</v>
      </c>
      <c r="E52" s="1913">
        <f t="shared" si="17"/>
        <v>77.504818246595804</v>
      </c>
      <c r="F52" s="1913">
        <f t="shared" si="18"/>
        <v>725.94713164233008</v>
      </c>
      <c r="G52" s="1913">
        <f t="shared" si="18"/>
        <v>1.8753716614753424</v>
      </c>
      <c r="H52" s="691">
        <v>5469.8095419716046</v>
      </c>
      <c r="I52" s="691">
        <v>51.232847679099486</v>
      </c>
      <c r="J52" s="691">
        <v>0.13235210456262855</v>
      </c>
      <c r="K52" s="2911" t="s">
        <v>2146</v>
      </c>
    </row>
    <row r="53" spans="2:11" ht="18" customHeight="1" x14ac:dyDescent="0.2">
      <c r="B53" s="1242" t="s">
        <v>205</v>
      </c>
      <c r="C53" s="3078">
        <f>IF(SUM(C54:C58)=0,"NO",SUM(C54:C58))</f>
        <v>4170.8917500683001</v>
      </c>
      <c r="D53" s="3078" t="s">
        <v>1814</v>
      </c>
      <c r="E53" s="628"/>
      <c r="F53" s="628"/>
      <c r="G53" s="628"/>
      <c r="H53" s="3078">
        <f>IF(SUM(H54:H57)=0,"NO",SUM(H54:H57))</f>
        <v>281.67234276183785</v>
      </c>
      <c r="I53" s="3078">
        <f>IF(SUM(I54:I58)=0,"NO",SUM(I54:I58))</f>
        <v>0.73385153445259899</v>
      </c>
      <c r="J53" s="3078">
        <f>IF(SUM(J54:J58)=0,"NO",SUM(J54:J58))</f>
        <v>1.6307811876724425E-3</v>
      </c>
      <c r="K53" s="2921"/>
    </row>
    <row r="54" spans="2:11" ht="18" customHeight="1" x14ac:dyDescent="0.2">
      <c r="B54" s="282" t="s">
        <v>132</v>
      </c>
      <c r="C54" s="691">
        <v>4170.8917500683001</v>
      </c>
      <c r="D54" s="3078" t="s">
        <v>1814</v>
      </c>
      <c r="E54" s="1913">
        <f t="shared" ref="E54:E58" si="19">IFERROR(H54*1000/$C54,"NA")</f>
        <v>67.532882568152331</v>
      </c>
      <c r="F54" s="1913">
        <f t="shared" ref="F54:G58" si="20">IFERROR(I54*1000000/$C54,"NA")</f>
        <v>175.94595554789498</v>
      </c>
      <c r="G54" s="1913">
        <f t="shared" si="20"/>
        <v>0.39099101232865557</v>
      </c>
      <c r="H54" s="691">
        <v>281.67234276183785</v>
      </c>
      <c r="I54" s="691">
        <v>0.73385153445259899</v>
      </c>
      <c r="J54" s="691">
        <v>1.6307811876724425E-3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87995.099999999991</v>
      </c>
      <c r="D59" s="3078" t="s">
        <v>1814</v>
      </c>
      <c r="E59" s="628"/>
      <c r="F59" s="628"/>
      <c r="G59" s="628"/>
      <c r="H59" s="1913">
        <f>IF(SUM(H60:H64)=0,"NO",SUM(H60:H64))</f>
        <v>6124.9053432299143</v>
      </c>
      <c r="I59" s="1913">
        <f>IF(SUM(I60:I65)=0,"NO",SUM(I60:I65))</f>
        <v>0.52100765108225111</v>
      </c>
      <c r="J59" s="1913">
        <f>IF(SUM(J60:J65)=0,"NO",SUM(J60:J65))</f>
        <v>0.31847059393939398</v>
      </c>
      <c r="K59" s="3085" t="str">
        <f>IF(SUM(K60:K65)=0,"NO",SUM(K60:K65))</f>
        <v>NO</v>
      </c>
    </row>
    <row r="60" spans="2:11" ht="18" customHeight="1" x14ac:dyDescent="0.2">
      <c r="B60" s="282" t="s">
        <v>132</v>
      </c>
      <c r="C60" s="1913">
        <f>IF(SUM(C67,C74:C77,C84:C87)=0,"NO",SUM(C67,C74:C77,C84:C87))</f>
        <v>87897.499999999985</v>
      </c>
      <c r="D60" s="3078" t="s">
        <v>1814</v>
      </c>
      <c r="E60" s="1913">
        <f t="shared" ref="E60:E65" si="21">IFERROR(H60*1000/$C60,"NA")</f>
        <v>69.625274211439489</v>
      </c>
      <c r="F60" s="1913">
        <f t="shared" ref="F60:G65" si="22">IFERROR(I60*1000000/$C60,"NA")</f>
        <v>5.9264361763363462</v>
      </c>
      <c r="G60" s="1913">
        <f t="shared" si="22"/>
        <v>3.6221947912815127</v>
      </c>
      <c r="H60" s="1913">
        <f>IF(SUM(H67,H74:H77,H84:H87)=0,"NO",SUM(H67,H74:H77,H84:H87))</f>
        <v>6119.8875400000015</v>
      </c>
      <c r="I60" s="1913">
        <f>IF(SUM(I67,I74:I77,I84:I87)=0,"NO",SUM(I67,I74:I77,I84:I87))</f>
        <v>0.52091892380952387</v>
      </c>
      <c r="J60" s="1913">
        <f>IF(SUM(J67,J74:J77,J84:J87)=0,"NO",SUM(J67,J74:J77,J84:J87))</f>
        <v>0.31838186666666668</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97.600000000000009</v>
      </c>
      <c r="D62" s="3078" t="s">
        <v>1814</v>
      </c>
      <c r="E62" s="1913">
        <f t="shared" si="21"/>
        <v>51.411918339265</v>
      </c>
      <c r="F62" s="1913">
        <f t="shared" si="22"/>
        <v>0.90909090909090895</v>
      </c>
      <c r="G62" s="1913">
        <f t="shared" si="22"/>
        <v>0.90909090909090895</v>
      </c>
      <c r="H62" s="1913">
        <f>IF(SUM(H69,H79,H89)=0,"NO",SUM(H69,H79,H89))</f>
        <v>5.0178032299122641</v>
      </c>
      <c r="I62" s="1913">
        <f>IF(SUM(I69,I79,I89)=0,"NO",SUM(I69,I79,I89))</f>
        <v>8.8727272727272724E-5</v>
      </c>
      <c r="J62" s="1913">
        <f>IF(SUM(J69,J79,J89)=0,"NO",SUM(J69,J79,J89))</f>
        <v>8.8727272727272724E-5</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87995.099999999991</v>
      </c>
      <c r="D66" s="3078" t="s">
        <v>1814</v>
      </c>
      <c r="E66" s="2108"/>
      <c r="F66" s="2108"/>
      <c r="G66" s="2108"/>
      <c r="H66" s="1913">
        <f>IF(SUM(H67:H71)=0,"NO",SUM(H67:H71))</f>
        <v>6124.9053432299143</v>
      </c>
      <c r="I66" s="1913">
        <f>IF(SUM(I67:I72)=0,"NO",SUM(I67:I72))</f>
        <v>0.52100765108225111</v>
      </c>
      <c r="J66" s="1913">
        <f>IF(SUM(J67:J72)=0,"NO",SUM(J67:J72))</f>
        <v>0.31847059393939398</v>
      </c>
      <c r="K66" s="3085" t="str">
        <f>IF(SUM(K67:K72)=0,"NO",SUM(K67:K72))</f>
        <v>NO</v>
      </c>
    </row>
    <row r="67" spans="2:11" ht="18" customHeight="1" x14ac:dyDescent="0.2">
      <c r="B67" s="282" t="s">
        <v>132</v>
      </c>
      <c r="C67" s="691">
        <v>87897.499999999985</v>
      </c>
      <c r="D67" s="3078" t="s">
        <v>1814</v>
      </c>
      <c r="E67" s="1913">
        <f t="shared" ref="E67:E72" si="23">IFERROR(H67*1000/$C67,"NA")</f>
        <v>69.625274211439489</v>
      </c>
      <c r="F67" s="1913">
        <f t="shared" ref="F67:G72" si="24">IFERROR(I67*1000000/$C67,"NA")</f>
        <v>5.9264361763363462</v>
      </c>
      <c r="G67" s="1913">
        <f t="shared" si="24"/>
        <v>3.6221947912815127</v>
      </c>
      <c r="H67" s="691">
        <v>6119.8875400000015</v>
      </c>
      <c r="I67" s="691">
        <v>0.52091892380952387</v>
      </c>
      <c r="J67" s="691">
        <v>0.31838186666666668</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97.600000000000009</v>
      </c>
      <c r="D69" s="3078" t="s">
        <v>1814</v>
      </c>
      <c r="E69" s="1913">
        <f t="shared" si="23"/>
        <v>51.411918339265</v>
      </c>
      <c r="F69" s="1913">
        <f t="shared" si="24"/>
        <v>0.90909090909090895</v>
      </c>
      <c r="G69" s="1913">
        <f t="shared" si="24"/>
        <v>0.90909090909090895</v>
      </c>
      <c r="H69" s="691">
        <v>5.0178032299122641</v>
      </c>
      <c r="I69" s="691">
        <v>8.8727272727272724E-5</v>
      </c>
      <c r="J69" s="691">
        <v>8.8727272727272724E-5</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8300.8580595657731</v>
      </c>
      <c r="D93" s="3078" t="s">
        <v>1814</v>
      </c>
      <c r="E93" s="2134"/>
      <c r="F93" s="2134"/>
      <c r="G93" s="2134"/>
      <c r="H93" s="3109">
        <f>IF(SUM(H94:H98)=0,"NO",SUM(H94:H98))</f>
        <v>577.64061290953441</v>
      </c>
      <c r="I93" s="3109">
        <f>IF(SUM(I94:I99)=0,"NO",SUM(I94:I99))</f>
        <v>2.1695113307296923E-2</v>
      </c>
      <c r="J93" s="3113">
        <f>IF(SUM(J94:J99)=0,"NO",SUM(J94:J99))</f>
        <v>1.5859631529023716E-2</v>
      </c>
      <c r="K93" s="449" t="str">
        <f>IF(SUM(K94:K99)=0,"NO",SUM(K94:K99))</f>
        <v>NO</v>
      </c>
    </row>
    <row r="94" spans="2:11" ht="18" customHeight="1" x14ac:dyDescent="0.2">
      <c r="B94" s="282" t="s">
        <v>132</v>
      </c>
      <c r="C94" s="691">
        <f>IF(SUM(C102,C110)=0,"NO",SUM(C102,C110))</f>
        <v>8300.8580595657731</v>
      </c>
      <c r="D94" s="1913" t="s">
        <v>1814</v>
      </c>
      <c r="E94" s="1913">
        <f t="shared" ref="E94:E99" si="32">IFERROR(H94*1000/$C94,"NA")</f>
        <v>69.588060507054536</v>
      </c>
      <c r="F94" s="1913">
        <f t="shared" ref="F94:G99" si="33">IFERROR(I94*1000000/$C94,"NA")</f>
        <v>2.6135988775637271</v>
      </c>
      <c r="G94" s="1913">
        <f t="shared" si="33"/>
        <v>1.9106014601402967</v>
      </c>
      <c r="H94" s="691">
        <f t="shared" ref="H94:K97" si="34">IF(SUM(H102,H110)=0,"NO",SUM(H102,H110))</f>
        <v>577.64061290953441</v>
      </c>
      <c r="I94" s="691">
        <f t="shared" si="34"/>
        <v>2.1695113307296923E-2</v>
      </c>
      <c r="J94" s="691">
        <f t="shared" si="34"/>
        <v>1.5859631529023716E-2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8300.8580595657731</v>
      </c>
      <c r="D108" s="1913" t="s">
        <v>1814</v>
      </c>
      <c r="E108" s="1931"/>
      <c r="F108" s="1931"/>
      <c r="G108" s="1931"/>
      <c r="H108" s="3078">
        <f>H109</f>
        <v>577.64061290953441</v>
      </c>
      <c r="I108" s="3078">
        <f>I109</f>
        <v>2.1695113307296923E-2</v>
      </c>
      <c r="J108" s="3110">
        <f>J109</f>
        <v>1.5859631529023716E-2</v>
      </c>
      <c r="K108" s="2921"/>
    </row>
    <row r="109" spans="2:11" ht="18" customHeight="1" x14ac:dyDescent="0.2">
      <c r="B109" s="3125" t="s">
        <v>2149</v>
      </c>
      <c r="C109" s="3099">
        <f>IF(SUM(C110:C114)=0,"NO",SUM(C110:C114))</f>
        <v>8300.8580595657731</v>
      </c>
      <c r="D109" s="1913" t="s">
        <v>1814</v>
      </c>
      <c r="E109" s="628"/>
      <c r="F109" s="628"/>
      <c r="G109" s="628"/>
      <c r="H109" s="3099">
        <f>IF(SUM(H110:H113)=0,"NO",SUM(H110:H113))</f>
        <v>577.64061290953441</v>
      </c>
      <c r="I109" s="3099">
        <f>IF(SUM(I110:I114)=0,"NO",SUM(I110:I114))</f>
        <v>2.1695113307296923E-2</v>
      </c>
      <c r="J109" s="3099">
        <f>IF(SUM(J110:J114)=0,"NO",SUM(J110:J114))</f>
        <v>1.5859631529023716E-2</v>
      </c>
      <c r="K109" s="2921"/>
    </row>
    <row r="110" spans="2:11" ht="18" customHeight="1" x14ac:dyDescent="0.2">
      <c r="B110" s="282" t="s">
        <v>132</v>
      </c>
      <c r="C110" s="691">
        <v>8300.8580595657731</v>
      </c>
      <c r="D110" s="1913" t="s">
        <v>1814</v>
      </c>
      <c r="E110" s="1913">
        <f t="shared" ref="E110:E114" si="37">IFERROR(H110*1000/$C110,"NA")</f>
        <v>69.588060507054536</v>
      </c>
      <c r="F110" s="1913">
        <f t="shared" ref="F110:G114" si="38">IFERROR(I110*1000000/$C110,"NA")</f>
        <v>2.6135988775637271</v>
      </c>
      <c r="G110" s="1913">
        <f t="shared" si="38"/>
        <v>1.9106014601402967</v>
      </c>
      <c r="H110" s="691">
        <v>577.64061290953441</v>
      </c>
      <c r="I110" s="691">
        <v>2.1695113307296923E-2</v>
      </c>
      <c r="J110" s="691">
        <v>1.5859631529023716E-2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1099000</v>
      </c>
      <c r="G11" s="3361">
        <v>939900</v>
      </c>
      <c r="H11" s="3361">
        <v>618700</v>
      </c>
      <c r="I11" s="3381"/>
      <c r="J11" s="3361">
        <v>-76300</v>
      </c>
      <c r="K11" s="3369">
        <f t="shared" ref="K11:K28" si="0">IF((SUM(F11:G11)-SUM(H11:J11))=0,"NO",(SUM(F11:G11)-SUM(H11:J11)))</f>
        <v>1496500</v>
      </c>
      <c r="L11" s="2577">
        <f>IF(K11="NO","NA",1)</f>
        <v>1</v>
      </c>
      <c r="M11" s="5" t="s">
        <v>1814</v>
      </c>
      <c r="N11" s="3369">
        <f>K11</f>
        <v>1496500</v>
      </c>
      <c r="O11" s="3342">
        <v>18.980716253443529</v>
      </c>
      <c r="P11" s="3369">
        <f>IFERROR(N11*O11/1000,"NA")</f>
        <v>28404.64187327824</v>
      </c>
      <c r="Q11" s="3369" t="str">
        <f>'Table1.A(d)'!G11</f>
        <v>NA</v>
      </c>
      <c r="R11" s="3369">
        <f>IF(SUM(P11,-SUM(Q11))=0,"NO",SUM(P11,-SUM(Q11)))</f>
        <v>28404.64187327824</v>
      </c>
      <c r="S11" s="2577">
        <f>IF(R11="NO","NA",1)</f>
        <v>1</v>
      </c>
      <c r="T11" s="3375">
        <f>IF(R11="NO","NO",R11*S11*44/12)</f>
        <v>104150.35353535356</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143818.32030000002</v>
      </c>
      <c r="G13" s="3361" t="s">
        <v>2146</v>
      </c>
      <c r="H13" s="3361" t="s">
        <v>2146</v>
      </c>
      <c r="I13" s="3381"/>
      <c r="J13" s="3361" t="s">
        <v>2146</v>
      </c>
      <c r="K13" s="3369">
        <f t="shared" si="0"/>
        <v>143818.32030000002</v>
      </c>
      <c r="L13" s="2577">
        <f t="shared" si="1"/>
        <v>1</v>
      </c>
      <c r="M13" s="5" t="s">
        <v>1814</v>
      </c>
      <c r="N13" s="3369">
        <f t="shared" si="2"/>
        <v>143818.32030000002</v>
      </c>
      <c r="O13" s="3342">
        <v>16.265053203144411</v>
      </c>
      <c r="P13" s="3369">
        <f t="shared" si="3"/>
        <v>2339.2126312663645</v>
      </c>
      <c r="Q13" s="3369" t="str">
        <f>'Table1.A(d)'!G13</f>
        <v>NA</v>
      </c>
      <c r="R13" s="3369">
        <f>IF(SUM(P13,-SUM(Q13))=0,"NO",SUM(P13,-SUM(Q13)))</f>
        <v>2339.2126312663645</v>
      </c>
      <c r="S13" s="2577">
        <f t="shared" si="4"/>
        <v>1</v>
      </c>
      <c r="T13" s="3375">
        <f t="shared" si="5"/>
        <v>8577.1129813100033</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110892.08613780001</v>
      </c>
      <c r="H15" s="3361">
        <v>27676.731736500002</v>
      </c>
      <c r="I15" s="3361" t="s">
        <v>2146</v>
      </c>
      <c r="J15" s="3361">
        <v>2610.6428568000006</v>
      </c>
      <c r="K15" s="3369">
        <f t="shared" si="0"/>
        <v>80604.711544500009</v>
      </c>
      <c r="L15" s="2577">
        <f>IF(K15="NO","NA",1)</f>
        <v>1</v>
      </c>
      <c r="M15" s="5" t="s">
        <v>1814</v>
      </c>
      <c r="N15" s="3369">
        <f t="shared" si="2"/>
        <v>80604.711544500009</v>
      </c>
      <c r="O15" s="3342">
        <v>18.38309449723814</v>
      </c>
      <c r="P15" s="3369">
        <f t="shared" si="3"/>
        <v>1481.7640292451656</v>
      </c>
      <c r="Q15" s="3369" t="str">
        <f>'Table1.A(d)'!G15</f>
        <v>NA</v>
      </c>
      <c r="R15" s="3369">
        <f>IF(SUM(P15,-SUM(Q15))=0,"NO",SUM(P15,-SUM(Q15)))</f>
        <v>1481.7640292451656</v>
      </c>
      <c r="S15" s="2577">
        <f>IF(R15="NO","NA",1)</f>
        <v>1</v>
      </c>
      <c r="T15" s="3375">
        <f>IF(R15="NO","NO",R15*S15*44/12)</f>
        <v>5433.1347738989407</v>
      </c>
    </row>
    <row r="16" spans="2:20" ht="18" customHeight="1" x14ac:dyDescent="0.2">
      <c r="B16" s="1727"/>
      <c r="C16" s="1567"/>
      <c r="D16" s="36" t="s">
        <v>178</v>
      </c>
      <c r="E16" s="2575" t="s">
        <v>2150</v>
      </c>
      <c r="F16" s="3382"/>
      <c r="G16" s="3361">
        <v>25077.859523200001</v>
      </c>
      <c r="H16" s="3361">
        <v>19440.500385599997</v>
      </c>
      <c r="I16" s="3361">
        <v>103070</v>
      </c>
      <c r="J16" s="3361">
        <v>-264.33940799999965</v>
      </c>
      <c r="K16" s="3369">
        <f t="shared" si="0"/>
        <v>-97168.301454400003</v>
      </c>
      <c r="L16" s="2577">
        <f t="shared" ref="L16:L28" si="6">IF(K16="NO","NA",1)</f>
        <v>1</v>
      </c>
      <c r="M16" s="5" t="s">
        <v>1814</v>
      </c>
      <c r="N16" s="3369">
        <f t="shared" si="2"/>
        <v>-97168.301454400003</v>
      </c>
      <c r="O16" s="3342">
        <v>18.981818181818181</v>
      </c>
      <c r="P16" s="3369">
        <f t="shared" si="3"/>
        <v>-1844.4310312435198</v>
      </c>
      <c r="Q16" s="3369" t="str">
        <f>'Table1.A(d)'!G16</f>
        <v>NA</v>
      </c>
      <c r="R16" s="3369">
        <f t="shared" ref="R16:R44" si="7">IF(SUM(P16,-SUM(Q16))=0,"NO",SUM(P16,-SUM(Q16)))</f>
        <v>-1844.4310312435198</v>
      </c>
      <c r="S16" s="2577">
        <f t="shared" ref="S16:S28" si="8">IF(R16="NO","NA",1)</f>
        <v>1</v>
      </c>
      <c r="T16" s="3375">
        <f t="shared" ref="T16:T28" si="9">IF(R16="NO","NO",R16*S16*44/12)</f>
        <v>-6762.9137812262388</v>
      </c>
    </row>
    <row r="17" spans="2:20" ht="18" customHeight="1" x14ac:dyDescent="0.2">
      <c r="B17" s="1727"/>
      <c r="C17" s="1567"/>
      <c r="D17" s="36" t="s">
        <v>247</v>
      </c>
      <c r="E17" s="2575" t="s">
        <v>2150</v>
      </c>
      <c r="F17" s="3381"/>
      <c r="G17" s="3361" t="s">
        <v>2146</v>
      </c>
      <c r="H17" s="3361" t="s">
        <v>2146</v>
      </c>
      <c r="I17" s="3361" t="s">
        <v>2146</v>
      </c>
      <c r="J17" s="3361">
        <v>-1299.4759799999999</v>
      </c>
      <c r="K17" s="3369">
        <f t="shared" si="0"/>
        <v>1299.4759799999999</v>
      </c>
      <c r="L17" s="2577">
        <f t="shared" si="6"/>
        <v>1</v>
      </c>
      <c r="M17" s="5" t="s">
        <v>1814</v>
      </c>
      <c r="N17" s="3369">
        <f t="shared" si="2"/>
        <v>1299.4759799999999</v>
      </c>
      <c r="O17" s="3342">
        <v>18.790909090909089</v>
      </c>
      <c r="P17" s="3369">
        <f t="shared" si="3"/>
        <v>24.418335005999996</v>
      </c>
      <c r="Q17" s="3369" t="str">
        <f>'Table1.A(d)'!G17</f>
        <v>NA</v>
      </c>
      <c r="R17" s="3369">
        <f t="shared" si="7"/>
        <v>24.418335005999996</v>
      </c>
      <c r="S17" s="2577">
        <f t="shared" si="8"/>
        <v>1</v>
      </c>
      <c r="T17" s="3375">
        <f t="shared" si="9"/>
        <v>89.533895021999982</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130244.46878960001</v>
      </c>
      <c r="H19" s="3361">
        <v>33673.138653000002</v>
      </c>
      <c r="I19" s="3361">
        <v>5280</v>
      </c>
      <c r="J19" s="3361">
        <v>-1227.0159719999997</v>
      </c>
      <c r="K19" s="3369">
        <f t="shared" si="0"/>
        <v>92518.346108600002</v>
      </c>
      <c r="L19" s="2577">
        <f t="shared" si="6"/>
        <v>1</v>
      </c>
      <c r="M19" s="5" t="s">
        <v>1814</v>
      </c>
      <c r="N19" s="3369">
        <f t="shared" si="2"/>
        <v>92518.346108600002</v>
      </c>
      <c r="O19" s="3342">
        <v>19.06363636363637</v>
      </c>
      <c r="P19" s="3369">
        <f t="shared" si="3"/>
        <v>1763.7361071794023</v>
      </c>
      <c r="Q19" s="3369" t="str">
        <f>'Table1.A(d)'!G19</f>
        <v>NA</v>
      </c>
      <c r="R19" s="3369">
        <f t="shared" si="7"/>
        <v>1763.7361071794023</v>
      </c>
      <c r="S19" s="2577">
        <f t="shared" si="8"/>
        <v>1</v>
      </c>
      <c r="T19" s="3375">
        <f t="shared" si="9"/>
        <v>6467.0323929911419</v>
      </c>
    </row>
    <row r="20" spans="2:20" ht="18" customHeight="1" x14ac:dyDescent="0.2">
      <c r="B20" s="1727"/>
      <c r="C20" s="1567"/>
      <c r="D20" s="36" t="s">
        <v>190</v>
      </c>
      <c r="E20" s="2575" t="s">
        <v>2150</v>
      </c>
      <c r="F20" s="3381"/>
      <c r="G20" s="3361">
        <v>52421.373875999991</v>
      </c>
      <c r="H20" s="3361">
        <v>3217.6627680000001</v>
      </c>
      <c r="I20" s="3361">
        <v>33290</v>
      </c>
      <c r="J20" s="3361">
        <v>-611.21728200000007</v>
      </c>
      <c r="K20" s="3369">
        <f t="shared" si="0"/>
        <v>16524.928389999986</v>
      </c>
      <c r="L20" s="2577">
        <f t="shared" si="6"/>
        <v>1</v>
      </c>
      <c r="M20" s="5" t="s">
        <v>1814</v>
      </c>
      <c r="N20" s="3369">
        <f t="shared" si="2"/>
        <v>16524.928389999986</v>
      </c>
      <c r="O20" s="3342">
        <v>20.072727272727271</v>
      </c>
      <c r="P20" s="3369">
        <f t="shared" si="3"/>
        <v>331.70038077381787</v>
      </c>
      <c r="Q20" s="3369" t="str">
        <f>'Table1.A(d)'!G20</f>
        <v>NA</v>
      </c>
      <c r="R20" s="3369">
        <f t="shared" si="7"/>
        <v>331.70038077381787</v>
      </c>
      <c r="S20" s="2577">
        <f t="shared" si="8"/>
        <v>1</v>
      </c>
      <c r="T20" s="3375">
        <f t="shared" si="9"/>
        <v>1216.2347295039988</v>
      </c>
    </row>
    <row r="21" spans="2:20" ht="18" customHeight="1" x14ac:dyDescent="0.2">
      <c r="B21" s="1727"/>
      <c r="C21" s="1567"/>
      <c r="D21" s="36" t="s">
        <v>169</v>
      </c>
      <c r="E21" s="2575" t="s">
        <v>2150</v>
      </c>
      <c r="F21" s="3381"/>
      <c r="G21" s="3361">
        <v>20805.150000000001</v>
      </c>
      <c r="H21" s="3361">
        <v>76703.481623300002</v>
      </c>
      <c r="I21" s="3381"/>
      <c r="J21" s="3361">
        <v>-1014.3960863999997</v>
      </c>
      <c r="K21" s="3369">
        <f t="shared" si="0"/>
        <v>-54883.935536900004</v>
      </c>
      <c r="L21" s="2577">
        <f t="shared" si="6"/>
        <v>1</v>
      </c>
      <c r="M21" s="5" t="s">
        <v>1814</v>
      </c>
      <c r="N21" s="3369">
        <f t="shared" si="2"/>
        <v>-54883.935536900004</v>
      </c>
      <c r="O21" s="3342">
        <v>16.418181818181822</v>
      </c>
      <c r="P21" s="3369">
        <f t="shared" si="3"/>
        <v>-901.0944325421948</v>
      </c>
      <c r="Q21" s="3369" t="str">
        <f>'Table1.A(d)'!G21</f>
        <v>NA</v>
      </c>
      <c r="R21" s="3369">
        <f t="shared" si="7"/>
        <v>-901.0944325421948</v>
      </c>
      <c r="S21" s="2577">
        <f t="shared" si="8"/>
        <v>1</v>
      </c>
      <c r="T21" s="3375">
        <f t="shared" si="9"/>
        <v>-3304.0129193213811</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255.88270760328197</v>
      </c>
      <c r="R22" s="3369">
        <f t="shared" si="7"/>
        <v>-255.88270760328197</v>
      </c>
      <c r="S22" s="2577">
        <f t="shared" si="8"/>
        <v>1</v>
      </c>
      <c r="T22" s="3375">
        <f t="shared" si="9"/>
        <v>-938.23659454536721</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11694.422651999997</v>
      </c>
      <c r="H24" s="3361" t="s">
        <v>2146</v>
      </c>
      <c r="I24" s="3381"/>
      <c r="J24" s="3361">
        <v>-466.96139279999983</v>
      </c>
      <c r="K24" s="3369">
        <f t="shared" si="0"/>
        <v>12161.384044799997</v>
      </c>
      <c r="L24" s="2577">
        <f t="shared" si="6"/>
        <v>1</v>
      </c>
      <c r="M24" s="5" t="s">
        <v>1814</v>
      </c>
      <c r="N24" s="3369">
        <f t="shared" si="2"/>
        <v>12161.384044799997</v>
      </c>
      <c r="O24" s="3342">
        <v>22.009090909090911</v>
      </c>
      <c r="P24" s="3369">
        <f t="shared" si="3"/>
        <v>267.66100702237088</v>
      </c>
      <c r="Q24" s="3369">
        <f>'Table1.A(d)'!G24</f>
        <v>717.49636363636375</v>
      </c>
      <c r="R24" s="3369">
        <f t="shared" si="7"/>
        <v>-449.83535661399287</v>
      </c>
      <c r="S24" s="2577">
        <f t="shared" si="8"/>
        <v>1</v>
      </c>
      <c r="T24" s="3375">
        <f t="shared" si="9"/>
        <v>-1649.3963075846405</v>
      </c>
    </row>
    <row r="25" spans="2:20" ht="18" customHeight="1" x14ac:dyDescent="0.2">
      <c r="B25" s="1727"/>
      <c r="C25" s="1567"/>
      <c r="D25" s="36" t="s">
        <v>252</v>
      </c>
      <c r="E25" s="2575" t="s">
        <v>2150</v>
      </c>
      <c r="F25" s="3381"/>
      <c r="G25" s="3361">
        <v>7569.3037035999996</v>
      </c>
      <c r="H25" s="3361">
        <v>4743.9256531039991</v>
      </c>
      <c r="I25" s="3361" t="s">
        <v>2146</v>
      </c>
      <c r="J25" s="3361">
        <v>645.8424308000001</v>
      </c>
      <c r="K25" s="3369">
        <f t="shared" si="0"/>
        <v>2179.5356196960001</v>
      </c>
      <c r="L25" s="2577">
        <f t="shared" si="6"/>
        <v>1</v>
      </c>
      <c r="M25" s="5" t="s">
        <v>1814</v>
      </c>
      <c r="N25" s="3369">
        <f t="shared" si="2"/>
        <v>2179.5356196960001</v>
      </c>
      <c r="O25" s="3342">
        <v>18.991363636363641</v>
      </c>
      <c r="P25" s="3369">
        <f t="shared" si="3"/>
        <v>41.392353512053909</v>
      </c>
      <c r="Q25" s="3369">
        <f>'Table1.A(d)'!G25</f>
        <v>453.8935909090909</v>
      </c>
      <c r="R25" s="3369">
        <f t="shared" si="7"/>
        <v>-412.50123739703702</v>
      </c>
      <c r="S25" s="2577">
        <f t="shared" si="8"/>
        <v>1</v>
      </c>
      <c r="T25" s="3375">
        <f t="shared" si="9"/>
        <v>-1512.5045371224689</v>
      </c>
    </row>
    <row r="26" spans="2:20" ht="18" customHeight="1" x14ac:dyDescent="0.2">
      <c r="B26" s="1727"/>
      <c r="C26" s="1567"/>
      <c r="D26" s="36" t="s">
        <v>253</v>
      </c>
      <c r="E26" s="2575" t="s">
        <v>2150</v>
      </c>
      <c r="F26" s="3381"/>
      <c r="G26" s="3361">
        <v>14590.432321234137</v>
      </c>
      <c r="H26" s="3361" t="s">
        <v>2146</v>
      </c>
      <c r="I26" s="3381"/>
      <c r="J26" s="3361" t="s">
        <v>2146</v>
      </c>
      <c r="K26" s="3369">
        <f t="shared" si="0"/>
        <v>14590.432321234137</v>
      </c>
      <c r="L26" s="2577">
        <f t="shared" si="6"/>
        <v>1</v>
      </c>
      <c r="M26" s="5" t="s">
        <v>1814</v>
      </c>
      <c r="N26" s="3369">
        <f t="shared" si="2"/>
        <v>14590.432321234137</v>
      </c>
      <c r="O26" s="3342">
        <v>25.26136363636364</v>
      </c>
      <c r="P26" s="3369">
        <f t="shared" si="3"/>
        <v>368.57421647844876</v>
      </c>
      <c r="Q26" s="3369">
        <f>'Table1.A(d)'!G26</f>
        <v>368.57421647844865</v>
      </c>
      <c r="R26" s="3369">
        <f t="shared" si="7"/>
        <v>1.1368683772161603E-13</v>
      </c>
      <c r="S26" s="2577">
        <f t="shared" si="8"/>
        <v>1</v>
      </c>
      <c r="T26" s="3375">
        <f t="shared" si="9"/>
        <v>4.1685173831259209E-13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23386.542548799996</v>
      </c>
      <c r="H28" s="3361">
        <v>1953.7492829759999</v>
      </c>
      <c r="I28" s="3381"/>
      <c r="J28" s="3361">
        <v>3691.8227969999989</v>
      </c>
      <c r="K28" s="3369">
        <f t="shared" si="0"/>
        <v>17740.970468823998</v>
      </c>
      <c r="L28" s="2577">
        <f t="shared" si="6"/>
        <v>1</v>
      </c>
      <c r="M28" s="5" t="s">
        <v>1814</v>
      </c>
      <c r="N28" s="3369">
        <f t="shared" si="2"/>
        <v>17740.970468823998</v>
      </c>
      <c r="O28" s="3342">
        <v>19.037092987309961</v>
      </c>
      <c r="P28" s="3369">
        <f t="shared" si="3"/>
        <v>337.73650450012246</v>
      </c>
      <c r="Q28" s="3369">
        <f>'Table1.A(d)'!G28</f>
        <v>630.82259939154778</v>
      </c>
      <c r="R28" s="3369">
        <f t="shared" si="7"/>
        <v>-293.08609489142532</v>
      </c>
      <c r="S28" s="2577">
        <f t="shared" si="8"/>
        <v>1</v>
      </c>
      <c r="T28" s="3375">
        <f t="shared" si="9"/>
        <v>-1074.649014601893</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1725885.8677863542</v>
      </c>
      <c r="O31" s="3364"/>
      <c r="P31" s="3371">
        <f>SUM(P11:P29)</f>
        <v>32615.311974476281</v>
      </c>
      <c r="Q31" s="3371">
        <f>SUM(Q11:Q29)</f>
        <v>2426.6694780187336</v>
      </c>
      <c r="R31" s="3369">
        <f t="shared" si="7"/>
        <v>30188.642496457549</v>
      </c>
      <c r="S31" s="2578"/>
      <c r="T31" s="3377">
        <f>SUM(T11:T29)</f>
        <v>110691.68915367765</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7504414.2021265384</v>
      </c>
      <c r="G35" s="3361" t="s">
        <v>2146</v>
      </c>
      <c r="H35" s="3361">
        <v>6208100</v>
      </c>
      <c r="I35" s="3361" t="s">
        <v>2146</v>
      </c>
      <c r="J35" s="3361">
        <v>-174500</v>
      </c>
      <c r="K35" s="3369">
        <f t="shared" si="10"/>
        <v>1470814.2021265384</v>
      </c>
      <c r="L35" s="2577">
        <f t="shared" si="11"/>
        <v>1</v>
      </c>
      <c r="M35" s="55" t="s">
        <v>1814</v>
      </c>
      <c r="N35" s="3369">
        <f t="shared" si="12"/>
        <v>1470814.2021265384</v>
      </c>
      <c r="O35" s="3342">
        <v>24.732612770731599</v>
      </c>
      <c r="P35" s="3369">
        <f t="shared" si="13"/>
        <v>36377.078118888232</v>
      </c>
      <c r="Q35" s="3369">
        <f>'Table1.A(d)'!G35</f>
        <v>652.5641941120914</v>
      </c>
      <c r="R35" s="3369">
        <f t="shared" si="7"/>
        <v>35724.51392477614</v>
      </c>
      <c r="S35" s="2577">
        <f t="shared" si="14"/>
        <v>1</v>
      </c>
      <c r="T35" s="3375">
        <f t="shared" si="15"/>
        <v>130989.88439084585</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706087</v>
      </c>
      <c r="G37" s="3361" t="s">
        <v>2146</v>
      </c>
      <c r="H37" s="3361" t="s">
        <v>2146</v>
      </c>
      <c r="I37" s="3381"/>
      <c r="J37" s="3361">
        <v>-16000</v>
      </c>
      <c r="K37" s="3369">
        <f t="shared" si="10"/>
        <v>722087</v>
      </c>
      <c r="L37" s="2577">
        <f t="shared" si="11"/>
        <v>1</v>
      </c>
      <c r="M37" s="55" t="s">
        <v>1814</v>
      </c>
      <c r="N37" s="3369">
        <f t="shared" si="12"/>
        <v>722087</v>
      </c>
      <c r="O37" s="3342">
        <v>25.574555767895291</v>
      </c>
      <c r="P37" s="3369">
        <f t="shared" si="13"/>
        <v>18467.054250772209</v>
      </c>
      <c r="Q37" s="3369" t="str">
        <f>'Table1.A(d)'!G37</f>
        <v>NO</v>
      </c>
      <c r="R37" s="3369">
        <f t="shared" si="7"/>
        <v>18467.054250772209</v>
      </c>
      <c r="S37" s="2577">
        <f t="shared" si="14"/>
        <v>1</v>
      </c>
      <c r="T37" s="3375">
        <f t="shared" si="15"/>
        <v>67712.532252831428</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400</v>
      </c>
      <c r="H41" s="3361" t="s">
        <v>2146</v>
      </c>
      <c r="I41" s="3381"/>
      <c r="J41" s="3361">
        <v>18000</v>
      </c>
      <c r="K41" s="3369">
        <f t="shared" si="16"/>
        <v>-17600</v>
      </c>
      <c r="L41" s="2577">
        <f t="shared" si="17"/>
        <v>1</v>
      </c>
      <c r="M41" s="55" t="s">
        <v>1814</v>
      </c>
      <c r="N41" s="3369">
        <f t="shared" si="18"/>
        <v>-17600</v>
      </c>
      <c r="O41" s="3342">
        <v>29.612680469910948</v>
      </c>
      <c r="P41" s="3369">
        <f t="shared" si="19"/>
        <v>-521.18317627043268</v>
      </c>
      <c r="Q41" s="3369">
        <f>'Table1.A(d)'!G41</f>
        <v>2170.8653970094883</v>
      </c>
      <c r="R41" s="3369">
        <f t="shared" si="7"/>
        <v>-2692.0485732799211</v>
      </c>
      <c r="S41" s="2577">
        <f t="shared" si="20"/>
        <v>1</v>
      </c>
      <c r="T41" s="3375">
        <f t="shared" si="21"/>
        <v>-9870.8447686930431</v>
      </c>
    </row>
    <row r="42" spans="2:20" ht="18" customHeight="1" x14ac:dyDescent="0.2">
      <c r="B42" s="1727"/>
      <c r="C42" s="1568"/>
      <c r="D42" s="31" t="s">
        <v>267</v>
      </c>
      <c r="E42" s="2575" t="s">
        <v>2150</v>
      </c>
      <c r="F42" s="3381"/>
      <c r="G42" s="3361" t="s">
        <v>2146</v>
      </c>
      <c r="H42" s="3361" t="s">
        <v>2146</v>
      </c>
      <c r="I42" s="3381"/>
      <c r="J42" s="3361">
        <v>-3500</v>
      </c>
      <c r="K42" s="3369">
        <f t="shared" si="16"/>
        <v>3500</v>
      </c>
      <c r="L42" s="2577">
        <f t="shared" si="17"/>
        <v>1</v>
      </c>
      <c r="M42" s="55" t="s">
        <v>1814</v>
      </c>
      <c r="N42" s="3369">
        <f t="shared" si="18"/>
        <v>3500</v>
      </c>
      <c r="O42" s="3342">
        <v>22.309090909090909</v>
      </c>
      <c r="P42" s="3369">
        <f t="shared" si="19"/>
        <v>78.081818181818178</v>
      </c>
      <c r="Q42" s="3369">
        <f>'Table1.A(d)'!G42</f>
        <v>182.4412401789013</v>
      </c>
      <c r="R42" s="3369">
        <f t="shared" si="7"/>
        <v>-104.35942199708312</v>
      </c>
      <c r="S42" s="2577">
        <f t="shared" si="20"/>
        <v>1</v>
      </c>
      <c r="T42" s="3375">
        <f t="shared" si="21"/>
        <v>-382.65121398930478</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2178801.2021265384</v>
      </c>
      <c r="O45" s="3364"/>
      <c r="P45" s="3371">
        <f>SUM(P33:P43)</f>
        <v>54401.031011571824</v>
      </c>
      <c r="Q45" s="3371">
        <f>SUM(Q33:Q43)</f>
        <v>3005.8708313004809</v>
      </c>
      <c r="R45" s="3371">
        <f>SUM(R33:R43)</f>
        <v>51395.160180271349</v>
      </c>
      <c r="S45" s="41"/>
      <c r="T45" s="3377">
        <f>SUM(T33:T43)</f>
        <v>188448.92066099495</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1437582.7436532262</v>
      </c>
      <c r="G47" s="3361">
        <v>900</v>
      </c>
      <c r="H47" s="3361">
        <v>430500</v>
      </c>
      <c r="I47" s="3361" t="s">
        <v>2146</v>
      </c>
      <c r="J47" s="3361" t="s">
        <v>2146</v>
      </c>
      <c r="K47" s="3369">
        <f t="shared" ref="K47" si="22">IF((SUM(F47:G47)-SUM(H47:J47))=0,"NO",(SUM(F47:G47)-SUM(H47:J47)))</f>
        <v>1007982.7436532262</v>
      </c>
      <c r="L47" s="2577">
        <f t="shared" ref="L47" si="23">IF(K47="NO","NA",1)</f>
        <v>1</v>
      </c>
      <c r="M47" s="55" t="s">
        <v>1814</v>
      </c>
      <c r="N47" s="3369">
        <f t="shared" ref="N47" si="24">K47</f>
        <v>1007982.7436532262</v>
      </c>
      <c r="O47" s="3342">
        <v>14.05829306907223</v>
      </c>
      <c r="P47" s="3369">
        <f t="shared" ref="P47" si="25">IFERROR(N47*O47/1000,"NA")</f>
        <v>14170.516818844559</v>
      </c>
      <c r="Q47" s="3369">
        <f>'Table1.A(d)'!G47</f>
        <v>454.93030629552118</v>
      </c>
      <c r="R47" s="3369">
        <f t="shared" ref="R47" si="26">IF(SUM(P47,-SUM(Q47))=0,"NO",SUM(P47,-SUM(Q47)))</f>
        <v>13715.586512549038</v>
      </c>
      <c r="S47" s="2577">
        <f t="shared" ref="S47" si="27">IF(R47="NO","NA",1)</f>
        <v>1</v>
      </c>
      <c r="T47" s="3375">
        <f t="shared" ref="T47" si="28">IF(R47="NO","NO",R47*S47*44/12)</f>
        <v>50290.483879346481</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1007982.7436532262</v>
      </c>
      <c r="O50" s="3366"/>
      <c r="P50" s="3371">
        <f>SUM(P47:P48)</f>
        <v>14170.516818844559</v>
      </c>
      <c r="Q50" s="3371">
        <f>SUM(Q47:Q48)</f>
        <v>454.93030629552118</v>
      </c>
      <c r="R50" s="3371">
        <f>SUM(R47:R48)</f>
        <v>13715.586512549038</v>
      </c>
      <c r="S50" s="2354"/>
      <c r="T50" s="3377">
        <f>SUM(T47:T48)</f>
        <v>50290.483879346481</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4912669.8135661185</v>
      </c>
      <c r="O55" s="3367"/>
      <c r="P55" s="3373">
        <f>SUM(P31,P45,P50,P54)</f>
        <v>101186.85980489267</v>
      </c>
      <c r="Q55" s="3373">
        <f>SUM(Q31,Q45,Q50,Q54)</f>
        <v>5887.4706156147358</v>
      </c>
      <c r="R55" s="3373">
        <f>SUM(R31,R45,R50,R54)</f>
        <v>95299.389189277936</v>
      </c>
      <c r="S55" s="2374"/>
      <c r="T55" s="3379">
        <f>SUM(T31,T45,T50,T54)</f>
        <v>349431.09369401907</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1725.8858677863541</v>
      </c>
      <c r="D10" s="4136">
        <f>C10-'Table1.A(d)'!E31/1000</f>
        <v>1602.1715021874786</v>
      </c>
      <c r="E10" s="4135">
        <f>'Table1.A(b)'!T31</f>
        <v>110691.68915367765</v>
      </c>
      <c r="F10" s="4135">
        <f>'Table1.A(a)s1'!C11/1000</f>
        <v>1615.8176520450538</v>
      </c>
      <c r="G10" s="4135">
        <f>'Table1.A(a)s1'!H11</f>
        <v>110001.74498266239</v>
      </c>
      <c r="H10" s="4135">
        <f>100*((D10-F10)/F10)</f>
        <v>-0.8445352630170867</v>
      </c>
      <c r="I10" s="4137">
        <f>100*((E10-G10)/G10)</f>
        <v>0.6272120238856248</v>
      </c>
      <c r="L10"/>
    </row>
    <row r="11" spans="2:12" ht="18" customHeight="1" x14ac:dyDescent="0.2">
      <c r="B11" s="50" t="s">
        <v>299</v>
      </c>
      <c r="C11" s="4135">
        <f>'Table1.A(b)'!N45/1000</f>
        <v>2178.8012021265386</v>
      </c>
      <c r="D11" s="4135">
        <f>C11-'Table1.A(d)'!E45/1000</f>
        <v>2070.2877345714555</v>
      </c>
      <c r="E11" s="4135">
        <f>'Table1.A(b)'!T45</f>
        <v>188448.92066099495</v>
      </c>
      <c r="F11" s="4135">
        <f>'Table1.A(a)s1'!C12/1000</f>
        <v>2083.8808036104565</v>
      </c>
      <c r="G11" s="4135">
        <f>'Table1.A(a)s1'!H12</f>
        <v>189879.03936711108</v>
      </c>
      <c r="H11" s="4135">
        <f t="shared" ref="H11:H13" si="0">100*((D11-F11)/F11)</f>
        <v>-0.65229589981586789</v>
      </c>
      <c r="I11" s="4137">
        <f t="shared" ref="I11:I13" si="1">100*((E11-G11)/G11)</f>
        <v>-0.75317355242731621</v>
      </c>
      <c r="L11"/>
    </row>
    <row r="12" spans="2:12" ht="18" customHeight="1" x14ac:dyDescent="0.2">
      <c r="B12" s="50" t="s">
        <v>300</v>
      </c>
      <c r="C12" s="4135">
        <f>'Table1.A(b)'!N50/1000</f>
        <v>1007.9827436532262</v>
      </c>
      <c r="D12" s="4135">
        <f>C12-'Table1.A(d)'!E50/1000</f>
        <v>975.5373916097044</v>
      </c>
      <c r="E12" s="4135">
        <f>'Table1.A(b)'!T50</f>
        <v>50290.483879346481</v>
      </c>
      <c r="F12" s="4135">
        <f>'Table1.A(a)s1'!C13/1000</f>
        <v>963.9103153895943</v>
      </c>
      <c r="G12" s="4135">
        <f>'Table1.A(a)s1'!H13</f>
        <v>49731.539663493997</v>
      </c>
      <c r="H12" s="4135">
        <f t="shared" si="0"/>
        <v>1.2062404597683607</v>
      </c>
      <c r="I12" s="4137">
        <f t="shared" si="1"/>
        <v>1.1239230066765515</v>
      </c>
      <c r="L12"/>
    </row>
    <row r="13" spans="2:12" ht="18" customHeight="1" x14ac:dyDescent="0.2">
      <c r="B13" s="50" t="s">
        <v>275</v>
      </c>
      <c r="C13" s="4135">
        <f>'Table1.A(b)'!N54/1000</f>
        <v>0</v>
      </c>
      <c r="D13" s="4135">
        <f>C13-SUM('Table1.A(d)'!E54)/1000</f>
        <v>0</v>
      </c>
      <c r="E13" s="4135">
        <f>'Table1.A(b)'!T54</f>
        <v>0</v>
      </c>
      <c r="F13" s="4135">
        <f>'Table1.A(a)s1'!C14/1000</f>
        <v>5.8255612191128074</v>
      </c>
      <c r="G13" s="4135">
        <f>'Table1.A(a)s1'!H14</f>
        <v>523.87363736096881</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4912.669813566119</v>
      </c>
      <c r="D15" s="4138">
        <f>SUM(D10:D14)</f>
        <v>4647.9966283686381</v>
      </c>
      <c r="E15" s="4138">
        <f>SUM(E10:E14)</f>
        <v>349431.09369401907</v>
      </c>
      <c r="F15" s="4138">
        <f>SUM(F10:F14)</f>
        <v>4669.4343322642171</v>
      </c>
      <c r="G15" s="4138">
        <f>SUM(G10:G14)</f>
        <v>350136.19765062846</v>
      </c>
      <c r="H15" s="4139">
        <f t="shared" ref="H15" si="2">100*((D15-F15)/F15)</f>
        <v>-0.4591070860007973</v>
      </c>
      <c r="I15" s="4140">
        <f t="shared" ref="I15" si="3">100*((E15-G15)/G15)</f>
        <v>-0.20137990911552264</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77070642-0BE5-409D-AD15-E0F38ABADF72}"/>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