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prod.protected.ind\user\User04\bp5653\my Documents\CRT builder 05042023\CRTs for submission\"/>
    </mc:Choice>
  </mc:AlternateContent>
  <xr:revisionPtr revIDLastSave="0" documentId="13_ncr:1_{741EFD56-603A-4D52-9C03-E642C118E26F}" xr6:coauthVersionLast="47" xr6:coauthVersionMax="47" xr10:uidLastSave="{00000000-0000-0000-0000-000000000000}"/>
  <bookViews>
    <workbookView xWindow="1560" yWindow="1560" windowWidth="8370" windowHeight="7485" tabRatio="700" xr2:uid="{5BD5EB13-0186-44FA-BCD7-2D525175399F}"/>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externalReferences>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[1]Sheet1!$C$4</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[1]Sheet1!$C$6</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[1]Sheet1!$C$8</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[1]Table10!#REF!</definedName>
    <definedName name="CRF_Table10s1_Dyn10" localSheetId="37">[1]Table10!#REF!</definedName>
    <definedName name="CRF_Table10s1_Dyn10" localSheetId="29">[1]Table10!#REF!</definedName>
    <definedName name="CRF_Table10s1_Dyn10">[1]Table10!#REF!</definedName>
    <definedName name="CRF_Table10s1_Dyn11" localSheetId="61">[1]Table10!#REF!</definedName>
    <definedName name="CRF_Table10s1_Dyn11" localSheetId="37">[1]Table10!#REF!</definedName>
    <definedName name="CRF_Table10s1_Dyn11" localSheetId="29">[1]Table10!#REF!</definedName>
    <definedName name="CRF_Table10s1_Dyn11">[1]Table10!#REF!</definedName>
    <definedName name="CRF_Table10s1_Dyn12" localSheetId="61">[1]Table10!#REF!</definedName>
    <definedName name="CRF_Table10s1_Dyn12" localSheetId="37">[1]Table10!#REF!</definedName>
    <definedName name="CRF_Table10s1_Dyn12" localSheetId="29">[1]Table10!#REF!</definedName>
    <definedName name="CRF_Table10s1_Dyn12">[1]Table10!#REF!</definedName>
    <definedName name="CRF_Table10s1_Dyn13" localSheetId="61">[1]Table10!#REF!</definedName>
    <definedName name="CRF_Table10s1_Dyn13" localSheetId="37">[1]Table10!#REF!</definedName>
    <definedName name="CRF_Table10s1_Dyn13" localSheetId="29">[1]Table10!#REF!</definedName>
    <definedName name="CRF_Table10s1_Dyn13">[1]Table10!#REF!</definedName>
    <definedName name="CRF_Table10s1_Dyn14" localSheetId="61">[1]Table10!#REF!</definedName>
    <definedName name="CRF_Table10s1_Dyn14" localSheetId="37">[1]Table10!#REF!</definedName>
    <definedName name="CRF_Table10s1_Dyn14" localSheetId="29">[1]Table10!#REF!</definedName>
    <definedName name="CRF_Table10s1_Dyn14">[1]Table10!#REF!</definedName>
    <definedName name="CRF_Table10s1_Dyn15" localSheetId="61">[1]Table10!#REF!</definedName>
    <definedName name="CRF_Table10s1_Dyn15" localSheetId="37">[1]Table10!#REF!</definedName>
    <definedName name="CRF_Table10s1_Dyn15" localSheetId="29">[1]Table10!#REF!</definedName>
    <definedName name="CRF_Table10s1_Dyn15">[1]Table10!#REF!</definedName>
    <definedName name="CRF_Table10s1_Dyn16" localSheetId="61">[1]Table10!#REF!</definedName>
    <definedName name="CRF_Table10s1_Dyn16" localSheetId="37">[1]Table10!#REF!</definedName>
    <definedName name="CRF_Table10s1_Dyn16" localSheetId="29">[1]Table10!#REF!</definedName>
    <definedName name="CRF_Table10s1_Dyn16">[1]Table10!#REF!</definedName>
    <definedName name="CRF_Table10s1_Dyn17" localSheetId="61">[1]Table10!#REF!</definedName>
    <definedName name="CRF_Table10s1_Dyn17" localSheetId="37">[1]Table10!#REF!</definedName>
    <definedName name="CRF_Table10s1_Dyn17" localSheetId="29">[1]Table10!#REF!</definedName>
    <definedName name="CRF_Table10s1_Dyn17">[1]Table10!#REF!</definedName>
    <definedName name="CRF_Table10s1_Dyn18" localSheetId="61">[1]Table10!#REF!</definedName>
    <definedName name="CRF_Table10s1_Dyn18" localSheetId="37">[1]Table10!#REF!</definedName>
    <definedName name="CRF_Table10s1_Dyn18" localSheetId="29">[1]Table10!#REF!</definedName>
    <definedName name="CRF_Table10s1_Dyn18">[1]Table10!#REF!</definedName>
    <definedName name="CRF_Table10s1_Dyn19" localSheetId="61">[1]Table10!#REF!</definedName>
    <definedName name="CRF_Table10s1_Dyn19" localSheetId="37">[1]Table10!#REF!</definedName>
    <definedName name="CRF_Table10s1_Dyn19" localSheetId="29">[1]Table10!#REF!</definedName>
    <definedName name="CRF_Table10s1_Dyn19">[1]Table10!#REF!</definedName>
    <definedName name="CRF_Table10s1_Dyn20" localSheetId="61">[1]Table10!#REF!</definedName>
    <definedName name="CRF_Table10s1_Dyn20" localSheetId="37">[1]Table10!#REF!</definedName>
    <definedName name="CRF_Table10s1_Dyn20" localSheetId="29">[1]Table10!#REF!</definedName>
    <definedName name="CRF_Table10s1_Dyn20">[1]Table10!#REF!</definedName>
    <definedName name="CRF_Table10s1_Dyn21" localSheetId="61">[1]Table10!#REF!</definedName>
    <definedName name="CRF_Table10s1_Dyn21" localSheetId="37">[1]Table10!#REF!</definedName>
    <definedName name="CRF_Table10s1_Dyn21" localSheetId="29">[1]Table10!#REF!</definedName>
    <definedName name="CRF_Table10s1_Dyn21">[1]Table10!#REF!</definedName>
    <definedName name="CRF_Table10s1_Dyn22" localSheetId="61">[1]Table10!#REF!</definedName>
    <definedName name="CRF_Table10s1_Dyn22" localSheetId="37">[1]Table10!#REF!</definedName>
    <definedName name="CRF_Table10s1_Dyn22" localSheetId="29">[1]Table10!#REF!</definedName>
    <definedName name="CRF_Table10s1_Dyn22">[1]Table10!#REF!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'[2]Table 4.D'!#REF!</definedName>
    <definedName name="CRF_Table5_.D_Doc" localSheetId="11">'[3]Table 4.D'!#REF!</definedName>
    <definedName name="CRF_Table5_.D_Doc" localSheetId="60">'[4]Table 4.D'!#REF!</definedName>
    <definedName name="CRF_Table5_.D_Doc" localSheetId="37">'[5]Table 4.D'!#REF!</definedName>
    <definedName name="CRF_Table5_.D_Doc" localSheetId="29">'[6]Table 4.D'!#REF!</definedName>
    <definedName name="CRF_Table5_.D_Doc" localSheetId="40">'[7]Table 4.D'!#REF!</definedName>
    <definedName name="CRF_Table5_.D_Doc">Table4.D!#REF!</definedName>
    <definedName name="CRF_Table5_.D_Main" localSheetId="61">'[2]Table 4.D'!#REF!</definedName>
    <definedName name="CRF_Table5_.D_Main" localSheetId="11">'[3]Table 4.D'!#REF!</definedName>
    <definedName name="CRF_Table5_.D_Main" localSheetId="60">'[4]Table 4.D'!#REF!</definedName>
    <definedName name="CRF_Table5_.D_Main" localSheetId="37">'[5]Table 4.D'!#REF!</definedName>
    <definedName name="CRF_Table5_.D_Main" localSheetId="29">'[6]Table 4.D'!#REF!</definedName>
    <definedName name="CRF_Table5_.D_Main" localSheetId="40">'[7]Table 4.D'!#REF!</definedName>
    <definedName name="CRF_Table5_.D_Main">Table4.D!#REF!</definedName>
    <definedName name="CRF_Table5_.D_Range1" localSheetId="61">'[2]Table 4.D'!#REF!</definedName>
    <definedName name="CRF_Table5_.D_Range1" localSheetId="11">'[3]Table 4.D'!#REF!</definedName>
    <definedName name="CRF_Table5_.D_Range1" localSheetId="60">'[4]Table 4.D'!#REF!</definedName>
    <definedName name="CRF_Table5_.D_Range1" localSheetId="37">'[5]Table 4.D'!#REF!</definedName>
    <definedName name="CRF_Table5_.D_Range1" localSheetId="29">'[6]Table 4.D'!#REF!</definedName>
    <definedName name="CRF_Table5_.D_Range1" localSheetId="40">'[7]Table 4.D'!#REF!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'[2]Table 4(I)'!#REF!</definedName>
    <definedName name="CRF_Table5_I_Main" localSheetId="11">'[3]Table 4(I)'!#REF!</definedName>
    <definedName name="CRF_Table5_I_Main" localSheetId="60">'[4]Table 4(I)'!#REF!</definedName>
    <definedName name="CRF_Table5_I_Main" localSheetId="37">#REF!</definedName>
    <definedName name="CRF_Table5_I_Main" localSheetId="29">'[6]Table 4(I)'!#REF!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'Table1.A(a)s2'!$B$1:$K$124</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'Table1.B.2'!$B$1:$L$70</definedName>
    <definedName name="_xlnm.Print_Area" localSheetId="12">Table1.C!$B$1:$E$54</definedName>
    <definedName name="_xlnm.Print_Area" localSheetId="13">Table1.D!$B$1:$M$43</definedName>
    <definedName name="_xlnm.Print_Area" localSheetId="55">Table10s1!$B$1:$AK$78</definedName>
    <definedName name="_xlnm.Print_Area" localSheetId="56">Table10s2!$B$1:$AK$77</definedName>
    <definedName name="_xlnm.Print_Area" localSheetId="57">Table10s3!$B$1:$AK$75</definedName>
    <definedName name="_xlnm.Print_Area" localSheetId="58">Table10s4!$B$1:$AK$75</definedName>
    <definedName name="_xlnm.Print_Area" localSheetId="59">Table10s5!$B$1:$AK$54</definedName>
    <definedName name="_xlnm.Print_Area" localSheetId="60">Table10s6!$B$1:$AK$61</definedName>
    <definedName name="_xlnm.Print_Area" localSheetId="14">'Table2(I)'!$B$1:$O$75</definedName>
    <definedName name="_xlnm.Print_Area" localSheetId="16">'Table2(I).A-H'!$B$1:$N$141</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Table3!$B$1:$J$67</definedName>
    <definedName name="_xlnm.Print_Area" localSheetId="20">Table3.A!$B$1:$P$68</definedName>
    <definedName name="_xlnm.Print_Area" localSheetId="21">'Table3.B(a)'!$B$1:$AB$64</definedName>
    <definedName name="_xlnm.Print_Area" localSheetId="22">'Table3.B(b)'!$B$1:$Z$68</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Table4.Gs2!$B$1:$R$86</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Table9!$B$1:$F$161</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'Table1.B.2'!$B$7:$K$45</definedName>
    <definedName name="Sheet11Range1" localSheetId="60">#REF!</definedName>
    <definedName name="Sheet11Range1">#REF!</definedName>
    <definedName name="Sheet11Range2" localSheetId="61">#REF!</definedName>
    <definedName name="Sheet11Range2" localSheetId="11">'Table1.B.2'!$B$62:$K$69</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'Table1.B.2'!$B$62:$K$70</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'[8]Table2(I).A-Hs1'!#REF!</definedName>
    <definedName name="Sheet15Range2" localSheetId="16">'Table2(I).A-H'!#REF!</definedName>
    <definedName name="Sheet15Range2">#REF!</definedName>
    <definedName name="Sheet16Range1">#REF!</definedName>
    <definedName name="Sheet16Range2">#REF!</definedName>
    <definedName name="Sheet16Range3" localSheetId="61">'[8]Table2(I).A-Hs2'!#REF!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Table3!$B$8:$I$48</definedName>
    <definedName name="Sheet26Range2" localSheetId="37">#REF!</definedName>
    <definedName name="Sheet26Range2">Table3!$B$62:$G$66</definedName>
    <definedName name="Sheet26Range3" localSheetId="37">#REF!</definedName>
    <definedName name="Sheet26Range3">Table3!$G$1:$G$3</definedName>
    <definedName name="Sheet26Range4" localSheetId="37">#REF!</definedName>
    <definedName name="Sheet26Range4">Table3!$B$62:$G$67</definedName>
    <definedName name="Sheet27Range1" localSheetId="37">#REF!</definedName>
    <definedName name="Sheet27Range1">Table3.A!$B$7:$F$45</definedName>
    <definedName name="Sheet27Range2" localSheetId="37">#REF!</definedName>
    <definedName name="Sheet27Range2">Table3.A!$I$7:$O$15</definedName>
    <definedName name="Sheet27Range3" localSheetId="37">#REF!</definedName>
    <definedName name="Sheet27Range3">Table3.A!$B$42:$P$50</definedName>
    <definedName name="Sheet27Range4" localSheetId="37">#REF!</definedName>
    <definedName name="Sheet27Range4">Table3.A!$O$1:$O$3</definedName>
    <definedName name="Sheet27Range5" localSheetId="37">#REF!</definedName>
    <definedName name="Sheet27Range5">Table3.A!$B$58:$F$66</definedName>
    <definedName name="Sheet28Range1" localSheetId="37">#REF!</definedName>
    <definedName name="Sheet28Range1">'Table3.B(a)'!$B$6:$J$45</definedName>
    <definedName name="Sheet28Range2" localSheetId="37">#REF!</definedName>
    <definedName name="Sheet28Range2">'Table3.B(a)'!$B$56:$J$63</definedName>
    <definedName name="Sheet28Range3" localSheetId="37">#REF!</definedName>
    <definedName name="Sheet28Range3">'Table3.B(a)'!$J$1:$J$3</definedName>
    <definedName name="Sheet28Range4" localSheetId="37">#REF!</definedName>
    <definedName name="Sheet28Range4">'Table3.B(a)'!$B$56:$J$64</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'[2]Table 3.B(b)'!#REF!</definedName>
    <definedName name="Sheet30Range1" localSheetId="11">'[3]Table 3.B(b)'!#REF!</definedName>
    <definedName name="Sheet30Range1" localSheetId="60">'[4]Table 3.B(b)'!#REF!</definedName>
    <definedName name="Sheet30Range1" localSheetId="37">#REF!</definedName>
    <definedName name="Sheet30Range1" localSheetId="29">'[6]Table 3.B(b)'!#REF!</definedName>
    <definedName name="Sheet30Range1">'Table3.B(b)'!#REF!</definedName>
    <definedName name="Sheet30Range2" localSheetId="61">'[2]Table 3.B(b)'!#REF!</definedName>
    <definedName name="Sheet30Range2" localSheetId="11">'[3]Table 3.B(b)'!#REF!</definedName>
    <definedName name="Sheet30Range2" localSheetId="60">'[4]Table 3.B(b)'!#REF!</definedName>
    <definedName name="Sheet30Range2" localSheetId="37">#REF!</definedName>
    <definedName name="Sheet30Range2" localSheetId="29">'[6]Table 3.B(b)'!#REF!</definedName>
    <definedName name="Sheet30Range2">'Table3.B(b)'!#REF!</definedName>
    <definedName name="Sheet30Range3" localSheetId="61">'[2]Table 3.B(b)'!#REF!</definedName>
    <definedName name="Sheet30Range3" localSheetId="11">'[3]Table 3.B(b)'!#REF!</definedName>
    <definedName name="Sheet30Range3" localSheetId="60">'[4]Table 3.B(b)'!#REF!</definedName>
    <definedName name="Sheet30Range3" localSheetId="37">#REF!</definedName>
    <definedName name="Sheet30Range3" localSheetId="29">'[6]Table 3.B(b)'!#REF!</definedName>
    <definedName name="Sheet30Range3">'Table3.B(b)'!#REF!</definedName>
    <definedName name="Sheet30Range4" localSheetId="61">'[2]Table 3.B(b)'!#REF!</definedName>
    <definedName name="Sheet30Range4" localSheetId="11">'[3]Table 3.B(b)'!#REF!</definedName>
    <definedName name="Sheet30Range4" localSheetId="60">'[4]Table 3.B(b)'!#REF!</definedName>
    <definedName name="Sheet30Range4" localSheetId="37">#REF!</definedName>
    <definedName name="Sheet30Range4">'Table3.B(b)'!#REF!</definedName>
    <definedName name="Sheet30Range5" localSheetId="61">'[2]Table 3.B(b)'!#REF!</definedName>
    <definedName name="Sheet30Range5" localSheetId="11">'[3]Table 3.B(b)'!#REF!</definedName>
    <definedName name="Sheet30Range5" localSheetId="60">'[4]Table 3.B(b)'!#REF!</definedName>
    <definedName name="Sheet30Range5" localSheetId="37">#REF!</definedName>
    <definedName name="Sheet30Range5" localSheetId="29">'[6]Table 3.B(b)'!#REF!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'[2]Table 3.D'!#REF!</definedName>
    <definedName name="Sheet32Range1" localSheetId="11">'[3]Table 3.D'!#REF!</definedName>
    <definedName name="Sheet32Range1" localSheetId="60">'[4]Table 3.D'!#REF!</definedName>
    <definedName name="Sheet32Range1" localSheetId="37">#REF!</definedName>
    <definedName name="Sheet32Range1" localSheetId="29">'[6]Table 3.D'!#REF!</definedName>
    <definedName name="Sheet32Range1" localSheetId="40">'[7]Table 3.D'!#REF!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'[6]Table 3.D'!#REF!</definedName>
    <definedName name="Sheet32Range2" localSheetId="40">#REF!</definedName>
    <definedName name="Sheet32Range2">#REF!</definedName>
    <definedName name="Sheet32Range3" localSheetId="61">'[2]Table 3.D'!#REF!</definedName>
    <definedName name="Sheet32Range3" localSheetId="11">'[3]Table 3.D'!#REF!</definedName>
    <definedName name="Sheet32Range3" localSheetId="60">'[4]Table 3.D'!#REF!</definedName>
    <definedName name="Sheet32Range3" localSheetId="37">#REF!</definedName>
    <definedName name="Sheet32Range3" localSheetId="29">'[6]Table 3.D'!#REF!</definedName>
    <definedName name="Sheet32Range3" localSheetId="40">'[7]Table 3.D'!#REF!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'[6]Table 3.D'!#REF!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'[2]Table 3.E'!#REF!</definedName>
    <definedName name="Sheet34Range2" localSheetId="11">'[3]Table 3.E'!#REF!</definedName>
    <definedName name="Sheet34Range2" localSheetId="60">'[4]Table 3.E'!#REF!</definedName>
    <definedName name="Sheet34Range2" localSheetId="37">'[5]Table 3.E'!#REF!</definedName>
    <definedName name="Sheet34Range2" localSheetId="40">'[7]Table 3.E'!#REF!</definedName>
    <definedName name="Sheet34Range2">Table3.E!#REF!</definedName>
    <definedName name="Sheet34Range3">Table3.E!$B$23:$K$26</definedName>
    <definedName name="Sheet34Range4">Table3.E!$K$1:$K$3</definedName>
    <definedName name="Sheet34Range5">Table3.E!$B$23:$K$27</definedName>
    <definedName name="Sheet35Range1" localSheetId="61">'[2]Table 3.F'!#REF!</definedName>
    <definedName name="Sheet35Range1" localSheetId="11">'[3]Table 3.F'!#REF!</definedName>
    <definedName name="Sheet35Range1" localSheetId="60">'[4]Table 3.F'!#REF!</definedName>
    <definedName name="Sheet35Range1" localSheetId="37">#REF!</definedName>
    <definedName name="Sheet35Range1" localSheetId="29">'[6]Table 3.F'!#REF!</definedName>
    <definedName name="Sheet35Range1" localSheetId="40">'[7]Table 3.F'!#REF!</definedName>
    <definedName name="Sheet35Range1">Table3.F!#REF!</definedName>
    <definedName name="Sheet35Range2" localSheetId="61">'[2]Table 3.F'!#REF!</definedName>
    <definedName name="Sheet35Range2" localSheetId="11">'[3]Table 3.F'!#REF!</definedName>
    <definedName name="Sheet35Range2" localSheetId="60">'[4]Table 3.F'!#REF!</definedName>
    <definedName name="Sheet35Range2" localSheetId="37">#REF!</definedName>
    <definedName name="Sheet35Range2" localSheetId="29">'[6]Table 3.F'!#REF!</definedName>
    <definedName name="Sheet35Range2" localSheetId="40">'[7]Table 3.F'!#REF!</definedName>
    <definedName name="Sheet35Range2">Table3.F!#REF!</definedName>
    <definedName name="Sheet35Range3" localSheetId="37">#REF!</definedName>
    <definedName name="Sheet35Range3">Table3.F!$J$1:$J$3</definedName>
    <definedName name="Sheet35Range4" localSheetId="61">'[2]Table 3.F'!#REF!</definedName>
    <definedName name="Sheet35Range4" localSheetId="11">'[3]Table 3.F'!#REF!</definedName>
    <definedName name="Sheet35Range4" localSheetId="60">'[4]Table 3.F'!#REF!</definedName>
    <definedName name="Sheet35Range4" localSheetId="37">#REF!</definedName>
    <definedName name="Sheet35Range4" localSheetId="29">'[6]Table 3.F'!#REF!</definedName>
    <definedName name="Sheet35Range4" localSheetId="40">'[7]Table 3.F'!#REF!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[9]Example_4!#REF!</definedName>
    <definedName name="Sheet43Range2" localSheetId="11">[3]Table5.A!#REF!</definedName>
    <definedName name="Sheet43Range2" localSheetId="60">[4]Table5.A!#REF!</definedName>
    <definedName name="Sheet43Range2" localSheetId="40">[7]Table5.A!#REF!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[9]Example_4!#REF!</definedName>
    <definedName name="Sheet44Range1" localSheetId="11">[3]Table5.A!#REF!</definedName>
    <definedName name="Sheet44Range1" localSheetId="60">[4]Table5.A!#REF!</definedName>
    <definedName name="Sheet44Range1" localSheetId="40">[7]Table5.A!#REF!</definedName>
    <definedName name="Sheet44Range1">#REF!</definedName>
    <definedName name="Sheet44Range2" localSheetId="61">#REF!</definedName>
    <definedName name="Sheet44Range2">#REF!</definedName>
    <definedName name="Sheet45Range1" localSheetId="61">[2]Table5.D!#REF!</definedName>
    <definedName name="Sheet45Range1" localSheetId="11">[3]Table5.D!#REF!</definedName>
    <definedName name="Sheet45Range1" localSheetId="60">[4]Table5.D!#REF!</definedName>
    <definedName name="Sheet45Range1" localSheetId="40">[7]Table5.D!#REF!</definedName>
    <definedName name="Sheet45Range1">#REF!</definedName>
    <definedName name="Sheet45Range2" localSheetId="61">[2]Table5.D!#REF!</definedName>
    <definedName name="Sheet45Range2" localSheetId="11">[3]Table5.D!#REF!</definedName>
    <definedName name="Sheet45Range2" localSheetId="60">[4]Table5.D!#REF!</definedName>
    <definedName name="Sheet45Range2" localSheetId="40">[7]Table5.D!#REF!</definedName>
    <definedName name="Sheet45Range2">#REF!</definedName>
    <definedName name="Sheet45Range3" localSheetId="61">[2]Table5.D!#REF!</definedName>
    <definedName name="Sheet45Range3" localSheetId="11">[3]Table5.D!#REF!</definedName>
    <definedName name="Sheet45Range3" localSheetId="60">[4]Table5.D!#REF!</definedName>
    <definedName name="Sheet45Range3" localSheetId="40">[7]Table5.D!#REF!</definedName>
    <definedName name="Sheet45Range3">#REF!</definedName>
    <definedName name="Sheet45Range4" localSheetId="61">#REF!</definedName>
    <definedName name="Sheet45Range4">#REF!</definedName>
    <definedName name="Sheet45Range5" localSheetId="61">[2]Table5.D!#REF!</definedName>
    <definedName name="Sheet45Range5" localSheetId="11">[3]Table5.D!#REF!</definedName>
    <definedName name="Sheet45Range5" localSheetId="60">[4]Table5.D!#REF!</definedName>
    <definedName name="Sheet45Range5" localSheetId="40">[7]Table5.D!#REF!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[10]Summary2!#REF!</definedName>
    <definedName name="Sheet51Range3" localSheetId="37">[10]Summary2!#REF!</definedName>
    <definedName name="Sheet51Range3" localSheetId="38">[10]Summary2!#REF!</definedName>
    <definedName name="Sheet51Range3" localSheetId="39">[10]Summary2!#REF!</definedName>
    <definedName name="Sheet51Range3" localSheetId="29">[10]Summary2!#REF!</definedName>
    <definedName name="Sheet51Range3">[10]Summary2!#REF!</definedName>
    <definedName name="Sheet51Range4" localSheetId="61">[9]Example_2!#REF!</definedName>
    <definedName name="Sheet51Range4" localSheetId="11">[3]Summary2!#REF!</definedName>
    <definedName name="Sheet51Range4" localSheetId="60">[4]Summary2!#REF!</definedName>
    <definedName name="Sheet51Range4" localSheetId="40">[7]Summary2!#REF!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'[10]Table8(a)s3'!#REF!</definedName>
    <definedName name="Sheet55Range2" localSheetId="37">'[10]Table8(a)s3'!#REF!</definedName>
    <definedName name="Sheet55Range2" localSheetId="29">'[10]Table8(a)s3'!#REF!</definedName>
    <definedName name="Sheet55Range2" localSheetId="53">Table8s2!$B$7:$T$30</definedName>
    <definedName name="Sheet55Range2">'[10]Table8(a)s3'!#REF!</definedName>
    <definedName name="Sheet55Range3" localSheetId="61">'[10]Table8(a)s3'!#REF!</definedName>
    <definedName name="Sheet55Range3" localSheetId="37">'[10]Table8(a)s3'!#REF!</definedName>
    <definedName name="Sheet55Range3" localSheetId="29">'[10]Table8(a)s3'!#REF!</definedName>
    <definedName name="Sheet55Range3" localSheetId="53">Table8s2!$D$32:$I$35</definedName>
    <definedName name="Sheet55Range3">'[10]Table8(a)s3'!#REF!</definedName>
    <definedName name="Sheet55Range4" localSheetId="61">'[10]Table8(a)s3'!#REF!</definedName>
    <definedName name="Sheet55Range4" localSheetId="37">'[10]Table8(a)s3'!#REF!</definedName>
    <definedName name="Sheet55Range4" localSheetId="29">'[10]Table8(a)s3'!#REF!</definedName>
    <definedName name="Sheet55Range4" localSheetId="53">Table8s2!$B$47:$S$47</definedName>
    <definedName name="Sheet55Range4">'[10]Table8(a)s3'!#REF!</definedName>
    <definedName name="Sheet55Range5" localSheetId="61">#REF!</definedName>
    <definedName name="Sheet55Range5" localSheetId="53">Table8s2!$AF$1:$AF$3</definedName>
    <definedName name="Sheet55Range5">#REF!</definedName>
    <definedName name="Sheet55Range6" localSheetId="61">'[10]Table8(a)s3'!#REF!</definedName>
    <definedName name="Sheet55Range6" localSheetId="37">'[10]Table8(a)s3'!#REF!</definedName>
    <definedName name="Sheet55Range6" localSheetId="29">'[10]Table8(a)s3'!#REF!</definedName>
    <definedName name="Sheet55Range6" localSheetId="53">Table8s2!$B$47:$S$52</definedName>
    <definedName name="Sheet55Range6">'[10]Table8(a)s3'!#REF!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Table9!$B$8:$F$57</definedName>
    <definedName name="Sheet57Range2">Table9!$B$59:$F$149</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Table10s2!$B$8:$AK$57</definedName>
    <definedName name="Sheet59Range2">Table10s2!$AK$1:$AK$3</definedName>
    <definedName name="Sheet59Range3">Table10s2!$B$1:$AK$3</definedName>
    <definedName name="Sheet5Range1">'Table1.A(a)s3'!$B$7:$J$120</definedName>
    <definedName name="Sheet5Range2">'Table1.A(a)s3'!$J$1:$J$3</definedName>
    <definedName name="Sheet60Range1">Table10s3!$B$8:$AK$71</definedName>
    <definedName name="Sheet60Range2">Table10s3!$AK$1:$AK$3</definedName>
    <definedName name="Sheet60Range3">Table10s3!$B$1:$AK$3</definedName>
    <definedName name="Sheet61Range1">Table10s4!$B$8:$AK$71</definedName>
    <definedName name="Sheet61Range2">Table10s4!$AK$1:$AK$3</definedName>
    <definedName name="Sheet61Range3">Table10s4!$B$1:$AK$3</definedName>
    <definedName name="Sheet62Range1" localSheetId="61">#REF!</definedName>
    <definedName name="Sheet62Range1">Table10s5!$B$8:$AK$51</definedName>
    <definedName name="Sheet62Range2" localSheetId="61">#REF!</definedName>
    <definedName name="Sheet62Range2">Table10s5!$AK$1:$AK$3</definedName>
    <definedName name="Sheet62Range3" localSheetId="61">#REF!</definedName>
    <definedName name="Sheet62Range3">Table10s5!$B$1:$AK$3</definedName>
    <definedName name="Sheet63Range1" localSheetId="61">#REF!</definedName>
    <definedName name="Sheet63Range1" localSheetId="60">Table10s6!$B$8:$AK$24</definedName>
    <definedName name="Sheet63Range1">#REF!</definedName>
    <definedName name="Sheet63Range2" localSheetId="61">#REF!</definedName>
    <definedName name="Sheet63Range2" localSheetId="60">Table10s6!$B$27:$AK$35</definedName>
    <definedName name="Sheet63Range2">#REF!</definedName>
    <definedName name="Sheet63Range3" localSheetId="61">#REF!</definedName>
    <definedName name="Sheet63Range3" localSheetId="60">Table10s6!$B$56:$AK$67</definedName>
    <definedName name="Sheet63Range3">#REF!</definedName>
    <definedName name="Sheet63Range4" localSheetId="61">#REF!</definedName>
    <definedName name="Sheet63Range4" localSheetId="60">Table10s6!$AK$1:$AK$3</definedName>
    <definedName name="Sheet63Range4">#REF!</definedName>
    <definedName name="Sheet63Range5" localSheetId="61">#REF!</definedName>
    <definedName name="Sheet63Range5" localSheetId="60">Table10s6!$B$8:$AK$35</definedName>
    <definedName name="Sheet63Range5">#REF!</definedName>
    <definedName name="Sheet63Range6" localSheetId="61">#REF!</definedName>
    <definedName name="Sheet63Range6" localSheetId="60">Table10s6!$B$1:$AK$3</definedName>
    <definedName name="Sheet63Range6">#REF!</definedName>
    <definedName name="Sheet63Range7" localSheetId="61">#REF!</definedName>
    <definedName name="Sheet63Range7" localSheetId="60">Table10s6!$B$56:$BH$56</definedName>
    <definedName name="Sheet63Range7">#REF!</definedName>
    <definedName name="Sheet64Range1">Table7!$B$8:$G$236</definedName>
    <definedName name="Sheet64Range2" localSheetId="61">[9]Example_11!#REF!</definedName>
    <definedName name="Sheet64Range2" localSheetId="11">[3]Table7!#REF!</definedName>
    <definedName name="Sheet64Range2" localSheetId="60">[4]Table7!#REF!</definedName>
    <definedName name="Sheet64Range2" localSheetId="40">[7]Table7!#REF!</definedName>
    <definedName name="Sheet64Range2">Table7!#REF!</definedName>
    <definedName name="Sheet64Range3">Table7!$G$1:$G$3</definedName>
    <definedName name="Sheet64Range4" localSheetId="61">[9]Example_11!#REF!</definedName>
    <definedName name="Sheet64Range4" localSheetId="11">[3]Table7!#REF!</definedName>
    <definedName name="Sheet64Range4" localSheetId="60">[4]Table7!#REF!</definedName>
    <definedName name="Sheet64Range4" localSheetId="40">[7]Table7!#REF!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'[10]Table1.A(c)'!#REF!</definedName>
    <definedName name="Sheet8Range2" localSheetId="60">'[10]Table1.A(c)'!#REF!</definedName>
    <definedName name="Sheet8Range2" localSheetId="37">'[10]Table1.A(c)'!#REF!</definedName>
    <definedName name="Sheet8Range2" localSheetId="29">'[10]Table1.A(c)'!#REF!</definedName>
    <definedName name="Sheet8Range2" localSheetId="40">'[10]Table1.A(c)'!#REF!</definedName>
    <definedName name="Sheet8Range2">'[10]Table1.A(c)'!#REF!</definedName>
    <definedName name="Sheet8Range3">'Table1.A(c)'!$I$1:$I$3</definedName>
    <definedName name="Sheet8Range4">'Table1.A(c)'!$B$30:$I$34</definedName>
    <definedName name="Sheet9Range1">'Table1.A(d)'!$E$7:$G$37</definedName>
    <definedName name="Sheet9Range2" localSheetId="61">'[2]Table1.A(d)'!#REF!</definedName>
    <definedName name="Sheet9Range2" localSheetId="11">'[3]Table1.A(d)'!#REF!</definedName>
    <definedName name="Sheet9Range2" localSheetId="60">'[4]Table1.A(d)'!#REF!</definedName>
    <definedName name="Sheet9Range2">'Table1.A(d)'!#REF!</definedName>
    <definedName name="Sheet9Range3">'Table1.A(d)'!$H$7:$H$37</definedName>
    <definedName name="Sheet9Range4" localSheetId="61">'[2]Table1.A(d)'!#REF!</definedName>
    <definedName name="Sheet9Range4" localSheetId="11">'[3]Table1.A(d)'!#REF!</definedName>
    <definedName name="Sheet9Range4" localSheetId="60">'[4]Table1.A(d)'!#REF!</definedName>
    <definedName name="Sheet9Range4">'Table1.A(d)'!#REF!</definedName>
    <definedName name="Sheet9Range5" localSheetId="61">'[10]Table1.A(d)changed'!#REF!</definedName>
    <definedName name="Sheet9Range5" localSheetId="37">'[10]Table1.A(d)changed'!#REF!</definedName>
    <definedName name="Sheet9Range5" localSheetId="29">'[10]Table1.A(d)changed'!#REF!</definedName>
    <definedName name="Sheet9Range5">'[10]Table1.A(d)changed'!#REF!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Table10s6!$B$8:$AK$35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54" l="1"/>
  <c r="C25" i="10"/>
  <c r="C24" i="10"/>
  <c r="F27" i="33"/>
  <c r="F33" i="33"/>
  <c r="F38" i="33"/>
  <c r="F37" i="33"/>
  <c r="F36" i="33"/>
  <c r="F35" i="33"/>
  <c r="F41" i="33"/>
  <c r="F43" i="33"/>
  <c r="F21" i="33"/>
  <c r="F19" i="33"/>
  <c r="F18" i="33"/>
  <c r="F17" i="33"/>
  <c r="F15" i="33"/>
  <c r="I178" i="34"/>
  <c r="I176" i="34"/>
  <c r="I174" i="34"/>
  <c r="I172" i="34"/>
  <c r="I169" i="34"/>
  <c r="I168" i="34"/>
  <c r="I167" i="34"/>
  <c r="I166" i="34"/>
  <c r="I161" i="34"/>
  <c r="AK45" i="25"/>
  <c r="AK44" i="25"/>
  <c r="AK43" i="25"/>
  <c r="AK42" i="25"/>
  <c r="AK41" i="25"/>
  <c r="AK40" i="25"/>
  <c r="AJ45" i="25"/>
  <c r="AJ43" i="25"/>
  <c r="AJ42" i="25"/>
  <c r="AJ40" i="25"/>
  <c r="AI45" i="25"/>
  <c r="AI44" i="25"/>
  <c r="AI43" i="25"/>
  <c r="AI42" i="25"/>
  <c r="AI41"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AK18" i="78" l="1"/>
  <c r="R23" i="52" l="1"/>
  <c r="Q23" i="52"/>
  <c r="P23" i="52"/>
  <c r="R35" i="52"/>
  <c r="Q35" i="52"/>
  <c r="P35" i="52"/>
  <c r="J83" i="11" l="1"/>
  <c r="I83" i="11"/>
  <c r="H83" i="11"/>
  <c r="J73" i="11"/>
  <c r="I73" i="11"/>
  <c r="H73" i="11"/>
  <c r="J25" i="10"/>
  <c r="I25" i="10"/>
  <c r="J29" i="10"/>
  <c r="I29" i="10"/>
  <c r="AK34" i="125" l="1"/>
  <c r="AK18" i="125"/>
  <c r="AK20" i="125"/>
  <c r="F34" i="125"/>
  <c r="G34" i="125"/>
  <c r="H34" i="125"/>
  <c r="I34" i="125"/>
  <c r="J34" i="125"/>
  <c r="K34" i="125"/>
  <c r="L34" i="125"/>
  <c r="M34" i="125"/>
  <c r="N34" i="125"/>
  <c r="O34" i="125"/>
  <c r="P34" i="125"/>
  <c r="Q34" i="125"/>
  <c r="R34" i="125"/>
  <c r="S34" i="125"/>
  <c r="T34" i="125"/>
  <c r="U34" i="125"/>
  <c r="V34" i="125"/>
  <c r="W34" i="125"/>
  <c r="X34" i="125"/>
  <c r="Y34" i="125"/>
  <c r="Z34" i="125"/>
  <c r="AA34" i="125"/>
  <c r="AB34" i="125"/>
  <c r="AC34" i="125"/>
  <c r="AD34" i="125"/>
  <c r="AE34" i="125"/>
  <c r="AF34" i="125"/>
  <c r="AG34" i="125"/>
  <c r="AH34" i="125"/>
  <c r="AI34" i="125"/>
  <c r="AJ34" i="125"/>
  <c r="E34" i="125"/>
  <c r="AK36" i="75"/>
  <c r="AK40" i="75"/>
  <c r="AK41" i="75"/>
  <c r="AK48" i="75"/>
  <c r="AK56" i="75"/>
  <c r="AK57" i="75"/>
  <c r="F67" i="75"/>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E21" i="75"/>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G57" i="75"/>
  <c r="H57" i="75"/>
  <c r="I57" i="75"/>
  <c r="J57" i="75"/>
  <c r="K57" i="75"/>
  <c r="L57" i="75"/>
  <c r="M57" i="75"/>
  <c r="N57" i="75"/>
  <c r="O57" i="75"/>
  <c r="P57" i="75"/>
  <c r="Q57" i="75"/>
  <c r="R57" i="75"/>
  <c r="S57" i="75"/>
  <c r="T57" i="75"/>
  <c r="U57" i="75"/>
  <c r="V57" i="75"/>
  <c r="W57" i="75"/>
  <c r="X57" i="75"/>
  <c r="Y57" i="75"/>
  <c r="Z57" i="75"/>
  <c r="AA57" i="75"/>
  <c r="AB57" i="75"/>
  <c r="AC57" i="75"/>
  <c r="AD57" i="75"/>
  <c r="AE57" i="75"/>
  <c r="AF57" i="75"/>
  <c r="AG57" i="75"/>
  <c r="AH57" i="75"/>
  <c r="AI57" i="75"/>
  <c r="AJ57" i="75"/>
  <c r="U62" i="78"/>
  <c r="AJ62" i="78"/>
  <c r="AH62" i="78"/>
  <c r="AC62" i="78"/>
  <c r="AA62" i="78"/>
  <c r="Y62" i="78"/>
  <c r="X62" i="78"/>
  <c r="W62" i="78"/>
  <c r="T62" i="78"/>
  <c r="R62" i="78"/>
  <c r="Q62" i="78"/>
  <c r="O62" i="78"/>
  <c r="M62" i="78"/>
  <c r="L62" i="78"/>
  <c r="K62" i="78"/>
  <c r="J62" i="78"/>
  <c r="H62" i="78"/>
  <c r="AI62" i="78"/>
  <c r="AG62" i="78"/>
  <c r="AF62" i="78"/>
  <c r="AC62" i="77"/>
  <c r="E62" i="77"/>
  <c r="AG62" i="77"/>
  <c r="AB62" i="77"/>
  <c r="Y62" i="77"/>
  <c r="W62" i="77"/>
  <c r="M62" i="77"/>
  <c r="L62" i="77"/>
  <c r="AJ62" i="77"/>
  <c r="U62" i="77"/>
  <c r="P62" i="77"/>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E66" i="75"/>
  <c r="F64" i="75"/>
  <c r="G64" i="75"/>
  <c r="H64" i="75"/>
  <c r="I64" i="75"/>
  <c r="J64" i="75"/>
  <c r="K64" i="75"/>
  <c r="L64" i="75"/>
  <c r="M64" i="75"/>
  <c r="N64" i="75"/>
  <c r="O64" i="75"/>
  <c r="P64" i="75"/>
  <c r="Q64" i="75"/>
  <c r="R64" i="75"/>
  <c r="S64" i="75"/>
  <c r="T64" i="75"/>
  <c r="U64" i="75"/>
  <c r="V64" i="75"/>
  <c r="W64" i="75"/>
  <c r="X64" i="75"/>
  <c r="Y64" i="75"/>
  <c r="Z64" i="75"/>
  <c r="AA64" i="75"/>
  <c r="AB64" i="75"/>
  <c r="AC64" i="75"/>
  <c r="AD64" i="75"/>
  <c r="AE64" i="75"/>
  <c r="AF64" i="75"/>
  <c r="AG64" i="75"/>
  <c r="AH64" i="75"/>
  <c r="AI64" i="75"/>
  <c r="AJ64" i="75"/>
  <c r="AJ21" i="75"/>
  <c r="AK21" i="75" s="1"/>
  <c r="AI21" i="75"/>
  <c r="AJ65" i="75"/>
  <c r="AK65" i="75" s="1"/>
  <c r="AI65" i="75"/>
  <c r="E64" i="75"/>
  <c r="AK25" i="78"/>
  <c r="AK26" i="78"/>
  <c r="AK29" i="78"/>
  <c r="AK40" i="78"/>
  <c r="AK47" i="78"/>
  <c r="AK55" i="78"/>
  <c r="AK56" i="78"/>
  <c r="AK28" i="76"/>
  <c r="AK40" i="76"/>
  <c r="AK47" i="76"/>
  <c r="AK55" i="76"/>
  <c r="AK56" i="76"/>
  <c r="AK25" i="77"/>
  <c r="AK28" i="77"/>
  <c r="AK29" i="77"/>
  <c r="AK40" i="77"/>
  <c r="AK47" i="77"/>
  <c r="AK49" i="77"/>
  <c r="AK55" i="77"/>
  <c r="AK56" i="77"/>
  <c r="AJ50" i="78"/>
  <c r="L50" i="78"/>
  <c r="R50" i="78"/>
  <c r="M50" i="78"/>
  <c r="AJ50" i="76"/>
  <c r="AI50" i="76"/>
  <c r="AH50" i="76"/>
  <c r="AG50" i="76"/>
  <c r="AF50" i="76"/>
  <c r="AE50" i="76"/>
  <c r="AC50" i="76"/>
  <c r="AB50" i="76"/>
  <c r="AA50" i="76"/>
  <c r="Z50" i="76"/>
  <c r="Y50" i="76"/>
  <c r="X50" i="76"/>
  <c r="W50" i="76"/>
  <c r="U50" i="76"/>
  <c r="T50" i="76"/>
  <c r="S50" i="76"/>
  <c r="R50" i="76"/>
  <c r="Q50" i="76"/>
  <c r="P50" i="76"/>
  <c r="O50" i="76"/>
  <c r="N50" i="76"/>
  <c r="M50" i="76"/>
  <c r="L50" i="76"/>
  <c r="K50" i="76"/>
  <c r="J50" i="76"/>
  <c r="I50" i="76"/>
  <c r="H50" i="76"/>
  <c r="G50" i="76"/>
  <c r="E50" i="76"/>
  <c r="M54" i="75"/>
  <c r="Q54" i="75"/>
  <c r="V54" i="75"/>
  <c r="W54" i="75"/>
  <c r="Y54" i="75"/>
  <c r="AE54" i="75"/>
  <c r="E54" i="75"/>
  <c r="F52" i="75"/>
  <c r="G52" i="75"/>
  <c r="H52" i="75"/>
  <c r="I52" i="75"/>
  <c r="J52" i="75"/>
  <c r="K52" i="75"/>
  <c r="L52" i="75"/>
  <c r="M52" i="75"/>
  <c r="N52" i="75"/>
  <c r="O52" i="75"/>
  <c r="P52" i="75"/>
  <c r="Q52" i="75"/>
  <c r="R52" i="75"/>
  <c r="S52" i="75"/>
  <c r="T52" i="75"/>
  <c r="U52" i="75"/>
  <c r="V52" i="75"/>
  <c r="W52" i="75"/>
  <c r="X52" i="75"/>
  <c r="Y52" i="75"/>
  <c r="Z52" i="75"/>
  <c r="AA52" i="75"/>
  <c r="AB52" i="75"/>
  <c r="AC52" i="75"/>
  <c r="AD52" i="75"/>
  <c r="AE52" i="75"/>
  <c r="AG52" i="75"/>
  <c r="AH52" i="75"/>
  <c r="AI52" i="75"/>
  <c r="AJ52" i="75"/>
  <c r="F53" i="75"/>
  <c r="M53" i="75"/>
  <c r="N53" i="75"/>
  <c r="T53" i="75"/>
  <c r="U53" i="75"/>
  <c r="AC53" i="75"/>
  <c r="AD53" i="75"/>
  <c r="F55" i="75"/>
  <c r="H55" i="75"/>
  <c r="L55" i="75"/>
  <c r="M55" i="75"/>
  <c r="Q55" i="75"/>
  <c r="T55" i="75"/>
  <c r="V55" i="75"/>
  <c r="X55" i="75"/>
  <c r="Y55" i="75"/>
  <c r="AB55" i="75"/>
  <c r="AC55" i="75"/>
  <c r="AD55" i="75"/>
  <c r="AJ55" i="75"/>
  <c r="E55" i="75"/>
  <c r="E52" i="75"/>
  <c r="E53" i="75"/>
  <c r="F50" i="76"/>
  <c r="V50" i="76"/>
  <c r="AD50" i="76"/>
  <c r="AB50" i="78"/>
  <c r="T50" i="78"/>
  <c r="F49" i="75"/>
  <c r="G49" i="75"/>
  <c r="H49" i="75"/>
  <c r="I49" i="75"/>
  <c r="J49" i="75"/>
  <c r="K49" i="75"/>
  <c r="L49" i="75"/>
  <c r="M49" i="75"/>
  <c r="N49" i="75"/>
  <c r="O49" i="75"/>
  <c r="P49" i="75"/>
  <c r="Q49" i="75"/>
  <c r="R49" i="75"/>
  <c r="S49" i="75"/>
  <c r="T49" i="75"/>
  <c r="U49" i="75"/>
  <c r="V49" i="75"/>
  <c r="W49" i="75"/>
  <c r="X49" i="75"/>
  <c r="Y49" i="75"/>
  <c r="Z49" i="75"/>
  <c r="AA49" i="75"/>
  <c r="AB49" i="75"/>
  <c r="AC49" i="75"/>
  <c r="AD49" i="75"/>
  <c r="AE49" i="75"/>
  <c r="AF49" i="75"/>
  <c r="AG49" i="75"/>
  <c r="AH49" i="75"/>
  <c r="AI49" i="75"/>
  <c r="AJ49" i="75"/>
  <c r="E49" i="75"/>
  <c r="M41" i="77"/>
  <c r="AC41" i="77"/>
  <c r="U41" i="77"/>
  <c r="L41" i="77"/>
  <c r="E41" i="77"/>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E39" i="75"/>
  <c r="E38" i="75"/>
  <c r="F35" i="75"/>
  <c r="G35" i="75"/>
  <c r="H35" i="75"/>
  <c r="I35" i="75"/>
  <c r="J35" i="75"/>
  <c r="K35" i="75"/>
  <c r="L35" i="75"/>
  <c r="M35" i="75"/>
  <c r="N35" i="75"/>
  <c r="O35" i="75"/>
  <c r="P35" i="75"/>
  <c r="Q35" i="75"/>
  <c r="S35" i="75"/>
  <c r="T35" i="75"/>
  <c r="U35" i="75"/>
  <c r="V35" i="75"/>
  <c r="W35" i="75"/>
  <c r="X35" i="75"/>
  <c r="Y35" i="75"/>
  <c r="Z35" i="75"/>
  <c r="AB35" i="75"/>
  <c r="AC35" i="75"/>
  <c r="AE35" i="75"/>
  <c r="AF35" i="75"/>
  <c r="AG35" i="75"/>
  <c r="E35" i="75"/>
  <c r="G34" i="75"/>
  <c r="H34" i="75"/>
  <c r="I34" i="75"/>
  <c r="K34" i="75"/>
  <c r="M34" i="75"/>
  <c r="N34" i="75"/>
  <c r="O34" i="75"/>
  <c r="P34" i="75"/>
  <c r="Q34" i="75"/>
  <c r="R34" i="75"/>
  <c r="S34" i="75"/>
  <c r="T34" i="75"/>
  <c r="U34" i="75"/>
  <c r="W34" i="75"/>
  <c r="X34" i="75"/>
  <c r="Y34" i="75"/>
  <c r="Z34" i="75"/>
  <c r="AB34" i="75"/>
  <c r="AC34" i="75"/>
  <c r="AE34" i="75"/>
  <c r="AF34" i="75"/>
  <c r="AG34" i="75"/>
  <c r="AH34" i="75"/>
  <c r="AI34" i="75"/>
  <c r="E34" i="75"/>
  <c r="AG30" i="78"/>
  <c r="Q30" i="78"/>
  <c r="I30" i="78"/>
  <c r="F32" i="75"/>
  <c r="G32" i="75"/>
  <c r="H32" i="75"/>
  <c r="I32" i="75"/>
  <c r="J32" i="75"/>
  <c r="L32" i="75"/>
  <c r="M32" i="75"/>
  <c r="N32" i="75"/>
  <c r="O32" i="75"/>
  <c r="P32" i="75"/>
  <c r="Q32" i="75"/>
  <c r="U32" i="75"/>
  <c r="V32" i="75"/>
  <c r="W32" i="75"/>
  <c r="X32" i="75"/>
  <c r="Y32" i="75"/>
  <c r="Z32" i="75"/>
  <c r="AC32" i="75"/>
  <c r="AD32" i="75"/>
  <c r="AE32" i="75"/>
  <c r="AF32" i="75"/>
  <c r="AG32" i="75"/>
  <c r="AH32" i="75"/>
  <c r="J33" i="75"/>
  <c r="K33" i="75"/>
  <c r="R33" i="75"/>
  <c r="AA33" i="75"/>
  <c r="AH33" i="75"/>
  <c r="AI33" i="75"/>
  <c r="E32"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E30" i="75"/>
  <c r="E26"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F21" i="78"/>
  <c r="AB21" i="77"/>
  <c r="AH21" i="78"/>
  <c r="AG21" i="78"/>
  <c r="AE21" i="78"/>
  <c r="AC21" i="78"/>
  <c r="AB21" i="78"/>
  <c r="Z21" i="78"/>
  <c r="X21" i="78"/>
  <c r="U21" i="78"/>
  <c r="S21" i="78"/>
  <c r="Q21" i="78"/>
  <c r="P21" i="78"/>
  <c r="L21" i="78"/>
  <c r="J21" i="78"/>
  <c r="I21" i="78"/>
  <c r="G21" i="78"/>
  <c r="L21" i="77"/>
  <c r="R21" i="77"/>
  <c r="T21" i="77"/>
  <c r="AJ21" i="77"/>
  <c r="F23" i="75"/>
  <c r="G23" i="75"/>
  <c r="H23" i="75"/>
  <c r="I23" i="75"/>
  <c r="J23" i="75"/>
  <c r="K23" i="75"/>
  <c r="L23" i="75"/>
  <c r="M23" i="75"/>
  <c r="N23" i="75"/>
  <c r="O23" i="75"/>
  <c r="P23" i="75"/>
  <c r="R23" i="75"/>
  <c r="S23" i="75"/>
  <c r="T23" i="75"/>
  <c r="U23" i="75"/>
  <c r="V23" i="75"/>
  <c r="X23" i="75"/>
  <c r="Y23" i="75"/>
  <c r="Z23" i="75"/>
  <c r="AA23" i="75"/>
  <c r="AB23" i="75"/>
  <c r="AC23" i="75"/>
  <c r="AD23" i="75"/>
  <c r="AE23" i="75"/>
  <c r="AF23" i="75"/>
  <c r="AG23" i="75"/>
  <c r="AH23" i="75"/>
  <c r="AI23" i="75"/>
  <c r="AJ21" i="76"/>
  <c r="E23" i="75"/>
  <c r="AJ21" i="78"/>
  <c r="AI17" i="78"/>
  <c r="AG17" i="78"/>
  <c r="R17" i="78"/>
  <c r="K17" i="78"/>
  <c r="AJ17" i="78"/>
  <c r="AH17" i="78"/>
  <c r="AE17" i="78"/>
  <c r="AB17" i="78"/>
  <c r="Y17" i="78"/>
  <c r="X17" i="78"/>
  <c r="V17" i="78"/>
  <c r="T17" i="78"/>
  <c r="S17" i="78"/>
  <c r="O17" i="78"/>
  <c r="L17" i="78"/>
  <c r="J17" i="78"/>
  <c r="H17" i="78"/>
  <c r="G17" i="78"/>
  <c r="E17" i="78"/>
  <c r="AF17" i="78"/>
  <c r="AD17" i="78"/>
  <c r="AA17" i="78"/>
  <c r="P17" i="77"/>
  <c r="AJ17" i="77"/>
  <c r="AH17" i="77"/>
  <c r="AE17" i="77"/>
  <c r="AA17" i="77"/>
  <c r="Y17" i="77"/>
  <c r="X17" i="77"/>
  <c r="S17" i="77"/>
  <c r="O17" i="77"/>
  <c r="AI17" i="77"/>
  <c r="AG17" i="77"/>
  <c r="AF17" i="77"/>
  <c r="AD17" i="77"/>
  <c r="AI11" i="78"/>
  <c r="AJ11" i="77"/>
  <c r="AJ49" i="79"/>
  <c r="AI49" i="79"/>
  <c r="AH49" i="79"/>
  <c r="AG49" i="79"/>
  <c r="AF49" i="79"/>
  <c r="AE49" i="79"/>
  <c r="AD49" i="79"/>
  <c r="AC49" i="79"/>
  <c r="AB49" i="79"/>
  <c r="AA49" i="79"/>
  <c r="Z49" i="79"/>
  <c r="Y49" i="79"/>
  <c r="X49" i="79"/>
  <c r="W49" i="79"/>
  <c r="V49" i="79"/>
  <c r="U49" i="79"/>
  <c r="T49" i="79"/>
  <c r="S49" i="79"/>
  <c r="R49" i="79"/>
  <c r="Q49" i="79"/>
  <c r="P49" i="79"/>
  <c r="O49" i="79"/>
  <c r="N49" i="79"/>
  <c r="M49" i="79"/>
  <c r="L49" i="79"/>
  <c r="K49" i="79"/>
  <c r="J49" i="79"/>
  <c r="I49" i="79"/>
  <c r="H49" i="79"/>
  <c r="G49" i="79"/>
  <c r="F49" i="79"/>
  <c r="E49"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E19" i="125"/>
  <c r="I32" i="79"/>
  <c r="I17" i="125" s="1"/>
  <c r="Q29" i="70"/>
  <c r="T29" i="70" s="1"/>
  <c r="Q27" i="70"/>
  <c r="T27" i="70" s="1"/>
  <c r="K29" i="70"/>
  <c r="N29" i="70" s="1"/>
  <c r="K28" i="70"/>
  <c r="N28" i="70" s="1"/>
  <c r="K26" i="70"/>
  <c r="M26" i="70" s="1"/>
  <c r="L26" i="70"/>
  <c r="E47" i="70"/>
  <c r="F47" i="70" s="1"/>
  <c r="E28" i="70"/>
  <c r="G28" i="70" s="1"/>
  <c r="AK50" i="76" l="1"/>
  <c r="T41" i="77"/>
  <c r="U50" i="78"/>
  <c r="AI10" i="78"/>
  <c r="G17" i="77"/>
  <c r="N17" i="78"/>
  <c r="Z17" i="78"/>
  <c r="Y21" i="77"/>
  <c r="K21" i="78"/>
  <c r="W21" i="78"/>
  <c r="AI21" i="78"/>
  <c r="AB33" i="75"/>
  <c r="J50" i="78"/>
  <c r="AH50" i="78"/>
  <c r="T62" i="77"/>
  <c r="AF62" i="77"/>
  <c r="G62" i="78"/>
  <c r="S62" i="78"/>
  <c r="AE62" i="78"/>
  <c r="Y10" i="79"/>
  <c r="Y16" i="125" s="1"/>
  <c r="AJ53" i="75"/>
  <c r="L53" i="75"/>
  <c r="O54" i="75"/>
  <c r="P17" i="78"/>
  <c r="Y21" i="78"/>
  <c r="Z33" i="75"/>
  <c r="Y30" i="78"/>
  <c r="N54" i="75"/>
  <c r="I62" i="78"/>
  <c r="L37" i="75"/>
  <c r="V53" i="75"/>
  <c r="AG10" i="79"/>
  <c r="AG16" i="125" s="1"/>
  <c r="Q32" i="79"/>
  <c r="Q17" i="125" s="1"/>
  <c r="AF11" i="77"/>
  <c r="K17" i="77"/>
  <c r="W17" i="77"/>
  <c r="F17" i="78"/>
  <c r="O21" i="78"/>
  <c r="AA21" i="78"/>
  <c r="N55" i="75"/>
  <c r="Z50" i="78"/>
  <c r="AH11" i="78"/>
  <c r="AH10" i="78" s="1"/>
  <c r="N17" i="77"/>
  <c r="I17" i="78"/>
  <c r="AB41" i="77"/>
  <c r="AG54" i="75"/>
  <c r="I54" i="75"/>
  <c r="E50" i="78"/>
  <c r="AK50" i="78" s="1"/>
  <c r="AC50" i="78"/>
  <c r="Z62" i="78"/>
  <c r="AB17" i="77"/>
  <c r="W17" i="78"/>
  <c r="N21" i="77"/>
  <c r="H21" i="78"/>
  <c r="S33" i="75"/>
  <c r="T30" i="78"/>
  <c r="AD41" i="77"/>
  <c r="AG55" i="75"/>
  <c r="U55" i="75"/>
  <c r="I55" i="75"/>
  <c r="AB53" i="75"/>
  <c r="G54" i="75"/>
  <c r="Q62" i="77"/>
  <c r="P62" i="78"/>
  <c r="AB62" i="78"/>
  <c r="AD54" i="75"/>
  <c r="F54" i="75"/>
  <c r="E62" i="78"/>
  <c r="AK62" i="78" s="1"/>
  <c r="AD11" i="77"/>
  <c r="AD11" i="78"/>
  <c r="AD10" i="78" s="1"/>
  <c r="P11" i="78"/>
  <c r="V11" i="78"/>
  <c r="V10" i="78" s="1"/>
  <c r="X11" i="78"/>
  <c r="F21" i="77"/>
  <c r="AA34" i="75"/>
  <c r="AA37" i="75"/>
  <c r="K30" i="78"/>
  <c r="AJ30" i="78"/>
  <c r="AK43" i="78"/>
  <c r="F44" i="75"/>
  <c r="N44" i="75"/>
  <c r="V44" i="75"/>
  <c r="AD44" i="75"/>
  <c r="G50" i="78"/>
  <c r="O50" i="78"/>
  <c r="W50" i="78"/>
  <c r="AE50" i="78"/>
  <c r="AE59" i="76"/>
  <c r="W59" i="76"/>
  <c r="W60" i="75" s="1"/>
  <c r="O59" i="76"/>
  <c r="G59" i="76"/>
  <c r="AK28" i="75"/>
  <c r="AI11" i="77"/>
  <c r="AI10" i="77" s="1"/>
  <c r="U37" i="75"/>
  <c r="AE55" i="75"/>
  <c r="W55" i="75"/>
  <c r="O55" i="75"/>
  <c r="G55" i="75"/>
  <c r="AH10" i="79"/>
  <c r="AH16" i="125" s="1"/>
  <c r="Z10" i="79"/>
  <c r="Z16" i="125" s="1"/>
  <c r="R10" i="79"/>
  <c r="R16" i="125" s="1"/>
  <c r="J10" i="79"/>
  <c r="J16" i="125" s="1"/>
  <c r="H32" i="79"/>
  <c r="H17" i="125" s="1"/>
  <c r="P32" i="79"/>
  <c r="P17" i="125" s="1"/>
  <c r="X32" i="79"/>
  <c r="X17" i="125" s="1"/>
  <c r="W30" i="76"/>
  <c r="AD21" i="77"/>
  <c r="O30" i="76"/>
  <c r="J32" i="79"/>
  <c r="J17" i="125" s="1"/>
  <c r="AI21" i="77"/>
  <c r="AA21" i="77"/>
  <c r="S21" i="77"/>
  <c r="AE30" i="78"/>
  <c r="R32" i="79"/>
  <c r="R17" i="125" s="1"/>
  <c r="F17" i="77"/>
  <c r="K32" i="79"/>
  <c r="K17" i="125" s="1"/>
  <c r="S32" i="79"/>
  <c r="S17" i="125" s="1"/>
  <c r="AA32" i="79"/>
  <c r="AA17" i="125" s="1"/>
  <c r="AI32" i="79"/>
  <c r="AI17" i="125" s="1"/>
  <c r="Z32" i="79"/>
  <c r="Z17" i="125" s="1"/>
  <c r="X11" i="77"/>
  <c r="X10" i="77" s="1"/>
  <c r="G11" i="78"/>
  <c r="W11" i="78"/>
  <c r="W10" i="78" s="1"/>
  <c r="AE11" i="78"/>
  <c r="AE10" i="78" s="1"/>
  <c r="AE58" i="78" s="1"/>
  <c r="AE14" i="125" s="1"/>
  <c r="AH32" i="79"/>
  <c r="AH17" i="125" s="1"/>
  <c r="AK25" i="79"/>
  <c r="AK14" i="79"/>
  <c r="AK13" i="79"/>
  <c r="E32" i="79"/>
  <c r="E17" i="125" s="1"/>
  <c r="M32" i="79"/>
  <c r="M17" i="125" s="1"/>
  <c r="AC32" i="79"/>
  <c r="AC17" i="125" s="1"/>
  <c r="AK39" i="79"/>
  <c r="AK38" i="79"/>
  <c r="AK37" i="79"/>
  <c r="AK35" i="79"/>
  <c r="AE53" i="75"/>
  <c r="W53" i="75"/>
  <c r="O53" i="75"/>
  <c r="G53" i="75"/>
  <c r="AK52" i="78"/>
  <c r="AK54" i="78"/>
  <c r="AD10" i="79"/>
  <c r="AD16" i="125" s="1"/>
  <c r="V10" i="79"/>
  <c r="V16" i="125" s="1"/>
  <c r="N10" i="79"/>
  <c r="N16" i="125" s="1"/>
  <c r="F10" i="79"/>
  <c r="F16" i="125" s="1"/>
  <c r="L32" i="79"/>
  <c r="L17" i="125" s="1"/>
  <c r="T32" i="79"/>
  <c r="T17" i="125" s="1"/>
  <c r="AB32" i="79"/>
  <c r="AB17" i="125" s="1"/>
  <c r="AK33" i="79"/>
  <c r="AK42" i="79"/>
  <c r="AK41" i="79"/>
  <c r="AK19" i="125"/>
  <c r="F11" i="78"/>
  <c r="N11" i="78"/>
  <c r="X21" i="77"/>
  <c r="T30" i="76"/>
  <c r="S30" i="78"/>
  <c r="T33" i="75"/>
  <c r="V30" i="76"/>
  <c r="H43" i="75"/>
  <c r="AF54" i="75"/>
  <c r="X54" i="75"/>
  <c r="P54" i="75"/>
  <c r="H54" i="75"/>
  <c r="K50" i="78"/>
  <c r="S50" i="78"/>
  <c r="AA50" i="78"/>
  <c r="AI50" i="78"/>
  <c r="AK11" i="79"/>
  <c r="T10" i="79"/>
  <c r="T16" i="125" s="1"/>
  <c r="F32" i="79"/>
  <c r="F17" i="125" s="1"/>
  <c r="N32" i="79"/>
  <c r="N17" i="125" s="1"/>
  <c r="V32" i="79"/>
  <c r="V17" i="125" s="1"/>
  <c r="AD32" i="79"/>
  <c r="AD17" i="125" s="1"/>
  <c r="E46" i="79"/>
  <c r="G30" i="76"/>
  <c r="AB10" i="79"/>
  <c r="AB16" i="125" s="1"/>
  <c r="AI10" i="79"/>
  <c r="AI16" i="125" s="1"/>
  <c r="AA10" i="79"/>
  <c r="AA16" i="125" s="1"/>
  <c r="S10" i="79"/>
  <c r="S16" i="125" s="1"/>
  <c r="K10" i="79"/>
  <c r="K16" i="125" s="1"/>
  <c r="W46" i="79"/>
  <c r="AB11" i="77"/>
  <c r="AB10" i="77" s="1"/>
  <c r="L21" i="76"/>
  <c r="F30" i="76"/>
  <c r="AB30" i="78"/>
  <c r="AG33" i="75"/>
  <c r="Y33" i="75"/>
  <c r="Q33" i="75"/>
  <c r="I33" i="75"/>
  <c r="H30" i="78"/>
  <c r="AH47" i="75"/>
  <c r="Z47" i="75"/>
  <c r="AC59" i="76"/>
  <c r="AC60" i="75" s="1"/>
  <c r="U59" i="76"/>
  <c r="M59" i="76"/>
  <c r="L10" i="79"/>
  <c r="L16" i="125" s="1"/>
  <c r="O46" i="79"/>
  <c r="J11" i="78"/>
  <c r="J10" i="78" s="1"/>
  <c r="P21" i="76"/>
  <c r="AK24" i="78"/>
  <c r="AH41" i="76"/>
  <c r="L44" i="75"/>
  <c r="T44" i="75"/>
  <c r="AB44" i="75"/>
  <c r="AK45" i="77"/>
  <c r="AK46" i="77"/>
  <c r="T41" i="76"/>
  <c r="AB41" i="76"/>
  <c r="AK42" i="76"/>
  <c r="AK43" i="76"/>
  <c r="AK44" i="76"/>
  <c r="AK46" i="76"/>
  <c r="AB54" i="75"/>
  <c r="L54" i="75"/>
  <c r="K11" i="77"/>
  <c r="S11" i="77"/>
  <c r="S10" i="77" s="1"/>
  <c r="AA11" i="77"/>
  <c r="J21" i="77"/>
  <c r="AE30" i="76"/>
  <c r="AF10" i="79"/>
  <c r="AF16" i="125" s="1"/>
  <c r="X10" i="79"/>
  <c r="X16" i="125" s="1"/>
  <c r="P10" i="79"/>
  <c r="P16" i="125" s="1"/>
  <c r="H10" i="79"/>
  <c r="H16" i="125" s="1"/>
  <c r="O11" i="77"/>
  <c r="W11" i="77"/>
  <c r="AE11" i="77"/>
  <c r="AD30" i="76"/>
  <c r="L30" i="78"/>
  <c r="AD45" i="75"/>
  <c r="F30" i="78"/>
  <c r="N30" i="78"/>
  <c r="V30" i="78"/>
  <c r="X10" i="78"/>
  <c r="L19" i="75"/>
  <c r="Q17" i="78"/>
  <c r="W10" i="77"/>
  <c r="AC17" i="76"/>
  <c r="U17" i="76"/>
  <c r="M17" i="76"/>
  <c r="T19" i="75"/>
  <c r="K11" i="78"/>
  <c r="K10" i="78" s="1"/>
  <c r="K58" i="78" s="1"/>
  <c r="K14" i="125" s="1"/>
  <c r="AA11" i="76"/>
  <c r="N43" i="75"/>
  <c r="AF32" i="79"/>
  <c r="AF17" i="125" s="1"/>
  <c r="AB46" i="79"/>
  <c r="AE11" i="76"/>
  <c r="W11" i="76"/>
  <c r="O11" i="76"/>
  <c r="G11" i="76"/>
  <c r="I15" i="75"/>
  <c r="Q15" i="75"/>
  <c r="G10" i="78"/>
  <c r="O11" i="78"/>
  <c r="O10" i="78" s="1"/>
  <c r="AG11" i="78"/>
  <c r="AG10" i="78" s="1"/>
  <c r="I11" i="78"/>
  <c r="Y11" i="78"/>
  <c r="Y10" i="78" s="1"/>
  <c r="AG17" i="76"/>
  <c r="Y17" i="76"/>
  <c r="Q17" i="76"/>
  <c r="I17" i="76"/>
  <c r="M19" i="75"/>
  <c r="U19" i="75"/>
  <c r="AC19" i="75"/>
  <c r="E20" i="75"/>
  <c r="F21" i="76"/>
  <c r="AG30" i="76"/>
  <c r="I30" i="76"/>
  <c r="AK45" i="76"/>
  <c r="L41" i="76"/>
  <c r="J47" i="75"/>
  <c r="R47" i="75"/>
  <c r="AI55" i="75"/>
  <c r="AA55" i="75"/>
  <c r="S55" i="75"/>
  <c r="K55" i="75"/>
  <c r="AK53" i="75"/>
  <c r="AI54" i="75"/>
  <c r="AA54" i="75"/>
  <c r="AG59" i="76"/>
  <c r="AG60" i="75" s="1"/>
  <c r="Y59" i="76"/>
  <c r="Q59" i="76"/>
  <c r="I59" i="76"/>
  <c r="AD43" i="75"/>
  <c r="X46" i="79"/>
  <c r="AK47" i="79"/>
  <c r="AK13" i="76"/>
  <c r="I21" i="77"/>
  <c r="AD33" i="75"/>
  <c r="V33" i="75"/>
  <c r="N33" i="75"/>
  <c r="F33" i="75"/>
  <c r="AC37" i="75"/>
  <c r="AF53" i="75"/>
  <c r="P55" i="75"/>
  <c r="AF55" i="75"/>
  <c r="AK49" i="76"/>
  <c r="V39" i="75"/>
  <c r="AK29" i="75"/>
  <c r="AE10" i="79"/>
  <c r="AE16" i="125" s="1"/>
  <c r="W10" i="79"/>
  <c r="W16" i="125" s="1"/>
  <c r="G10" i="79"/>
  <c r="G16" i="125" s="1"/>
  <c r="T46" i="79"/>
  <c r="S16" i="75"/>
  <c r="R11" i="78"/>
  <c r="R10" i="78" s="1"/>
  <c r="Z11" i="78"/>
  <c r="Z10" i="78" s="1"/>
  <c r="AK15" i="78"/>
  <c r="L11" i="78"/>
  <c r="L10" i="78" s="1"/>
  <c r="T11" i="78"/>
  <c r="T10" i="78" s="1"/>
  <c r="AB11" i="78"/>
  <c r="AB10" i="78" s="1"/>
  <c r="AB58" i="78" s="1"/>
  <c r="AB14" i="125" s="1"/>
  <c r="AK16" i="78"/>
  <c r="AE17" i="76"/>
  <c r="AE18" i="75" s="1"/>
  <c r="W17" i="76"/>
  <c r="W18" i="75" s="1"/>
  <c r="O17" i="76"/>
  <c r="O18" i="75" s="1"/>
  <c r="G17" i="76"/>
  <c r="G18" i="75" s="1"/>
  <c r="AD17" i="76"/>
  <c r="AD18" i="75" s="1"/>
  <c r="V17" i="76"/>
  <c r="N17" i="76"/>
  <c r="F17" i="76"/>
  <c r="H19" i="75"/>
  <c r="P19" i="75"/>
  <c r="X19" i="75"/>
  <c r="AF19" i="75"/>
  <c r="T21" i="76"/>
  <c r="Y30" i="76"/>
  <c r="Z37" i="75"/>
  <c r="Q50" i="77"/>
  <c r="AG53" i="75"/>
  <c r="Q53" i="75"/>
  <c r="I53" i="75"/>
  <c r="Z53" i="75"/>
  <c r="AK27" i="75"/>
  <c r="F43" i="75"/>
  <c r="V45" i="75"/>
  <c r="AK65" i="76"/>
  <c r="O10" i="79"/>
  <c r="O16" i="125" s="1"/>
  <c r="U11" i="76"/>
  <c r="S11" i="76"/>
  <c r="E10" i="79"/>
  <c r="E16" i="125" s="1"/>
  <c r="AC10" i="79"/>
  <c r="AC16" i="125" s="1"/>
  <c r="U10" i="79"/>
  <c r="U16" i="125" s="1"/>
  <c r="M10" i="79"/>
  <c r="M16" i="125" s="1"/>
  <c r="AK30" i="79"/>
  <c r="AK29" i="79"/>
  <c r="AK28" i="79"/>
  <c r="AK26" i="79"/>
  <c r="AK24" i="79"/>
  <c r="AK22" i="79"/>
  <c r="AK21" i="79"/>
  <c r="AK20" i="79"/>
  <c r="AK18" i="79"/>
  <c r="AK17" i="79"/>
  <c r="AK16" i="79"/>
  <c r="AK12" i="79"/>
  <c r="U32" i="79"/>
  <c r="U17" i="125" s="1"/>
  <c r="AK34" i="79"/>
  <c r="AJ46" i="79"/>
  <c r="M46" i="79"/>
  <c r="H11" i="76"/>
  <c r="P11" i="76"/>
  <c r="X11" i="76"/>
  <c r="AD14" i="75"/>
  <c r="F15" i="75"/>
  <c r="N15" i="75"/>
  <c r="V15" i="75"/>
  <c r="AH19" i="75"/>
  <c r="J20" i="75"/>
  <c r="Q21" i="77"/>
  <c r="AB21" i="76"/>
  <c r="AB22" i="75" s="1"/>
  <c r="AB30" i="125" s="1"/>
  <c r="S37" i="75"/>
  <c r="N41" i="77"/>
  <c r="AK53" i="76"/>
  <c r="AK53" i="78"/>
  <c r="AK20" i="76"/>
  <c r="AK60" i="76"/>
  <c r="AK66" i="75"/>
  <c r="AK63" i="76"/>
  <c r="K11" i="76"/>
  <c r="AA11" i="78"/>
  <c r="AA10" i="78" s="1"/>
  <c r="Y21" i="76"/>
  <c r="V43" i="75"/>
  <c r="AF46" i="79"/>
  <c r="F46" i="79"/>
  <c r="AG11" i="76"/>
  <c r="Y11" i="76"/>
  <c r="I11" i="76"/>
  <c r="Q11" i="76"/>
  <c r="J11" i="77"/>
  <c r="AK19" i="76"/>
  <c r="AG21" i="76"/>
  <c r="Q30" i="76"/>
  <c r="M37" i="75"/>
  <c r="AK44" i="78"/>
  <c r="P43" i="75"/>
  <c r="X43" i="75"/>
  <c r="AF43" i="75"/>
  <c r="H44" i="75"/>
  <c r="P44" i="75"/>
  <c r="X44" i="75"/>
  <c r="H47" i="75"/>
  <c r="P47" i="75"/>
  <c r="X47" i="75"/>
  <c r="AF47" i="75"/>
  <c r="H41" i="76"/>
  <c r="P41" i="76"/>
  <c r="X41" i="76"/>
  <c r="AF41" i="76"/>
  <c r="AG50" i="77"/>
  <c r="E59" i="76"/>
  <c r="AK61" i="76"/>
  <c r="P61" i="75"/>
  <c r="AF61" i="75"/>
  <c r="H62" i="75"/>
  <c r="P62" i="75"/>
  <c r="X62" i="75"/>
  <c r="AF62" i="75"/>
  <c r="M11" i="76"/>
  <c r="AI11" i="76"/>
  <c r="AI12" i="75" s="1"/>
  <c r="G32" i="79"/>
  <c r="G17" i="125" s="1"/>
  <c r="O32" i="79"/>
  <c r="O17" i="125" s="1"/>
  <c r="W32" i="79"/>
  <c r="W17" i="125" s="1"/>
  <c r="AE32" i="79"/>
  <c r="AE17" i="125" s="1"/>
  <c r="AC46" i="79"/>
  <c r="AF11" i="76"/>
  <c r="AF11" i="78"/>
  <c r="AF10" i="78" s="1"/>
  <c r="AB19" i="75"/>
  <c r="AJ41" i="76"/>
  <c r="I44" i="75"/>
  <c r="Q44" i="75"/>
  <c r="Y44" i="75"/>
  <c r="AG44" i="75"/>
  <c r="I47" i="75"/>
  <c r="Q47" i="75"/>
  <c r="Y47" i="75"/>
  <c r="AG47" i="75"/>
  <c r="I41" i="76"/>
  <c r="AE50" i="77"/>
  <c r="AE51" i="75" s="1"/>
  <c r="AE33" i="125" s="1"/>
  <c r="AK53" i="77"/>
  <c r="J21" i="76"/>
  <c r="R21" i="76"/>
  <c r="E11" i="76"/>
  <c r="AC11" i="76"/>
  <c r="AC10" i="76" s="1"/>
  <c r="AA46" i="79"/>
  <c r="R46" i="79"/>
  <c r="H46" i="79"/>
  <c r="AK12" i="76"/>
  <c r="AB11" i="76"/>
  <c r="T11" i="76"/>
  <c r="L11" i="76"/>
  <c r="F13" i="75"/>
  <c r="N13" i="75"/>
  <c r="N11" i="77"/>
  <c r="V13" i="75"/>
  <c r="AD13" i="75"/>
  <c r="F14" i="75"/>
  <c r="N14" i="75"/>
  <c r="V14" i="75"/>
  <c r="AD15" i="75"/>
  <c r="G16" i="75"/>
  <c r="G11" i="77"/>
  <c r="AH16" i="75"/>
  <c r="AH11" i="77"/>
  <c r="J17" i="75"/>
  <c r="R17" i="75"/>
  <c r="Z17" i="75"/>
  <c r="Z16" i="75"/>
  <c r="AH17" i="75"/>
  <c r="Q11" i="78"/>
  <c r="Q10" i="79"/>
  <c r="Q16" i="125" s="1"/>
  <c r="I10" i="79"/>
  <c r="I16" i="125" s="1"/>
  <c r="Y32" i="79"/>
  <c r="Y17" i="125" s="1"/>
  <c r="AG32" i="79"/>
  <c r="AG17" i="125" s="1"/>
  <c r="I19" i="125"/>
  <c r="I46" i="79"/>
  <c r="Q19" i="125"/>
  <c r="Q46" i="79"/>
  <c r="Y19" i="125"/>
  <c r="Y46" i="79"/>
  <c r="AG19" i="125"/>
  <c r="AG46" i="79"/>
  <c r="AI46" i="79"/>
  <c r="Z46" i="79"/>
  <c r="P46" i="79"/>
  <c r="G46" i="79"/>
  <c r="K10" i="77"/>
  <c r="AD10" i="77"/>
  <c r="J16" i="75"/>
  <c r="Y16" i="75"/>
  <c r="AH11" i="76"/>
  <c r="J11" i="76"/>
  <c r="O10" i="77"/>
  <c r="N46" i="79"/>
  <c r="I13" i="75"/>
  <c r="Q13" i="75"/>
  <c r="Y13" i="75"/>
  <c r="Y11" i="77"/>
  <c r="AG13" i="75"/>
  <c r="I14" i="75"/>
  <c r="Q14" i="75"/>
  <c r="Y14" i="75"/>
  <c r="AG14" i="75"/>
  <c r="Y15" i="75"/>
  <c r="AG15" i="75"/>
  <c r="AB16" i="75"/>
  <c r="E16" i="75"/>
  <c r="E17" i="75"/>
  <c r="M16" i="75"/>
  <c r="M17" i="75"/>
  <c r="U16" i="75"/>
  <c r="U17" i="75"/>
  <c r="AC16" i="75"/>
  <c r="AC17" i="75"/>
  <c r="J19" i="75"/>
  <c r="J17" i="77"/>
  <c r="R19" i="75"/>
  <c r="R17" i="77"/>
  <c r="Z19" i="75"/>
  <c r="Z17" i="77"/>
  <c r="R20" i="75"/>
  <c r="Z20" i="75"/>
  <c r="AH20" i="75"/>
  <c r="Z11" i="76"/>
  <c r="AJ32" i="79"/>
  <c r="AE46" i="79"/>
  <c r="V46" i="79"/>
  <c r="AG11" i="77"/>
  <c r="Y18" i="75"/>
  <c r="AH46" i="79"/>
  <c r="R11" i="76"/>
  <c r="AK27" i="79"/>
  <c r="AK23" i="79"/>
  <c r="AK19" i="79"/>
  <c r="AK15" i="79"/>
  <c r="AK40" i="79"/>
  <c r="AK36" i="79"/>
  <c r="AD46" i="79"/>
  <c r="U46" i="79"/>
  <c r="L46" i="79"/>
  <c r="P16" i="75"/>
  <c r="N10" i="78"/>
  <c r="O21" i="77"/>
  <c r="AJ10" i="79"/>
  <c r="AJ22" i="75" s="1"/>
  <c r="K46" i="79"/>
  <c r="AD11" i="76"/>
  <c r="V11" i="76"/>
  <c r="N11" i="76"/>
  <c r="N10" i="76" s="1"/>
  <c r="F11" i="76"/>
  <c r="F10" i="76" s="1"/>
  <c r="F70" i="76" s="1"/>
  <c r="F10" i="125" s="1"/>
  <c r="X12" i="75"/>
  <c r="S46" i="79"/>
  <c r="J46" i="79"/>
  <c r="F11" i="77"/>
  <c r="E13" i="75"/>
  <c r="M13" i="75"/>
  <c r="U13" i="75"/>
  <c r="AC13" i="75"/>
  <c r="E14" i="75"/>
  <c r="M14" i="75"/>
  <c r="U14" i="75"/>
  <c r="H11" i="78"/>
  <c r="H10" i="78" s="1"/>
  <c r="W23" i="75"/>
  <c r="W21" i="76"/>
  <c r="AE21" i="77"/>
  <c r="W21" i="77"/>
  <c r="G21" i="77"/>
  <c r="L13" i="75"/>
  <c r="T13" i="75"/>
  <c r="AB13" i="75"/>
  <c r="AJ13" i="75"/>
  <c r="AK12" i="77"/>
  <c r="L14" i="75"/>
  <c r="T14" i="75"/>
  <c r="AB14" i="75"/>
  <c r="AJ14" i="75"/>
  <c r="AK13" i="77"/>
  <c r="L15" i="75"/>
  <c r="T15" i="75"/>
  <c r="AB15" i="75"/>
  <c r="AJ15" i="75"/>
  <c r="AK14" i="77"/>
  <c r="N16" i="75"/>
  <c r="W16" i="75"/>
  <c r="AF16" i="75"/>
  <c r="H17" i="75"/>
  <c r="P17" i="75"/>
  <c r="X17" i="75"/>
  <c r="AF17" i="75"/>
  <c r="M11" i="78"/>
  <c r="U11" i="78"/>
  <c r="AI17" i="76"/>
  <c r="AA17" i="76"/>
  <c r="AA10" i="76" s="1"/>
  <c r="S17" i="76"/>
  <c r="K17" i="76"/>
  <c r="H20" i="75"/>
  <c r="P20" i="75"/>
  <c r="X20" i="75"/>
  <c r="AF20" i="75"/>
  <c r="AK17" i="78"/>
  <c r="AK19" i="78"/>
  <c r="Q23" i="75"/>
  <c r="Q21" i="76"/>
  <c r="AG21" i="77"/>
  <c r="J30" i="78"/>
  <c r="AJ33" i="75"/>
  <c r="AK32" i="77"/>
  <c r="L30" i="77"/>
  <c r="L33" i="75"/>
  <c r="AI32" i="75"/>
  <c r="AA30" i="77"/>
  <c r="AA32" i="75"/>
  <c r="S30" i="77"/>
  <c r="S32" i="75"/>
  <c r="K32" i="75"/>
  <c r="G30" i="78"/>
  <c r="O30" i="78"/>
  <c r="W30" i="78"/>
  <c r="AH37" i="75"/>
  <c r="K37" i="75"/>
  <c r="AH46" i="75"/>
  <c r="Z41" i="78"/>
  <c r="Z50" i="75"/>
  <c r="R41" i="78"/>
  <c r="R50" i="75"/>
  <c r="J41" i="78"/>
  <c r="J50" i="75"/>
  <c r="AC14" i="75"/>
  <c r="E15" i="75"/>
  <c r="M15" i="75"/>
  <c r="U15" i="75"/>
  <c r="AC15" i="75"/>
  <c r="F16" i="75"/>
  <c r="O16" i="75"/>
  <c r="X16" i="75"/>
  <c r="AG16" i="75"/>
  <c r="I17" i="75"/>
  <c r="Q17" i="75"/>
  <c r="Y17" i="75"/>
  <c r="AG17" i="75"/>
  <c r="AH17" i="76"/>
  <c r="AH18" i="75" s="1"/>
  <c r="Z17" i="76"/>
  <c r="R17" i="76"/>
  <c r="J17" i="76"/>
  <c r="AG18" i="75"/>
  <c r="I19" i="75"/>
  <c r="Q19" i="75"/>
  <c r="Y19" i="75"/>
  <c r="AG19" i="75"/>
  <c r="I20" i="75"/>
  <c r="Q20" i="75"/>
  <c r="Y20" i="75"/>
  <c r="AG20" i="75"/>
  <c r="M17" i="78"/>
  <c r="U17" i="78"/>
  <c r="AC17" i="78"/>
  <c r="AF21" i="77"/>
  <c r="R21" i="78"/>
  <c r="H21" i="76"/>
  <c r="H30" i="75"/>
  <c r="Z30" i="78"/>
  <c r="R32" i="75"/>
  <c r="P30" i="78"/>
  <c r="X30" i="78"/>
  <c r="AF30" i="78"/>
  <c r="J34" i="75"/>
  <c r="J37" i="75"/>
  <c r="AG41" i="78"/>
  <c r="AG50" i="75"/>
  <c r="Y41" i="78"/>
  <c r="Y50" i="75"/>
  <c r="Q41" i="78"/>
  <c r="Q50" i="75"/>
  <c r="I41" i="78"/>
  <c r="I50" i="75"/>
  <c r="AK54" i="77"/>
  <c r="G13" i="75"/>
  <c r="O13" i="75"/>
  <c r="W13" i="75"/>
  <c r="AE13" i="75"/>
  <c r="G14" i="75"/>
  <c r="O14" i="75"/>
  <c r="W14" i="75"/>
  <c r="AE14" i="75"/>
  <c r="G15" i="75"/>
  <c r="O15" i="75"/>
  <c r="W15" i="75"/>
  <c r="AE15" i="75"/>
  <c r="H16" i="75"/>
  <c r="Q16" i="75"/>
  <c r="AI16" i="75"/>
  <c r="K17" i="75"/>
  <c r="S17" i="75"/>
  <c r="AA17" i="75"/>
  <c r="AI17" i="75"/>
  <c r="AF17" i="76"/>
  <c r="AF18" i="75" s="1"/>
  <c r="X17" i="76"/>
  <c r="X18" i="75" s="1"/>
  <c r="P17" i="76"/>
  <c r="H17" i="76"/>
  <c r="H17" i="77"/>
  <c r="Q17" i="77"/>
  <c r="Q18" i="75" s="1"/>
  <c r="K19" i="75"/>
  <c r="S19" i="75"/>
  <c r="AA19" i="75"/>
  <c r="AI19" i="75"/>
  <c r="K20" i="75"/>
  <c r="S20" i="75"/>
  <c r="AA20" i="75"/>
  <c r="AI20" i="75"/>
  <c r="AJ10" i="77"/>
  <c r="P21" i="77"/>
  <c r="Z21" i="77"/>
  <c r="I21" i="76"/>
  <c r="V21" i="77"/>
  <c r="AK23" i="78"/>
  <c r="AK23" i="76"/>
  <c r="AF10" i="77"/>
  <c r="H13" i="75"/>
  <c r="P13" i="75"/>
  <c r="X13" i="75"/>
  <c r="AF13" i="75"/>
  <c r="H14" i="75"/>
  <c r="P14" i="75"/>
  <c r="X14" i="75"/>
  <c r="AF14" i="75"/>
  <c r="H15" i="75"/>
  <c r="P15" i="75"/>
  <c r="X15" i="75"/>
  <c r="AF15" i="75"/>
  <c r="I16" i="75"/>
  <c r="AA16" i="75"/>
  <c r="AK15" i="77"/>
  <c r="L17" i="75"/>
  <c r="T17" i="75"/>
  <c r="AB17" i="75"/>
  <c r="AJ17" i="75"/>
  <c r="AK16" i="77"/>
  <c r="I17" i="77"/>
  <c r="AJ19" i="75"/>
  <c r="AK18" i="77"/>
  <c r="L20" i="75"/>
  <c r="T20" i="75"/>
  <c r="AB20" i="75"/>
  <c r="AJ20" i="75"/>
  <c r="AK19" i="77"/>
  <c r="H21" i="77"/>
  <c r="AK25" i="75"/>
  <c r="AI35" i="75"/>
  <c r="AI30" i="78"/>
  <c r="AA35" i="75"/>
  <c r="AA30" i="78"/>
  <c r="AJ39" i="75"/>
  <c r="AK39" i="75" s="1"/>
  <c r="AK38" i="76"/>
  <c r="AJ30" i="76"/>
  <c r="L30" i="76"/>
  <c r="L39" i="75"/>
  <c r="AI30" i="76"/>
  <c r="AI38" i="75"/>
  <c r="AA30" i="76"/>
  <c r="AA38" i="75"/>
  <c r="S30" i="76"/>
  <c r="S38" i="75"/>
  <c r="K30" i="76"/>
  <c r="K38" i="75"/>
  <c r="E17" i="77"/>
  <c r="AK17" i="77" s="1"/>
  <c r="E19" i="75"/>
  <c r="M17" i="77"/>
  <c r="M20" i="75"/>
  <c r="U17" i="77"/>
  <c r="U20" i="75"/>
  <c r="AC17" i="77"/>
  <c r="AC18" i="75" s="1"/>
  <c r="AC20" i="75"/>
  <c r="AH30" i="78"/>
  <c r="AH58" i="78" s="1"/>
  <c r="AH14" i="125" s="1"/>
  <c r="AH35" i="75"/>
  <c r="R35" i="75"/>
  <c r="R30" i="78"/>
  <c r="AH38" i="75"/>
  <c r="AH30" i="76"/>
  <c r="Z38" i="75"/>
  <c r="Z30" i="76"/>
  <c r="R38" i="75"/>
  <c r="R30" i="76"/>
  <c r="J38" i="75"/>
  <c r="J30" i="76"/>
  <c r="I43" i="75"/>
  <c r="Q43" i="75"/>
  <c r="Y43" i="75"/>
  <c r="AG43" i="75"/>
  <c r="I41" i="77"/>
  <c r="I45" i="75"/>
  <c r="Q41" i="77"/>
  <c r="Q45" i="75"/>
  <c r="Y41" i="77"/>
  <c r="Y45" i="75"/>
  <c r="AG41" i="77"/>
  <c r="AG45" i="75"/>
  <c r="Q41" i="76"/>
  <c r="Y41" i="76"/>
  <c r="AG41" i="76"/>
  <c r="J61" i="75"/>
  <c r="R61" i="75"/>
  <c r="Z61" i="75"/>
  <c r="AH61" i="75"/>
  <c r="J62" i="77"/>
  <c r="J62" i="75"/>
  <c r="R62" i="77"/>
  <c r="R62" i="75"/>
  <c r="Z62" i="77"/>
  <c r="Z62" i="75"/>
  <c r="AH62" i="77"/>
  <c r="AH62" i="75"/>
  <c r="AK16" i="76"/>
  <c r="AK15" i="76"/>
  <c r="AK14" i="76"/>
  <c r="P11" i="77"/>
  <c r="J13" i="75"/>
  <c r="R13" i="75"/>
  <c r="Z13" i="75"/>
  <c r="AH13" i="75"/>
  <c r="J14" i="75"/>
  <c r="R14" i="75"/>
  <c r="Z14" i="75"/>
  <c r="AH14" i="75"/>
  <c r="J15" i="75"/>
  <c r="R15" i="75"/>
  <c r="Z15" i="75"/>
  <c r="AH15" i="75"/>
  <c r="K16" i="75"/>
  <c r="AD16" i="75"/>
  <c r="F17" i="75"/>
  <c r="N17" i="75"/>
  <c r="V17" i="75"/>
  <c r="AD17" i="75"/>
  <c r="S11" i="78"/>
  <c r="S10" i="78" s="1"/>
  <c r="AC11" i="78"/>
  <c r="AC10" i="78" s="1"/>
  <c r="T17" i="77"/>
  <c r="F19" i="75"/>
  <c r="N19" i="75"/>
  <c r="V19" i="75"/>
  <c r="AD19" i="75"/>
  <c r="F20" i="75"/>
  <c r="N20" i="75"/>
  <c r="V20" i="75"/>
  <c r="AD20" i="75"/>
  <c r="K21" i="76"/>
  <c r="K30" i="75"/>
  <c r="E37" i="75"/>
  <c r="R37" i="75"/>
  <c r="AH50" i="75"/>
  <c r="Z11" i="77"/>
  <c r="K13" i="75"/>
  <c r="S13" i="75"/>
  <c r="AA13" i="75"/>
  <c r="AI13" i="75"/>
  <c r="K14" i="75"/>
  <c r="S14" i="75"/>
  <c r="AA14" i="75"/>
  <c r="AI14" i="75"/>
  <c r="K15" i="75"/>
  <c r="S15" i="75"/>
  <c r="AA15" i="75"/>
  <c r="AI15" i="75"/>
  <c r="L16" i="75"/>
  <c r="V16" i="75"/>
  <c r="AE16" i="75"/>
  <c r="G17" i="75"/>
  <c r="O17" i="75"/>
  <c r="W17" i="75"/>
  <c r="AE17" i="75"/>
  <c r="AJ11" i="78"/>
  <c r="AK12" i="78"/>
  <c r="AK13" i="78"/>
  <c r="AK14" i="78"/>
  <c r="AJ17" i="76"/>
  <c r="AK18" i="76"/>
  <c r="AB17" i="76"/>
  <c r="AB18" i="75" s="1"/>
  <c r="T17" i="76"/>
  <c r="L17" i="76"/>
  <c r="L17" i="77"/>
  <c r="V17" i="77"/>
  <c r="G19" i="75"/>
  <c r="O19" i="75"/>
  <c r="W19" i="75"/>
  <c r="AE19" i="75"/>
  <c r="G20" i="75"/>
  <c r="O20" i="75"/>
  <c r="W20" i="75"/>
  <c r="AE20" i="75"/>
  <c r="AE10" i="77"/>
  <c r="K21" i="77"/>
  <c r="AH21" i="77"/>
  <c r="AB30" i="76"/>
  <c r="AI37" i="75"/>
  <c r="O21" i="76"/>
  <c r="O30" i="75"/>
  <c r="N30" i="76"/>
  <c r="AF41" i="78"/>
  <c r="AF50" i="75"/>
  <c r="X41" i="78"/>
  <c r="X50" i="75"/>
  <c r="P41" i="78"/>
  <c r="P50" i="75"/>
  <c r="H41" i="78"/>
  <c r="H50" i="75"/>
  <c r="J43" i="75"/>
  <c r="R43" i="75"/>
  <c r="Z43" i="75"/>
  <c r="AH43" i="75"/>
  <c r="J41" i="77"/>
  <c r="J44" i="75"/>
  <c r="R41" i="77"/>
  <c r="R44" i="75"/>
  <c r="Z41" i="77"/>
  <c r="Z44" i="75"/>
  <c r="AH41" i="77"/>
  <c r="AH44" i="75"/>
  <c r="AK55" i="75"/>
  <c r="T21" i="78"/>
  <c r="N21" i="76"/>
  <c r="N30" i="75"/>
  <c r="AF37" i="75"/>
  <c r="X37" i="75"/>
  <c r="P37" i="75"/>
  <c r="AF30" i="76"/>
  <c r="AF38" i="75"/>
  <c r="X30" i="76"/>
  <c r="X38" i="75"/>
  <c r="P30" i="76"/>
  <c r="P38" i="75"/>
  <c r="H30" i="76"/>
  <c r="H38" i="75"/>
  <c r="V41" i="77"/>
  <c r="AE46" i="75"/>
  <c r="AE50" i="75"/>
  <c r="W46" i="75"/>
  <c r="W50" i="75"/>
  <c r="O46" i="75"/>
  <c r="O50" i="75"/>
  <c r="G41" i="78"/>
  <c r="G50" i="75"/>
  <c r="K41" i="77"/>
  <c r="K43" i="75"/>
  <c r="S41" i="77"/>
  <c r="S43" i="75"/>
  <c r="AA41" i="77"/>
  <c r="AA43" i="75"/>
  <c r="AI41" i="77"/>
  <c r="AI43" i="75"/>
  <c r="K44" i="75"/>
  <c r="S44" i="75"/>
  <c r="AA44" i="75"/>
  <c r="AI44" i="75"/>
  <c r="K45" i="75"/>
  <c r="S45" i="75"/>
  <c r="AA45" i="75"/>
  <c r="AI45" i="75"/>
  <c r="K47" i="75"/>
  <c r="S47" i="75"/>
  <c r="AA47" i="75"/>
  <c r="AI47" i="75"/>
  <c r="K41" i="76"/>
  <c r="S41" i="76"/>
  <c r="AA41" i="76"/>
  <c r="AI41" i="76"/>
  <c r="AK24" i="77"/>
  <c r="AK25" i="76"/>
  <c r="AJ26" i="75"/>
  <c r="AK26" i="75" s="1"/>
  <c r="AF33" i="75"/>
  <c r="X33" i="75"/>
  <c r="P33" i="75"/>
  <c r="H33" i="75"/>
  <c r="E46" i="75"/>
  <c r="E50" i="75"/>
  <c r="AD41" i="76"/>
  <c r="V41" i="76"/>
  <c r="N41" i="76"/>
  <c r="F41" i="76"/>
  <c r="AD41" i="78"/>
  <c r="AD50" i="75"/>
  <c r="V41" i="78"/>
  <c r="V50" i="75"/>
  <c r="N41" i="78"/>
  <c r="N50" i="75"/>
  <c r="F41" i="78"/>
  <c r="F50" i="75"/>
  <c r="L43" i="75"/>
  <c r="T43" i="75"/>
  <c r="AB43" i="75"/>
  <c r="AJ43" i="75"/>
  <c r="AK42" i="77"/>
  <c r="AJ44" i="75"/>
  <c r="AK43" i="77"/>
  <c r="L45" i="75"/>
  <c r="T45" i="75"/>
  <c r="AB45" i="75"/>
  <c r="AJ45" i="75"/>
  <c r="AI53" i="75"/>
  <c r="AI50" i="77"/>
  <c r="AI51" i="75" s="1"/>
  <c r="AI33" i="125" s="1"/>
  <c r="AA53" i="75"/>
  <c r="AA50" i="77"/>
  <c r="AA51" i="75" s="1"/>
  <c r="AA33" i="125" s="1"/>
  <c r="S53" i="75"/>
  <c r="S50" i="77"/>
  <c r="K53" i="75"/>
  <c r="K50" i="77"/>
  <c r="K51" i="75" s="1"/>
  <c r="K33" i="125" s="1"/>
  <c r="AH54" i="75"/>
  <c r="Z54" i="75"/>
  <c r="R54" i="75"/>
  <c r="J54" i="75"/>
  <c r="H50" i="78"/>
  <c r="X50" i="78"/>
  <c r="AK37" i="76"/>
  <c r="L34" i="75"/>
  <c r="AJ23" i="75"/>
  <c r="AK23" i="75" s="1"/>
  <c r="AK22" i="76"/>
  <c r="AK24" i="75"/>
  <c r="AK23" i="77"/>
  <c r="AK24" i="76"/>
  <c r="F21" i="78"/>
  <c r="N21" i="78"/>
  <c r="V21" i="78"/>
  <c r="AD21" i="78"/>
  <c r="AK29" i="76"/>
  <c r="AJ30" i="75"/>
  <c r="AK30" i="75" s="1"/>
  <c r="AE33" i="75"/>
  <c r="W33" i="75"/>
  <c r="O33" i="75"/>
  <c r="G33" i="75"/>
  <c r="AK32" i="78"/>
  <c r="AD34" i="75"/>
  <c r="V34" i="75"/>
  <c r="F34" i="75"/>
  <c r="AD37" i="75"/>
  <c r="V37" i="75"/>
  <c r="F37" i="75"/>
  <c r="AK36" i="78"/>
  <c r="AD30" i="78"/>
  <c r="AD35" i="75"/>
  <c r="F41" i="77"/>
  <c r="AC41" i="78"/>
  <c r="AC50" i="75"/>
  <c r="U41" i="78"/>
  <c r="U50" i="75"/>
  <c r="M41" i="78"/>
  <c r="M50" i="75"/>
  <c r="AK46" i="78"/>
  <c r="AE41" i="78"/>
  <c r="W41" i="78"/>
  <c r="E43" i="75"/>
  <c r="M43" i="75"/>
  <c r="U43" i="75"/>
  <c r="AC43" i="75"/>
  <c r="E44" i="75"/>
  <c r="M44" i="75"/>
  <c r="U44" i="75"/>
  <c r="AC44" i="75"/>
  <c r="I50" i="77"/>
  <c r="AH53" i="75"/>
  <c r="R53" i="75"/>
  <c r="J53" i="75"/>
  <c r="AC30" i="76"/>
  <c r="AC38" i="75"/>
  <c r="U30" i="76"/>
  <c r="U38" i="75"/>
  <c r="M30" i="76"/>
  <c r="M38" i="75"/>
  <c r="AJ41" i="78"/>
  <c r="AJ50" i="75"/>
  <c r="AK49" i="78"/>
  <c r="AB41" i="78"/>
  <c r="AB50" i="75"/>
  <c r="T41" i="78"/>
  <c r="T42" i="75" s="1"/>
  <c r="T32" i="125" s="1"/>
  <c r="T50" i="75"/>
  <c r="L41" i="78"/>
  <c r="L50" i="75"/>
  <c r="AK42" i="78"/>
  <c r="F45" i="75"/>
  <c r="N45" i="75"/>
  <c r="Y53" i="75"/>
  <c r="Y50" i="77"/>
  <c r="AF52" i="75"/>
  <c r="AF50" i="77"/>
  <c r="H61" i="75"/>
  <c r="H62" i="77"/>
  <c r="X61" i="75"/>
  <c r="X62" i="77"/>
  <c r="X30" i="77"/>
  <c r="E33" i="75"/>
  <c r="AC33" i="75"/>
  <c r="U33" i="75"/>
  <c r="M33" i="75"/>
  <c r="AJ32" i="75"/>
  <c r="AK32" i="75" s="1"/>
  <c r="AK31" i="77"/>
  <c r="AB32" i="75"/>
  <c r="T32" i="75"/>
  <c r="AJ34" i="75"/>
  <c r="AK34" i="75" s="1"/>
  <c r="AK33" i="77"/>
  <c r="AJ30" i="77"/>
  <c r="AB37" i="75"/>
  <c r="T37" i="75"/>
  <c r="AJ35" i="75"/>
  <c r="AK35" i="75" s="1"/>
  <c r="AK34" i="78"/>
  <c r="AK38" i="75"/>
  <c r="AJ41" i="77"/>
  <c r="AK41" i="77" s="1"/>
  <c r="AI50" i="75"/>
  <c r="AI46" i="75"/>
  <c r="AA46" i="75"/>
  <c r="AA50" i="75"/>
  <c r="S41" i="78"/>
  <c r="S50" i="75"/>
  <c r="K41" i="78"/>
  <c r="K50" i="75"/>
  <c r="G43" i="75"/>
  <c r="O43" i="75"/>
  <c r="W43" i="75"/>
  <c r="AE43" i="75"/>
  <c r="G44" i="75"/>
  <c r="O44" i="75"/>
  <c r="W44" i="75"/>
  <c r="AE44" i="75"/>
  <c r="G46" i="75"/>
  <c r="X53" i="75"/>
  <c r="P53" i="75"/>
  <c r="H53" i="75"/>
  <c r="J45" i="75"/>
  <c r="R45" i="75"/>
  <c r="Z45" i="75"/>
  <c r="AH45" i="75"/>
  <c r="J46" i="75"/>
  <c r="Z46" i="75"/>
  <c r="J41" i="76"/>
  <c r="R41" i="76"/>
  <c r="Z41" i="76"/>
  <c r="AK49" i="75"/>
  <c r="Q50" i="78"/>
  <c r="Y50" i="78"/>
  <c r="AG50" i="78"/>
  <c r="AG58" i="78" s="1"/>
  <c r="AK48" i="76"/>
  <c r="AF59" i="76"/>
  <c r="X59" i="76"/>
  <c r="P59" i="76"/>
  <c r="P60" i="75" s="1"/>
  <c r="H59" i="76"/>
  <c r="AK64" i="76"/>
  <c r="M60" i="75"/>
  <c r="I61" i="75"/>
  <c r="Q61" i="75"/>
  <c r="Y61" i="75"/>
  <c r="AG61" i="75"/>
  <c r="I62" i="75"/>
  <c r="Q62" i="75"/>
  <c r="Y62" i="75"/>
  <c r="AG62" i="75"/>
  <c r="W61" i="75"/>
  <c r="T46" i="75"/>
  <c r="AB46" i="75"/>
  <c r="L47" i="75"/>
  <c r="T47" i="75"/>
  <c r="AB47" i="75"/>
  <c r="AJ47" i="75"/>
  <c r="AH50" i="77"/>
  <c r="AH51" i="75" s="1"/>
  <c r="AH33" i="125" s="1"/>
  <c r="Z50" i="77"/>
  <c r="Z51" i="75" s="1"/>
  <c r="Z33" i="125" s="1"/>
  <c r="R50" i="77"/>
  <c r="R51" i="75" s="1"/>
  <c r="R33" i="125" s="1"/>
  <c r="J50" i="77"/>
  <c r="J51" i="75" s="1"/>
  <c r="J33" i="125" s="1"/>
  <c r="AK44" i="77"/>
  <c r="AD59" i="76"/>
  <c r="V59" i="76"/>
  <c r="N59" i="76"/>
  <c r="F59" i="76"/>
  <c r="Q60" i="75"/>
  <c r="K62" i="77"/>
  <c r="K61" i="75"/>
  <c r="S62" i="77"/>
  <c r="S61" i="75"/>
  <c r="AA62" i="77"/>
  <c r="AA61" i="75"/>
  <c r="AI62" i="77"/>
  <c r="AI61" i="75"/>
  <c r="K62" i="75"/>
  <c r="S62" i="75"/>
  <c r="AA62" i="75"/>
  <c r="AI62" i="75"/>
  <c r="Z55" i="75"/>
  <c r="J55" i="75"/>
  <c r="E45" i="75"/>
  <c r="M45" i="75"/>
  <c r="U45" i="75"/>
  <c r="AC45" i="75"/>
  <c r="E47" i="75"/>
  <c r="M47" i="75"/>
  <c r="U47" i="75"/>
  <c r="AC47" i="75"/>
  <c r="W50" i="77"/>
  <c r="W51" i="75" s="1"/>
  <c r="W33" i="125" s="1"/>
  <c r="AD50" i="77"/>
  <c r="AK52" i="77"/>
  <c r="AK62" i="77"/>
  <c r="L61" i="75"/>
  <c r="T61" i="75"/>
  <c r="AB61" i="75"/>
  <c r="AK63" i="77"/>
  <c r="AJ61" i="75"/>
  <c r="L62" i="75"/>
  <c r="T62" i="75"/>
  <c r="AB62" i="75"/>
  <c r="AK64" i="77"/>
  <c r="AJ62" i="75"/>
  <c r="AK63" i="78"/>
  <c r="AK64" i="78"/>
  <c r="F47" i="75"/>
  <c r="N47" i="75"/>
  <c r="V47" i="75"/>
  <c r="AD47" i="75"/>
  <c r="H50" i="77"/>
  <c r="O50" i="77"/>
  <c r="O51" i="75" s="1"/>
  <c r="O33" i="125" s="1"/>
  <c r="AC50" i="77"/>
  <c r="AC51" i="75" s="1"/>
  <c r="AC33" i="125" s="1"/>
  <c r="AC54" i="75"/>
  <c r="U50" i="77"/>
  <c r="U51" i="75" s="1"/>
  <c r="U33" i="125" s="1"/>
  <c r="U54" i="75"/>
  <c r="AK51" i="77"/>
  <c r="AJ59" i="76"/>
  <c r="AK59" i="76" s="1"/>
  <c r="AB59" i="76"/>
  <c r="AB60" i="75" s="1"/>
  <c r="T59" i="76"/>
  <c r="T60" i="75" s="1"/>
  <c r="L59" i="76"/>
  <c r="L60" i="75" s="1"/>
  <c r="U60" i="75"/>
  <c r="E61" i="75"/>
  <c r="M61" i="75"/>
  <c r="U61" i="75"/>
  <c r="AC61" i="75"/>
  <c r="E62" i="75"/>
  <c r="M62" i="75"/>
  <c r="U62" i="75"/>
  <c r="AC62" i="75"/>
  <c r="G45" i="75"/>
  <c r="O45" i="75"/>
  <c r="W45" i="75"/>
  <c r="AE45" i="75"/>
  <c r="G41" i="77"/>
  <c r="G47" i="75"/>
  <c r="O41" i="77"/>
  <c r="O47" i="75"/>
  <c r="W41" i="77"/>
  <c r="W47" i="75"/>
  <c r="AE41" i="77"/>
  <c r="AE47" i="75"/>
  <c r="G50" i="77"/>
  <c r="G51" i="75" s="1"/>
  <c r="G33" i="125" s="1"/>
  <c r="AK52" i="75"/>
  <c r="AJ50" i="77"/>
  <c r="AB50" i="77"/>
  <c r="AB51" i="75" s="1"/>
  <c r="AB33" i="125" s="1"/>
  <c r="T50" i="77"/>
  <c r="T51" i="75" s="1"/>
  <c r="T33" i="125" s="1"/>
  <c r="L50" i="77"/>
  <c r="L51" i="75" s="1"/>
  <c r="L33" i="125" s="1"/>
  <c r="F50" i="78"/>
  <c r="N50" i="78"/>
  <c r="V50" i="78"/>
  <c r="AD50" i="78"/>
  <c r="AI59" i="76"/>
  <c r="AA59" i="76"/>
  <c r="S59" i="76"/>
  <c r="K59" i="76"/>
  <c r="F61" i="75"/>
  <c r="N61" i="75"/>
  <c r="V61" i="75"/>
  <c r="AD61" i="75"/>
  <c r="F62" i="77"/>
  <c r="F62" i="75"/>
  <c r="N62" i="77"/>
  <c r="N62" i="75"/>
  <c r="V62" i="77"/>
  <c r="V62" i="75"/>
  <c r="AD62" i="77"/>
  <c r="AD62" i="75"/>
  <c r="F62" i="78"/>
  <c r="N62" i="78"/>
  <c r="V62" i="78"/>
  <c r="AD62" i="78"/>
  <c r="AJ54" i="75"/>
  <c r="AK54" i="75" s="1"/>
  <c r="T54" i="75"/>
  <c r="AF44" i="75"/>
  <c r="H45" i="75"/>
  <c r="P45" i="75"/>
  <c r="X45" i="75"/>
  <c r="AF45" i="75"/>
  <c r="H41" i="77"/>
  <c r="P41" i="77"/>
  <c r="P42" i="75" s="1"/>
  <c r="X41" i="77"/>
  <c r="X46" i="75"/>
  <c r="AF41" i="77"/>
  <c r="S54" i="75"/>
  <c r="K54" i="75"/>
  <c r="AK64" i="75"/>
  <c r="AH59" i="76"/>
  <c r="Z59" i="76"/>
  <c r="R59" i="76"/>
  <c r="J59" i="76"/>
  <c r="I62" i="77"/>
  <c r="Y60" i="75"/>
  <c r="G62" i="77"/>
  <c r="G61" i="75"/>
  <c r="O62" i="77"/>
  <c r="O61" i="75"/>
  <c r="AE62" i="77"/>
  <c r="AE60" i="75" s="1"/>
  <c r="AE61" i="75"/>
  <c r="G62" i="75"/>
  <c r="O62" i="75"/>
  <c r="W62" i="75"/>
  <c r="AE62" i="75"/>
  <c r="AH55" i="75"/>
  <c r="R55" i="75"/>
  <c r="AF50" i="78"/>
  <c r="P50" i="78"/>
  <c r="I50" i="78"/>
  <c r="X50" i="77"/>
  <c r="X51" i="75" s="1"/>
  <c r="X33" i="125" s="1"/>
  <c r="P50" i="77"/>
  <c r="V50" i="77"/>
  <c r="N50" i="77"/>
  <c r="F50" i="77"/>
  <c r="M50" i="77"/>
  <c r="M51" i="75" s="1"/>
  <c r="M33" i="125" s="1"/>
  <c r="E50" i="77"/>
  <c r="E51" i="75" s="1"/>
  <c r="E33" i="125" s="1"/>
  <c r="U41" i="76"/>
  <c r="U42" i="75" s="1"/>
  <c r="AC41" i="76"/>
  <c r="AC42" i="75" s="1"/>
  <c r="M41" i="76"/>
  <c r="E41" i="76"/>
  <c r="AE41" i="76"/>
  <c r="W41" i="76"/>
  <c r="O41" i="76"/>
  <c r="G41" i="76"/>
  <c r="E41" i="78"/>
  <c r="E30" i="76"/>
  <c r="U30" i="78"/>
  <c r="E30" i="78"/>
  <c r="AK30" i="78" s="1"/>
  <c r="M30" i="78"/>
  <c r="AC30" i="78"/>
  <c r="E30" i="77"/>
  <c r="U30" i="77"/>
  <c r="M30" i="77"/>
  <c r="AI21" i="76"/>
  <c r="AF21" i="76"/>
  <c r="X21" i="76"/>
  <c r="AD21" i="76"/>
  <c r="V21" i="76"/>
  <c r="G21" i="76"/>
  <c r="E21" i="76"/>
  <c r="AK21" i="76" s="1"/>
  <c r="S21" i="76"/>
  <c r="S22" i="75" s="1"/>
  <c r="S30" i="125" s="1"/>
  <c r="AA21" i="76"/>
  <c r="E21" i="78"/>
  <c r="AK21" i="78" s="1"/>
  <c r="M21" i="78"/>
  <c r="AC21" i="77"/>
  <c r="E21" i="77"/>
  <c r="U21" i="77"/>
  <c r="M21" i="77"/>
  <c r="AE21" i="76"/>
  <c r="AH21" i="76"/>
  <c r="Z21" i="76"/>
  <c r="U21" i="76"/>
  <c r="AC21" i="76"/>
  <c r="M21" i="76"/>
  <c r="E17" i="76"/>
  <c r="E11" i="78"/>
  <c r="E10" i="78" s="1"/>
  <c r="E11" i="77"/>
  <c r="AK11" i="77" s="1"/>
  <c r="H47" i="70"/>
  <c r="L28" i="70"/>
  <c r="M28" i="70"/>
  <c r="R29" i="70"/>
  <c r="S29" i="70"/>
  <c r="R27" i="70"/>
  <c r="S27" i="70"/>
  <c r="L29" i="70"/>
  <c r="M29" i="70"/>
  <c r="F28" i="70"/>
  <c r="H28" i="70"/>
  <c r="N26" i="70"/>
  <c r="AA12" i="75" l="1"/>
  <c r="F18" i="75"/>
  <c r="N18" i="75"/>
  <c r="P18" i="75"/>
  <c r="K12" i="75"/>
  <c r="L22" i="75"/>
  <c r="L30" i="125" s="1"/>
  <c r="E60" i="75"/>
  <c r="J58" i="78"/>
  <c r="J14" i="125" s="1"/>
  <c r="AK46" i="79"/>
  <c r="U11" i="77"/>
  <c r="V46" i="75"/>
  <c r="AF60" i="75"/>
  <c r="AA58" i="78"/>
  <c r="AA14" i="125" s="1"/>
  <c r="Q10" i="76"/>
  <c r="AA10" i="77"/>
  <c r="AA58" i="77" s="1"/>
  <c r="O58" i="78"/>
  <c r="M11" i="77"/>
  <c r="AI22" i="75"/>
  <c r="AI30" i="125" s="1"/>
  <c r="F10" i="78"/>
  <c r="H10" i="76"/>
  <c r="H70" i="76" s="1"/>
  <c r="H10" i="125" s="1"/>
  <c r="M31" i="75"/>
  <c r="M31" i="125" s="1"/>
  <c r="O41" i="78"/>
  <c r="O59" i="78" s="1"/>
  <c r="O15" i="125" s="1"/>
  <c r="R22" i="75"/>
  <c r="R30" i="125" s="1"/>
  <c r="AI58" i="78"/>
  <c r="AI14" i="125" s="1"/>
  <c r="K10" i="76"/>
  <c r="AG22" i="75"/>
  <c r="AG30" i="125" s="1"/>
  <c r="O60" i="75"/>
  <c r="Q51" i="75"/>
  <c r="Q33" i="125" s="1"/>
  <c r="Q22" i="75"/>
  <c r="Q30" i="125" s="1"/>
  <c r="J12" i="75"/>
  <c r="P10" i="78"/>
  <c r="P58" i="78" s="1"/>
  <c r="P14" i="125" s="1"/>
  <c r="O12" i="75"/>
  <c r="I10" i="78"/>
  <c r="I58" i="78" s="1"/>
  <c r="M42" i="75"/>
  <c r="M32" i="125" s="1"/>
  <c r="AF42" i="75"/>
  <c r="U46" i="75"/>
  <c r="AK17" i="75"/>
  <c r="I22" i="75"/>
  <c r="I30" i="125" s="1"/>
  <c r="AI10" i="76"/>
  <c r="Y22" i="75"/>
  <c r="Y30" i="125" s="1"/>
  <c r="M10" i="76"/>
  <c r="G60" i="75"/>
  <c r="AD60" i="75"/>
  <c r="AJ42" i="75"/>
  <c r="J22" i="75"/>
  <c r="J30" i="125" s="1"/>
  <c r="I60" i="75"/>
  <c r="G58" i="78"/>
  <c r="G14" i="125" s="1"/>
  <c r="Y10" i="76"/>
  <c r="M46" i="75"/>
  <c r="P22" i="75"/>
  <c r="P30" i="125" s="1"/>
  <c r="N46" i="75"/>
  <c r="AH41" i="78"/>
  <c r="AH42" i="75" s="1"/>
  <c r="AH32" i="125" s="1"/>
  <c r="H46" i="75"/>
  <c r="AI18" i="75"/>
  <c r="AK13" i="75"/>
  <c r="F22" i="75"/>
  <c r="F30" i="125" s="1"/>
  <c r="S51" i="75"/>
  <c r="S33" i="125" s="1"/>
  <c r="Q46" i="75"/>
  <c r="Z58" i="78"/>
  <c r="Z14" i="125" s="1"/>
  <c r="S10" i="76"/>
  <c r="S70" i="76" s="1"/>
  <c r="S10" i="125" s="1"/>
  <c r="AA22" i="75"/>
  <c r="AA30" i="125" s="1"/>
  <c r="AK50" i="75"/>
  <c r="S58" i="78"/>
  <c r="S14" i="125" s="1"/>
  <c r="R42" i="75"/>
  <c r="R32" i="125" s="1"/>
  <c r="K22" i="75"/>
  <c r="K30" i="125" s="1"/>
  <c r="L46" i="75"/>
  <c r="I42" i="75"/>
  <c r="I32" i="125" s="1"/>
  <c r="R58" i="78"/>
  <c r="R14" i="125" s="1"/>
  <c r="M22" i="75"/>
  <c r="M30" i="125" s="1"/>
  <c r="W10" i="76"/>
  <c r="W11" i="75" s="1"/>
  <c r="W29" i="125" s="1"/>
  <c r="U31" i="75"/>
  <c r="U31" i="125" s="1"/>
  <c r="L18" i="75"/>
  <c r="AF12" i="75"/>
  <c r="Y70" i="76"/>
  <c r="Y10" i="125" s="1"/>
  <c r="L58" i="78"/>
  <c r="L14" i="125" s="1"/>
  <c r="E58" i="78"/>
  <c r="E14" i="125" s="1"/>
  <c r="F51" i="75"/>
  <c r="F33" i="125" s="1"/>
  <c r="N22" i="75"/>
  <c r="N30" i="125" s="1"/>
  <c r="Q10" i="78"/>
  <c r="AG10" i="76"/>
  <c r="AG70" i="76" s="1"/>
  <c r="X31" i="75"/>
  <c r="X31" i="125" s="1"/>
  <c r="AD42" i="75"/>
  <c r="AD32" i="125" s="1"/>
  <c r="Z42" i="75"/>
  <c r="Z32" i="125" s="1"/>
  <c r="AG46" i="75"/>
  <c r="J42" i="75"/>
  <c r="J32" i="125" s="1"/>
  <c r="U18" i="75"/>
  <c r="U10" i="76"/>
  <c r="U70" i="76" s="1"/>
  <c r="W58" i="78"/>
  <c r="W59" i="78" s="1"/>
  <c r="W15" i="125" s="1"/>
  <c r="M70" i="76"/>
  <c r="M10" i="125" s="1"/>
  <c r="M18" i="75"/>
  <c r="Y58" i="78"/>
  <c r="Y59" i="78" s="1"/>
  <c r="Y15" i="125" s="1"/>
  <c r="AE10" i="76"/>
  <c r="AE70" i="76" s="1"/>
  <c r="AA18" i="75"/>
  <c r="AK20" i="75"/>
  <c r="AC30" i="77"/>
  <c r="AC31" i="75" s="1"/>
  <c r="AC31" i="125" s="1"/>
  <c r="R46" i="75"/>
  <c r="W12" i="75"/>
  <c r="AF58" i="78"/>
  <c r="AF14" i="125" s="1"/>
  <c r="AC46" i="75"/>
  <c r="AD46" i="75"/>
  <c r="AJ60" i="75"/>
  <c r="AK60" i="75" s="1"/>
  <c r="T58" i="78"/>
  <c r="T14" i="125" s="1"/>
  <c r="S18" i="75"/>
  <c r="I18" i="75"/>
  <c r="Q42" i="75"/>
  <c r="Q32" i="125" s="1"/>
  <c r="X58" i="78"/>
  <c r="X14" i="125" s="1"/>
  <c r="AK14" i="75"/>
  <c r="H22" i="75"/>
  <c r="H30" i="125" s="1"/>
  <c r="K18" i="75"/>
  <c r="V10" i="76"/>
  <c r="V70" i="76" s="1"/>
  <c r="V10" i="125" s="1"/>
  <c r="AC11" i="77"/>
  <c r="AC12" i="75" s="1"/>
  <c r="N51" i="75"/>
  <c r="N33" i="125" s="1"/>
  <c r="F46" i="75"/>
  <c r="AJ46" i="75"/>
  <c r="AK46" i="75" s="1"/>
  <c r="Y42" i="75"/>
  <c r="Y32" i="125" s="1"/>
  <c r="Q70" i="76"/>
  <c r="Q10" i="125" s="1"/>
  <c r="AD10" i="76"/>
  <c r="AD70" i="76" s="1"/>
  <c r="X22" i="75"/>
  <c r="X30" i="125" s="1"/>
  <c r="V51" i="75"/>
  <c r="V33" i="125" s="1"/>
  <c r="H51" i="75"/>
  <c r="H33" i="125" s="1"/>
  <c r="AK61" i="75"/>
  <c r="V58" i="78"/>
  <c r="V14" i="125" s="1"/>
  <c r="H18" i="75"/>
  <c r="AE12" i="75"/>
  <c r="G10" i="76"/>
  <c r="G70" i="76" s="1"/>
  <c r="AE59" i="78"/>
  <c r="AE15" i="125" s="1"/>
  <c r="AH30" i="77"/>
  <c r="AH31" i="75" s="1"/>
  <c r="AH31" i="125" s="1"/>
  <c r="AI60" i="75"/>
  <c r="V18" i="75"/>
  <c r="H11" i="77"/>
  <c r="H10" i="77" s="1"/>
  <c r="I46" i="75"/>
  <c r="AG42" i="75"/>
  <c r="AG32" i="125" s="1"/>
  <c r="I10" i="76"/>
  <c r="I70" i="76" s="1"/>
  <c r="Z30" i="77"/>
  <c r="Z31" i="75" s="1"/>
  <c r="Z31" i="125" s="1"/>
  <c r="O10" i="76"/>
  <c r="O70" i="76" s="1"/>
  <c r="U22" i="75"/>
  <c r="U30" i="125" s="1"/>
  <c r="AD22" i="75"/>
  <c r="AD30" i="125" s="1"/>
  <c r="K70" i="76"/>
  <c r="K10" i="125" s="1"/>
  <c r="AA70" i="76"/>
  <c r="AA10" i="125" s="1"/>
  <c r="S59" i="78"/>
  <c r="S15" i="125" s="1"/>
  <c r="S42" i="75"/>
  <c r="S32" i="125" s="1"/>
  <c r="L59" i="78"/>
  <c r="L15" i="125" s="1"/>
  <c r="L42" i="75"/>
  <c r="F71" i="76"/>
  <c r="F11" i="125" s="1"/>
  <c r="F42" i="75"/>
  <c r="F32" i="125" s="1"/>
  <c r="W14" i="125"/>
  <c r="AG14" i="125"/>
  <c r="AG59" i="78"/>
  <c r="AG15" i="125" s="1"/>
  <c r="N42" i="75"/>
  <c r="O14" i="125"/>
  <c r="X42" i="75"/>
  <c r="V42" i="75"/>
  <c r="AI70" i="76"/>
  <c r="AI11" i="75"/>
  <c r="AI29" i="125" s="1"/>
  <c r="AB42" i="75"/>
  <c r="AB32" i="125" s="1"/>
  <c r="AB59" i="78"/>
  <c r="AB15" i="125" s="1"/>
  <c r="H42" i="75"/>
  <c r="H32" i="125" s="1"/>
  <c r="K59" i="78"/>
  <c r="K15" i="125" s="1"/>
  <c r="K42" i="75"/>
  <c r="K32" i="125" s="1"/>
  <c r="E22" i="75"/>
  <c r="E30" i="125" s="1"/>
  <c r="V60" i="75"/>
  <c r="AJ37" i="75"/>
  <c r="AK37" i="75" s="1"/>
  <c r="AK36" i="77"/>
  <c r="AF51" i="75"/>
  <c r="AF33" i="125" s="1"/>
  <c r="V30" i="77"/>
  <c r="V31" i="75" s="1"/>
  <c r="V31" i="125" s="1"/>
  <c r="AK45" i="78"/>
  <c r="S46" i="75"/>
  <c r="I37" i="75"/>
  <c r="I30" i="77"/>
  <c r="I31" i="75" s="1"/>
  <c r="I31" i="125" s="1"/>
  <c r="AK11" i="78"/>
  <c r="AJ10" i="78"/>
  <c r="T18" i="75"/>
  <c r="R60" i="75"/>
  <c r="AA41" i="78"/>
  <c r="AA42" i="75" s="1"/>
  <c r="AA32" i="125" s="1"/>
  <c r="AJ58" i="77"/>
  <c r="J59" i="78"/>
  <c r="J15" i="125" s="1"/>
  <c r="F58" i="78"/>
  <c r="F14" i="125" s="1"/>
  <c r="S12" i="75"/>
  <c r="Y46" i="75"/>
  <c r="AH12" i="75"/>
  <c r="AH10" i="77"/>
  <c r="L10" i="76"/>
  <c r="L70" i="76" s="1"/>
  <c r="X10" i="76"/>
  <c r="X70" i="76" s="1"/>
  <c r="AC22" i="75"/>
  <c r="AC30" i="125" s="1"/>
  <c r="E31" i="75"/>
  <c r="E31" i="125" s="1"/>
  <c r="K60" i="75"/>
  <c r="AJ31" i="75"/>
  <c r="AK30" i="77"/>
  <c r="AK44" i="75"/>
  <c r="G37" i="75"/>
  <c r="G30" i="77"/>
  <c r="G31" i="75" s="1"/>
  <c r="G31" i="125" s="1"/>
  <c r="AF30" i="77"/>
  <c r="AF31" i="75" s="1"/>
  <c r="AF31" i="125" s="1"/>
  <c r="K46" i="75"/>
  <c r="Q37" i="75"/>
  <c r="Q30" i="77"/>
  <c r="Q31" i="75" s="1"/>
  <c r="Q31" i="125" s="1"/>
  <c r="AH22" i="75"/>
  <c r="AH30" i="125" s="1"/>
  <c r="T16" i="75"/>
  <c r="T11" i="77"/>
  <c r="E18" i="75"/>
  <c r="AI41" i="78"/>
  <c r="AI42" i="75" s="1"/>
  <c r="AA11" i="75"/>
  <c r="J30" i="77"/>
  <c r="J31" i="75" s="1"/>
  <c r="J31" i="125" s="1"/>
  <c r="K30" i="77"/>
  <c r="K31" i="75" s="1"/>
  <c r="K31" i="125" s="1"/>
  <c r="L31" i="75"/>
  <c r="L31" i="125" s="1"/>
  <c r="W22" i="75"/>
  <c r="W30" i="125" s="1"/>
  <c r="H58" i="78"/>
  <c r="F12" i="75"/>
  <c r="F10" i="77"/>
  <c r="AD58" i="78"/>
  <c r="AD14" i="125" s="1"/>
  <c r="AJ17" i="125"/>
  <c r="AK17" i="125" s="1"/>
  <c r="AK32" i="79"/>
  <c r="R18" i="75"/>
  <c r="Y12" i="75"/>
  <c r="Y10" i="77"/>
  <c r="Q58" i="78"/>
  <c r="V11" i="77"/>
  <c r="T10" i="76"/>
  <c r="T70" i="76" s="1"/>
  <c r="P10" i="76"/>
  <c r="P70" i="76" s="1"/>
  <c r="AC70" i="76"/>
  <c r="AC10" i="125" s="1"/>
  <c r="N60" i="75"/>
  <c r="AD51" i="75"/>
  <c r="AD33" i="125" s="1"/>
  <c r="Y51" i="75"/>
  <c r="Y33" i="125" s="1"/>
  <c r="N30" i="77"/>
  <c r="N31" i="75" s="1"/>
  <c r="N31" i="125" s="1"/>
  <c r="N37" i="75"/>
  <c r="AD30" i="77"/>
  <c r="AD31" i="75" s="1"/>
  <c r="AD31" i="125" s="1"/>
  <c r="O37" i="75"/>
  <c r="O30" i="77"/>
  <c r="O31" i="75" s="1"/>
  <c r="O31" i="125" s="1"/>
  <c r="Y37" i="75"/>
  <c r="Y30" i="77"/>
  <c r="Y31" i="75" s="1"/>
  <c r="Y31" i="125" s="1"/>
  <c r="T22" i="75"/>
  <c r="T30" i="125" s="1"/>
  <c r="AC58" i="78"/>
  <c r="AC14" i="125" s="1"/>
  <c r="J60" i="75"/>
  <c r="AK19" i="75"/>
  <c r="V22" i="75"/>
  <c r="V30" i="125" s="1"/>
  <c r="AJ16" i="125"/>
  <c r="AK16" i="125" s="1"/>
  <c r="AK10" i="79"/>
  <c r="R10" i="76"/>
  <c r="R70" i="76" s="1"/>
  <c r="Z10" i="76"/>
  <c r="Z70" i="76" s="1"/>
  <c r="AD12" i="75"/>
  <c r="G12" i="75"/>
  <c r="G10" i="77"/>
  <c r="AB10" i="76"/>
  <c r="AB70" i="76" s="1"/>
  <c r="E10" i="76"/>
  <c r="E70" i="76" s="1"/>
  <c r="E10" i="125" s="1"/>
  <c r="X60" i="75"/>
  <c r="AK43" i="75"/>
  <c r="W37" i="75"/>
  <c r="W30" i="77"/>
  <c r="W31" i="75" s="1"/>
  <c r="W31" i="125" s="1"/>
  <c r="H37" i="75"/>
  <c r="H30" i="77"/>
  <c r="H31" i="75" s="1"/>
  <c r="H31" i="125" s="1"/>
  <c r="AG37" i="75"/>
  <c r="AG30" i="77"/>
  <c r="AG31" i="75" s="1"/>
  <c r="AG31" i="125" s="1"/>
  <c r="AF22" i="75"/>
  <c r="AF30" i="125" s="1"/>
  <c r="S31" i="75"/>
  <c r="S31" i="125" s="1"/>
  <c r="AK33" i="75"/>
  <c r="X58" i="77"/>
  <c r="O22" i="75"/>
  <c r="O30" i="125" s="1"/>
  <c r="J18" i="75"/>
  <c r="Q11" i="77"/>
  <c r="K11" i="75"/>
  <c r="K29" i="125" s="1"/>
  <c r="K58" i="77"/>
  <c r="N12" i="75"/>
  <c r="N10" i="77"/>
  <c r="AJ11" i="76"/>
  <c r="AJ12" i="75" s="1"/>
  <c r="AF10" i="76"/>
  <c r="AF70" i="76" s="1"/>
  <c r="M12" i="75"/>
  <c r="M10" i="77"/>
  <c r="F60" i="75"/>
  <c r="AJ51" i="75"/>
  <c r="AK50" i="77"/>
  <c r="AK62" i="75"/>
  <c r="T30" i="77"/>
  <c r="T31" i="75" s="1"/>
  <c r="T31" i="125" s="1"/>
  <c r="I51" i="75"/>
  <c r="I33" i="125" s="1"/>
  <c r="AK45" i="75"/>
  <c r="AE37" i="75"/>
  <c r="AE30" i="77"/>
  <c r="AE31" i="75" s="1"/>
  <c r="AE31" i="125" s="1"/>
  <c r="AE11" i="75"/>
  <c r="AE29" i="125" s="1"/>
  <c r="AK17" i="76"/>
  <c r="AH60" i="75"/>
  <c r="AG51" i="75"/>
  <c r="AG33" i="125" s="1"/>
  <c r="P30" i="77"/>
  <c r="P31" i="75" s="1"/>
  <c r="P31" i="125" s="1"/>
  <c r="AJ18" i="75"/>
  <c r="AF58" i="77"/>
  <c r="U10" i="78"/>
  <c r="U58" i="78" s="1"/>
  <c r="U14" i="125" s="1"/>
  <c r="AE22" i="75"/>
  <c r="AE30" i="125" s="1"/>
  <c r="O11" i="75"/>
  <c r="O29" i="125" s="1"/>
  <c r="J10" i="77"/>
  <c r="U12" i="75"/>
  <c r="U10" i="77"/>
  <c r="E12" i="75"/>
  <c r="E10" i="77"/>
  <c r="AK10" i="77" s="1"/>
  <c r="P51" i="75"/>
  <c r="P33" i="125" s="1"/>
  <c r="AA60" i="75"/>
  <c r="AK47" i="75"/>
  <c r="H60" i="75"/>
  <c r="Z12" i="75"/>
  <c r="Z10" i="77"/>
  <c r="AF46" i="75"/>
  <c r="AK30" i="76"/>
  <c r="AJ16" i="75"/>
  <c r="AK16" i="75" s="1"/>
  <c r="L11" i="77"/>
  <c r="R30" i="77"/>
  <c r="R31" i="75" s="1"/>
  <c r="R31" i="125" s="1"/>
  <c r="AK21" i="77"/>
  <c r="AA31" i="75"/>
  <c r="AA31" i="125" s="1"/>
  <c r="M10" i="78"/>
  <c r="M58" i="78" s="1"/>
  <c r="M14" i="125" s="1"/>
  <c r="N58" i="78"/>
  <c r="N14" i="125" s="1"/>
  <c r="I11" i="77"/>
  <c r="R16" i="75"/>
  <c r="R11" i="77"/>
  <c r="AB30" i="77"/>
  <c r="AB31" i="75" s="1"/>
  <c r="AB31" i="125" s="1"/>
  <c r="F30" i="77"/>
  <c r="F31" i="75" s="1"/>
  <c r="F31" i="125" s="1"/>
  <c r="H12" i="75"/>
  <c r="Z60" i="75"/>
  <c r="P46" i="75"/>
  <c r="Z22" i="75"/>
  <c r="Z30" i="125" s="1"/>
  <c r="AJ30" i="125"/>
  <c r="AK30" i="125" s="1"/>
  <c r="AK15" i="75"/>
  <c r="N70" i="76"/>
  <c r="N10" i="125" s="1"/>
  <c r="AG12" i="75"/>
  <c r="AG10" i="77"/>
  <c r="J10" i="76"/>
  <c r="J70" i="76" s="1"/>
  <c r="S60" i="75"/>
  <c r="V59" i="78"/>
  <c r="V15" i="125" s="1"/>
  <c r="P12" i="75"/>
  <c r="P10" i="77"/>
  <c r="AI30" i="77"/>
  <c r="G22" i="75"/>
  <c r="G30" i="125" s="1"/>
  <c r="Z18" i="75"/>
  <c r="S58" i="77"/>
  <c r="AH10" i="76"/>
  <c r="AH70" i="76" s="1"/>
  <c r="AB12" i="75"/>
  <c r="N32" i="125"/>
  <c r="P32" i="125"/>
  <c r="AF32" i="125"/>
  <c r="AK41" i="78"/>
  <c r="AJ32" i="125"/>
  <c r="U32" i="125"/>
  <c r="M71" i="76"/>
  <c r="M11" i="125" s="1"/>
  <c r="G42" i="75"/>
  <c r="AC32" i="125"/>
  <c r="O42" i="75"/>
  <c r="W42" i="75"/>
  <c r="AE42" i="75"/>
  <c r="L32" i="125"/>
  <c r="E42" i="75"/>
  <c r="AK41" i="76"/>
  <c r="I14" i="125" l="1"/>
  <c r="I59" i="78"/>
  <c r="I15" i="125" s="1"/>
  <c r="W70" i="76"/>
  <c r="W10" i="125" s="1"/>
  <c r="W58" i="77"/>
  <c r="G59" i="78"/>
  <c r="G15" i="125" s="1"/>
  <c r="Z59" i="78"/>
  <c r="Z15" i="125" s="1"/>
  <c r="K10" i="75"/>
  <c r="K72" i="75" s="1"/>
  <c r="K22" i="125" s="1"/>
  <c r="K35" i="125" s="1"/>
  <c r="Y71" i="76"/>
  <c r="Y11" i="125" s="1"/>
  <c r="U10" i="125"/>
  <c r="U71" i="76"/>
  <c r="U11" i="125" s="1"/>
  <c r="R59" i="78"/>
  <c r="R15" i="125" s="1"/>
  <c r="AH59" i="78"/>
  <c r="AH15" i="125" s="1"/>
  <c r="Y14" i="125"/>
  <c r="E59" i="78"/>
  <c r="E15" i="125" s="1"/>
  <c r="S11" i="75"/>
  <c r="S29" i="125" s="1"/>
  <c r="AC10" i="77"/>
  <c r="AE10" i="125"/>
  <c r="AE71" i="76"/>
  <c r="AE11" i="125" s="1"/>
  <c r="AK22" i="75"/>
  <c r="O58" i="77"/>
  <c r="O59" i="77" s="1"/>
  <c r="O13" i="125" s="1"/>
  <c r="AG10" i="125"/>
  <c r="AG71" i="76"/>
  <c r="AG11" i="125" s="1"/>
  <c r="X59" i="78"/>
  <c r="X15" i="125" s="1"/>
  <c r="T59" i="78"/>
  <c r="T15" i="125" s="1"/>
  <c r="AF11" i="75"/>
  <c r="AF29" i="125" s="1"/>
  <c r="F59" i="78"/>
  <c r="F15" i="125" s="1"/>
  <c r="M59" i="78"/>
  <c r="M15" i="125" s="1"/>
  <c r="AD10" i="125"/>
  <c r="AD71" i="76"/>
  <c r="AD11" i="125" s="1"/>
  <c r="O10" i="125"/>
  <c r="O71" i="76"/>
  <c r="O11" i="125" s="1"/>
  <c r="Q71" i="76"/>
  <c r="Q11" i="125" s="1"/>
  <c r="H71" i="76"/>
  <c r="H11" i="125" s="1"/>
  <c r="P59" i="78"/>
  <c r="P15" i="125" s="1"/>
  <c r="E71" i="76"/>
  <c r="E11" i="125" s="1"/>
  <c r="K71" i="76"/>
  <c r="K11" i="125" s="1"/>
  <c r="AD11" i="75"/>
  <c r="AD29" i="125" s="1"/>
  <c r="AF59" i="78"/>
  <c r="AF15" i="125" s="1"/>
  <c r="I10" i="125"/>
  <c r="I71" i="76"/>
  <c r="I11" i="125" s="1"/>
  <c r="G10" i="125"/>
  <c r="G71" i="76"/>
  <c r="G11" i="125" s="1"/>
  <c r="X11" i="75"/>
  <c r="X29" i="125" s="1"/>
  <c r="W71" i="76"/>
  <c r="W11" i="125" s="1"/>
  <c r="AE58" i="77"/>
  <c r="AE12" i="125" s="1"/>
  <c r="AD10" i="75"/>
  <c r="AD72" i="75" s="1"/>
  <c r="AD22" i="125" s="1"/>
  <c r="AD35" i="125" s="1"/>
  <c r="AK18" i="75"/>
  <c r="AC59" i="78"/>
  <c r="AC15" i="125" s="1"/>
  <c r="AB11" i="75"/>
  <c r="AB29" i="125" s="1"/>
  <c r="AD58" i="77"/>
  <c r="AD12" i="125" s="1"/>
  <c r="AC71" i="76"/>
  <c r="AC11" i="125" s="1"/>
  <c r="AA71" i="76"/>
  <c r="AA11" i="125" s="1"/>
  <c r="S71" i="76"/>
  <c r="S11" i="125" s="1"/>
  <c r="AH10" i="125"/>
  <c r="AH71" i="76"/>
  <c r="AH11" i="125" s="1"/>
  <c r="P11" i="75"/>
  <c r="P58" i="77"/>
  <c r="AG11" i="75"/>
  <c r="AG58" i="77"/>
  <c r="G11" i="75"/>
  <c r="G29" i="125" s="1"/>
  <c r="G58" i="77"/>
  <c r="Y11" i="75"/>
  <c r="Y58" i="77"/>
  <c r="H14" i="125"/>
  <c r="H59" i="78"/>
  <c r="H15" i="125" s="1"/>
  <c r="AD59" i="78"/>
  <c r="AD15" i="125" s="1"/>
  <c r="V71" i="76"/>
  <c r="V11" i="125" s="1"/>
  <c r="S10" i="75"/>
  <c r="S72" i="75" s="1"/>
  <c r="S22" i="125" s="1"/>
  <c r="S35" i="125" s="1"/>
  <c r="S12" i="125"/>
  <c r="S59" i="77"/>
  <c r="S13" i="125" s="1"/>
  <c r="H11" i="75"/>
  <c r="H58" i="77"/>
  <c r="R12" i="75"/>
  <c r="R10" i="77"/>
  <c r="M58" i="77"/>
  <c r="M11" i="75"/>
  <c r="K12" i="125"/>
  <c r="K59" i="77"/>
  <c r="K13" i="125" s="1"/>
  <c r="T12" i="75"/>
  <c r="T10" i="77"/>
  <c r="X10" i="125"/>
  <c r="X71" i="76"/>
  <c r="X11" i="125" s="1"/>
  <c r="AJ58" i="78"/>
  <c r="AK10" i="78"/>
  <c r="L12" i="75"/>
  <c r="L10" i="77"/>
  <c r="J11" i="75"/>
  <c r="J58" i="77"/>
  <c r="P10" i="125"/>
  <c r="P71" i="76"/>
  <c r="P11" i="125" s="1"/>
  <c r="L10" i="125"/>
  <c r="L71" i="76"/>
  <c r="L11" i="125" s="1"/>
  <c r="I12" i="75"/>
  <c r="I10" i="77"/>
  <c r="Q12" i="75"/>
  <c r="Q10" i="77"/>
  <c r="Z10" i="125"/>
  <c r="Z71" i="76"/>
  <c r="Z11" i="125" s="1"/>
  <c r="T10" i="125"/>
  <c r="T71" i="76"/>
  <c r="T11" i="125" s="1"/>
  <c r="U59" i="78"/>
  <c r="U15" i="125" s="1"/>
  <c r="AH11" i="75"/>
  <c r="AH58" i="77"/>
  <c r="AI59" i="78"/>
  <c r="AI15" i="125" s="1"/>
  <c r="X32" i="125"/>
  <c r="W12" i="125"/>
  <c r="W59" i="77"/>
  <c r="W13" i="125" s="1"/>
  <c r="O12" i="125"/>
  <c r="AF10" i="75"/>
  <c r="AF72" i="75" s="1"/>
  <c r="R10" i="125"/>
  <c r="R71" i="76"/>
  <c r="R11" i="125" s="1"/>
  <c r="V12" i="75"/>
  <c r="V10" i="77"/>
  <c r="AJ12" i="125"/>
  <c r="AJ59" i="77"/>
  <c r="AA59" i="78"/>
  <c r="AA15" i="125" s="1"/>
  <c r="AB58" i="77"/>
  <c r="N59" i="78"/>
  <c r="N15" i="125" s="1"/>
  <c r="AK12" i="75"/>
  <c r="E11" i="75"/>
  <c r="E29" i="125" s="1"/>
  <c r="E58" i="77"/>
  <c r="AK58" i="77" s="1"/>
  <c r="AF10" i="125"/>
  <c r="AF71" i="76"/>
  <c r="AF11" i="125" s="1"/>
  <c r="Q14" i="125"/>
  <c r="Q59" i="78"/>
  <c r="Q15" i="125" s="1"/>
  <c r="AA12" i="125"/>
  <c r="AA59" i="77"/>
  <c r="AA13" i="125" s="1"/>
  <c r="AK31" i="75"/>
  <c r="AJ31" i="125"/>
  <c r="AK31" i="125" s="1"/>
  <c r="N71" i="76"/>
  <c r="N11" i="125" s="1"/>
  <c r="Z11" i="75"/>
  <c r="Z58" i="77"/>
  <c r="AK11" i="76"/>
  <c r="AJ10" i="76"/>
  <c r="AJ11" i="75" s="1"/>
  <c r="X12" i="125"/>
  <c r="X59" i="77"/>
  <c r="X13" i="125" s="1"/>
  <c r="AC58" i="77"/>
  <c r="AC11" i="75"/>
  <c r="F11" i="75"/>
  <c r="F29" i="125" s="1"/>
  <c r="F58" i="77"/>
  <c r="AA29" i="125"/>
  <c r="AA10" i="75"/>
  <c r="AA72" i="75" s="1"/>
  <c r="AI10" i="125"/>
  <c r="AI71" i="76"/>
  <c r="AI11" i="125" s="1"/>
  <c r="AI31" i="75"/>
  <c r="AI31" i="125" s="1"/>
  <c r="AI58" i="77"/>
  <c r="J10" i="125"/>
  <c r="J71" i="76"/>
  <c r="J11" i="125" s="1"/>
  <c r="U11" i="75"/>
  <c r="U58" i="77"/>
  <c r="AF12" i="125"/>
  <c r="AF59" i="77"/>
  <c r="AF13" i="125" s="1"/>
  <c r="AJ33" i="125"/>
  <c r="AK33" i="125" s="1"/>
  <c r="AK51" i="75"/>
  <c r="N11" i="75"/>
  <c r="N29" i="125" s="1"/>
  <c r="N58" i="77"/>
  <c r="AB10" i="125"/>
  <c r="AB71" i="76"/>
  <c r="AB11" i="125" s="1"/>
  <c r="AI32" i="125"/>
  <c r="V32" i="125"/>
  <c r="K71" i="75"/>
  <c r="K21" i="125" s="1"/>
  <c r="W10" i="75"/>
  <c r="W72" i="75" s="1"/>
  <c r="W32" i="125"/>
  <c r="O10" i="75"/>
  <c r="O72" i="75" s="1"/>
  <c r="O32" i="125"/>
  <c r="G32" i="125"/>
  <c r="AE10" i="75"/>
  <c r="AE72" i="75" s="1"/>
  <c r="AE32" i="125"/>
  <c r="E32" i="125"/>
  <c r="AK32" i="125" s="1"/>
  <c r="AK42" i="75"/>
  <c r="AE59" i="77" l="1"/>
  <c r="AE13" i="125" s="1"/>
  <c r="X10" i="75"/>
  <c r="X72" i="75" s="1"/>
  <c r="X22" i="125" s="1"/>
  <c r="X35" i="125" s="1"/>
  <c r="E10" i="75"/>
  <c r="E72" i="75" s="1"/>
  <c r="AB10" i="75"/>
  <c r="AB72" i="75" s="1"/>
  <c r="S71" i="75"/>
  <c r="S21" i="125" s="1"/>
  <c r="G10" i="75"/>
  <c r="G72" i="75" s="1"/>
  <c r="G71" i="75" s="1"/>
  <c r="G21" i="125" s="1"/>
  <c r="AI10" i="75"/>
  <c r="AI72" i="75" s="1"/>
  <c r="AI22" i="125" s="1"/>
  <c r="AI35" i="125" s="1"/>
  <c r="AD59" i="77"/>
  <c r="AD13" i="125" s="1"/>
  <c r="F10" i="75"/>
  <c r="F72" i="75" s="1"/>
  <c r="F71" i="75" s="1"/>
  <c r="F21" i="125" s="1"/>
  <c r="AD71" i="75"/>
  <c r="AD21" i="125" s="1"/>
  <c r="AI12" i="125"/>
  <c r="AI59" i="77"/>
  <c r="AI13" i="125" s="1"/>
  <c r="T11" i="75"/>
  <c r="T58" i="77"/>
  <c r="H12" i="125"/>
  <c r="H59" i="77"/>
  <c r="H13" i="125" s="1"/>
  <c r="G12" i="125"/>
  <c r="G59" i="77"/>
  <c r="G13" i="125" s="1"/>
  <c r="AK10" i="76"/>
  <c r="AJ70" i="76"/>
  <c r="AI71" i="75"/>
  <c r="AI21" i="125" s="1"/>
  <c r="E12" i="125"/>
  <c r="AK12" i="125" s="1"/>
  <c r="E59" i="77"/>
  <c r="E13" i="125" s="1"/>
  <c r="V11" i="75"/>
  <c r="V58" i="77"/>
  <c r="X71" i="75"/>
  <c r="X21" i="125" s="1"/>
  <c r="AG12" i="125"/>
  <c r="AG59" i="77"/>
  <c r="AG13" i="125" s="1"/>
  <c r="H29" i="125"/>
  <c r="H10" i="75"/>
  <c r="H72" i="75" s="1"/>
  <c r="Z59" i="77"/>
  <c r="Z13" i="125" s="1"/>
  <c r="Z12" i="125"/>
  <c r="Q58" i="77"/>
  <c r="Q11" i="75"/>
  <c r="J59" i="77"/>
  <c r="J13" i="125" s="1"/>
  <c r="J12" i="125"/>
  <c r="AG29" i="125"/>
  <c r="AG10" i="75"/>
  <c r="AG72" i="75" s="1"/>
  <c r="AK11" i="75"/>
  <c r="AJ29" i="125"/>
  <c r="AK29" i="125" s="1"/>
  <c r="AJ10" i="75"/>
  <c r="AJ72" i="75" s="1"/>
  <c r="Z29" i="125"/>
  <c r="Z10" i="75"/>
  <c r="Z72" i="75" s="1"/>
  <c r="AH59" i="77"/>
  <c r="AH13" i="125" s="1"/>
  <c r="AH12" i="125"/>
  <c r="J29" i="125"/>
  <c r="J10" i="75"/>
  <c r="J72" i="75" s="1"/>
  <c r="M29" i="125"/>
  <c r="M10" i="75"/>
  <c r="M72" i="75" s="1"/>
  <c r="P12" i="125"/>
  <c r="P59" i="77"/>
  <c r="P13" i="125" s="1"/>
  <c r="N12" i="125"/>
  <c r="N59" i="77"/>
  <c r="N13" i="125" s="1"/>
  <c r="U59" i="77"/>
  <c r="U13" i="125" s="1"/>
  <c r="U12" i="125"/>
  <c r="AC29" i="125"/>
  <c r="AC10" i="75"/>
  <c r="AC72" i="75" s="1"/>
  <c r="AH29" i="125"/>
  <c r="AH10" i="75"/>
  <c r="AH72" i="75" s="1"/>
  <c r="I11" i="75"/>
  <c r="I58" i="77"/>
  <c r="L11" i="75"/>
  <c r="L58" i="77"/>
  <c r="AJ59" i="78"/>
  <c r="AJ14" i="125"/>
  <c r="AK14" i="125" s="1"/>
  <c r="AK58" i="78"/>
  <c r="M59" i="77"/>
  <c r="M13" i="125" s="1"/>
  <c r="M12" i="125"/>
  <c r="P29" i="125"/>
  <c r="P10" i="75"/>
  <c r="P72" i="75" s="1"/>
  <c r="U29" i="125"/>
  <c r="U10" i="75"/>
  <c r="U72" i="75" s="1"/>
  <c r="AC59" i="77"/>
  <c r="AC13" i="125" s="1"/>
  <c r="AC12" i="125"/>
  <c r="AB59" i="77"/>
  <c r="AB13" i="125" s="1"/>
  <c r="AB12" i="125"/>
  <c r="N10" i="75"/>
  <c r="N72" i="75" s="1"/>
  <c r="AF22" i="125"/>
  <c r="AF35" i="125" s="1"/>
  <c r="AF71" i="75"/>
  <c r="AF21" i="125" s="1"/>
  <c r="R11" i="75"/>
  <c r="R58" i="77"/>
  <c r="Y12" i="125"/>
  <c r="Y59" i="77"/>
  <c r="Y13" i="125" s="1"/>
  <c r="F12" i="125"/>
  <c r="F59" i="77"/>
  <c r="F13" i="125" s="1"/>
  <c r="AA22" i="125"/>
  <c r="AA35" i="125" s="1"/>
  <c r="AA71" i="75"/>
  <c r="AA21" i="125" s="1"/>
  <c r="AJ13" i="125"/>
  <c r="Y29" i="125"/>
  <c r="Y10" i="75"/>
  <c r="Y72" i="75" s="1"/>
  <c r="AE71" i="75"/>
  <c r="AE21" i="125" s="1"/>
  <c r="AE22" i="125"/>
  <c r="AE35" i="125" s="1"/>
  <c r="O71" i="75"/>
  <c r="O21" i="125" s="1"/>
  <c r="O22" i="125"/>
  <c r="O35" i="125" s="1"/>
  <c r="W71" i="75"/>
  <c r="W21" i="125" s="1"/>
  <c r="W22" i="125"/>
  <c r="W35" i="125" s="1"/>
  <c r="AK59" i="77" l="1"/>
  <c r="AK13" i="125"/>
  <c r="G22" i="125"/>
  <c r="G35" i="125" s="1"/>
  <c r="F22" i="125"/>
  <c r="F35" i="125" s="1"/>
  <c r="AB71" i="75"/>
  <c r="AB21" i="125" s="1"/>
  <c r="AB22" i="125"/>
  <c r="AB35" i="125" s="1"/>
  <c r="AK10" i="75"/>
  <c r="I29" i="125"/>
  <c r="I10" i="75"/>
  <c r="I72" i="75" s="1"/>
  <c r="AJ10" i="125"/>
  <c r="AK10" i="125" s="1"/>
  <c r="AK70" i="76"/>
  <c r="AJ71" i="76"/>
  <c r="T29" i="125"/>
  <c r="T10" i="75"/>
  <c r="T72" i="75" s="1"/>
  <c r="I12" i="125"/>
  <c r="I59" i="77"/>
  <c r="I13" i="125" s="1"/>
  <c r="R59" i="77"/>
  <c r="R13" i="125" s="1"/>
  <c r="R12" i="125"/>
  <c r="AH71" i="75"/>
  <c r="AH21" i="125" s="1"/>
  <c r="AH22" i="125"/>
  <c r="AH35" i="125" s="1"/>
  <c r="AG71" i="75"/>
  <c r="AG21" i="125" s="1"/>
  <c r="AG22" i="125"/>
  <c r="AG35" i="125" s="1"/>
  <c r="R29" i="125"/>
  <c r="R10" i="75"/>
  <c r="R72" i="75" s="1"/>
  <c r="U22" i="125"/>
  <c r="U35" i="125" s="1"/>
  <c r="U71" i="75"/>
  <c r="U21" i="125" s="1"/>
  <c r="Z71" i="75"/>
  <c r="Z21" i="125" s="1"/>
  <c r="Z22" i="125"/>
  <c r="Z35" i="125" s="1"/>
  <c r="V12" i="125"/>
  <c r="V59" i="77"/>
  <c r="V13" i="125" s="1"/>
  <c r="Y71" i="75"/>
  <c r="Y21" i="125" s="1"/>
  <c r="Y22" i="125"/>
  <c r="Y35" i="125" s="1"/>
  <c r="AC71" i="75"/>
  <c r="AC21" i="125" s="1"/>
  <c r="AC22" i="125"/>
  <c r="AC35" i="125" s="1"/>
  <c r="V29" i="125"/>
  <c r="V10" i="75"/>
  <c r="V72" i="75" s="1"/>
  <c r="AJ15" i="125"/>
  <c r="AK15" i="125" s="1"/>
  <c r="AK59" i="78"/>
  <c r="M22" i="125"/>
  <c r="M35" i="125" s="1"/>
  <c r="M71" i="75"/>
  <c r="M21" i="125" s="1"/>
  <c r="H71" i="75"/>
  <c r="H21" i="125" s="1"/>
  <c r="H22" i="125"/>
  <c r="H35" i="125" s="1"/>
  <c r="N71" i="75"/>
  <c r="N21" i="125" s="1"/>
  <c r="N22" i="125"/>
  <c r="N35" i="125" s="1"/>
  <c r="L12" i="125"/>
  <c r="L59" i="77"/>
  <c r="L13" i="125" s="1"/>
  <c r="Q29" i="125"/>
  <c r="Q10" i="75"/>
  <c r="Q72" i="75" s="1"/>
  <c r="T12" i="125"/>
  <c r="T59" i="77"/>
  <c r="T13" i="125" s="1"/>
  <c r="P71" i="75"/>
  <c r="P21" i="125" s="1"/>
  <c r="P22" i="125"/>
  <c r="P35" i="125" s="1"/>
  <c r="L29" i="125"/>
  <c r="L10" i="75"/>
  <c r="L72" i="75" s="1"/>
  <c r="J71" i="75"/>
  <c r="J21" i="125" s="1"/>
  <c r="J22" i="125"/>
  <c r="J35" i="125" s="1"/>
  <c r="AJ22" i="125"/>
  <c r="AJ35" i="125" s="1"/>
  <c r="AJ71" i="75"/>
  <c r="AJ21" i="125" s="1"/>
  <c r="Q12" i="125"/>
  <c r="Q59" i="77"/>
  <c r="Q13" i="125" s="1"/>
  <c r="E22" i="125"/>
  <c r="AK72" i="75"/>
  <c r="E71" i="75"/>
  <c r="V22" i="125" l="1"/>
  <c r="V35" i="125" s="1"/>
  <c r="V71" i="75"/>
  <c r="V21" i="125" s="1"/>
  <c r="T71" i="75"/>
  <c r="T21" i="125" s="1"/>
  <c r="T22" i="125"/>
  <c r="T35" i="125" s="1"/>
  <c r="AJ11" i="125"/>
  <c r="AK11" i="125" s="1"/>
  <c r="AK71" i="76"/>
  <c r="Q71" i="75"/>
  <c r="Q21" i="125" s="1"/>
  <c r="Q22" i="125"/>
  <c r="Q35" i="125" s="1"/>
  <c r="R71" i="75"/>
  <c r="R21" i="125" s="1"/>
  <c r="R22" i="125"/>
  <c r="R35" i="125" s="1"/>
  <c r="I71" i="75"/>
  <c r="I21" i="125" s="1"/>
  <c r="I22" i="125"/>
  <c r="I35" i="125" s="1"/>
  <c r="L22" i="125"/>
  <c r="L35" i="125" s="1"/>
  <c r="L71" i="75"/>
  <c r="L21" i="125" s="1"/>
  <c r="E21" i="125"/>
  <c r="AK21" i="125" s="1"/>
  <c r="AK71" i="75"/>
  <c r="AK22" i="125"/>
  <c r="E35" i="125"/>
  <c r="AK35" i="125" s="1"/>
  <c r="P66" i="70" l="1"/>
  <c r="P62" i="70"/>
  <c r="P29" i="70"/>
  <c r="P35" i="70"/>
  <c r="P40" i="70"/>
  <c r="P47" i="70"/>
  <c r="P55" i="70"/>
  <c r="P56" i="70"/>
  <c r="P28" i="70"/>
  <c r="P26" i="70"/>
  <c r="P27" i="70"/>
  <c r="J62" i="70"/>
  <c r="D68" i="70"/>
  <c r="D62" i="70"/>
  <c r="J29" i="70"/>
  <c r="J34" i="70"/>
  <c r="J35" i="70"/>
  <c r="J40" i="70"/>
  <c r="J47" i="70"/>
  <c r="J49" i="70"/>
  <c r="J55" i="70"/>
  <c r="J56" i="70"/>
  <c r="J28" i="70"/>
  <c r="J26" i="70"/>
  <c r="D39" i="70"/>
  <c r="D40" i="70"/>
  <c r="D47" i="70"/>
  <c r="D55" i="70"/>
  <c r="D56" i="70"/>
  <c r="D28" i="70"/>
  <c r="K69" i="65"/>
  <c r="K63" i="65"/>
  <c r="K67" i="65"/>
  <c r="C69" i="65"/>
  <c r="E67" i="65"/>
  <c r="C63" i="65"/>
  <c r="D63" i="65"/>
  <c r="E63" i="65"/>
  <c r="K36" i="65"/>
  <c r="K40" i="65"/>
  <c r="K56" i="65"/>
  <c r="J57" i="65"/>
  <c r="I57" i="65"/>
  <c r="H57" i="65"/>
  <c r="G57" i="65"/>
  <c r="F57" i="65"/>
  <c r="E57" i="65"/>
  <c r="D57" i="65"/>
  <c r="C57" i="65"/>
  <c r="K57" i="65" s="1"/>
  <c r="K27" i="65"/>
  <c r="K41" i="65"/>
  <c r="K48" i="65"/>
  <c r="E56" i="65"/>
  <c r="D56" i="65"/>
  <c r="C56" i="65"/>
  <c r="D50" i="65"/>
  <c r="C48" i="65"/>
  <c r="D48" i="65"/>
  <c r="E48" i="65"/>
  <c r="E41" i="65"/>
  <c r="D41" i="65"/>
  <c r="C41" i="65"/>
  <c r="C40" i="65"/>
  <c r="E36" i="65"/>
  <c r="D35" i="65"/>
  <c r="D36" i="65"/>
  <c r="J30" i="65"/>
  <c r="I30" i="65"/>
  <c r="H30" i="65"/>
  <c r="G30" i="65"/>
  <c r="F30" i="65"/>
  <c r="E30" i="65"/>
  <c r="D30" i="65"/>
  <c r="J29" i="65"/>
  <c r="H29" i="65"/>
  <c r="G29" i="65"/>
  <c r="F29" i="65"/>
  <c r="E29" i="65"/>
  <c r="D29" i="65"/>
  <c r="C29" i="65"/>
  <c r="J28" i="65"/>
  <c r="I28" i="65"/>
  <c r="H28" i="65"/>
  <c r="G28" i="65"/>
  <c r="J27" i="65"/>
  <c r="I27" i="65"/>
  <c r="H27" i="65"/>
  <c r="G27" i="65"/>
  <c r="F27" i="65"/>
  <c r="E27" i="65"/>
  <c r="D26" i="65"/>
  <c r="E26" i="65"/>
  <c r="J25" i="65"/>
  <c r="H25" i="65"/>
  <c r="F25" i="65"/>
  <c r="O70" i="109" l="1"/>
  <c r="O68" i="109"/>
  <c r="C70" i="109"/>
  <c r="E68" i="109"/>
  <c r="O27" i="109"/>
  <c r="O41" i="109"/>
  <c r="O48" i="109"/>
  <c r="O57" i="109"/>
  <c r="O58" i="109"/>
  <c r="D29" i="109"/>
  <c r="E29" i="109"/>
  <c r="F29" i="109"/>
  <c r="G29" i="109"/>
  <c r="H29" i="109"/>
  <c r="J29" i="109"/>
  <c r="K29" i="109"/>
  <c r="L29" i="109"/>
  <c r="M29" i="109"/>
  <c r="N29" i="109"/>
  <c r="D30" i="109"/>
  <c r="E30" i="109"/>
  <c r="F30" i="109"/>
  <c r="G30" i="109"/>
  <c r="H30" i="109"/>
  <c r="I30" i="109"/>
  <c r="J30" i="109"/>
  <c r="K30" i="109"/>
  <c r="L30" i="109"/>
  <c r="N30" i="109"/>
  <c r="G28" i="109"/>
  <c r="H28" i="109"/>
  <c r="I28" i="109"/>
  <c r="J28" i="109"/>
  <c r="F27" i="109"/>
  <c r="G27" i="109"/>
  <c r="H27" i="109"/>
  <c r="I27" i="109"/>
  <c r="J27" i="109"/>
  <c r="E27" i="109"/>
  <c r="L26" i="109"/>
  <c r="N26" i="109"/>
  <c r="K26" i="109"/>
  <c r="D26" i="109"/>
  <c r="E26" i="109"/>
  <c r="L23" i="109"/>
  <c r="M23" i="109"/>
  <c r="N23" i="109"/>
  <c r="K23" i="109"/>
  <c r="K24" i="109"/>
  <c r="L24" i="109"/>
  <c r="N24" i="109"/>
  <c r="F25" i="109"/>
  <c r="H25" i="109"/>
  <c r="J25" i="109"/>
  <c r="C29" i="109"/>
  <c r="L41" i="109"/>
  <c r="M41" i="109"/>
  <c r="N41" i="109"/>
  <c r="K41" i="109"/>
  <c r="D41" i="109"/>
  <c r="E41" i="109"/>
  <c r="C40" i="109"/>
  <c r="C41" i="109"/>
  <c r="M34" i="109"/>
  <c r="N37" i="109"/>
  <c r="L36" i="109"/>
  <c r="M36" i="109"/>
  <c r="N36" i="109"/>
  <c r="K36" i="109"/>
  <c r="E36" i="109"/>
  <c r="D36" i="109"/>
  <c r="L35" i="109"/>
  <c r="M35" i="109"/>
  <c r="K35" i="109"/>
  <c r="D35" i="109"/>
  <c r="H20" i="38"/>
  <c r="M33" i="109"/>
  <c r="N31" i="109"/>
  <c r="N42" i="109"/>
  <c r="L48" i="109"/>
  <c r="M48" i="109"/>
  <c r="L50" i="109"/>
  <c r="M50" i="109"/>
  <c r="D50" i="109"/>
  <c r="K50" i="109"/>
  <c r="D48" i="109"/>
  <c r="E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I23" i="128" l="1"/>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H25" i="22"/>
  <c r="E58" i="22"/>
  <c r="D58" i="22"/>
  <c r="J20" i="1" l="1"/>
  <c r="J24" i="1"/>
  <c r="J17" i="1"/>
  <c r="I59" i="57" l="1"/>
  <c r="I60" i="57"/>
  <c r="I61" i="57"/>
  <c r="I62" i="57"/>
  <c r="I58" i="57"/>
  <c r="I53" i="57"/>
  <c r="I54" i="57"/>
  <c r="I55"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39" i="41"/>
  <c r="U40" i="41"/>
  <c r="U41" i="41"/>
  <c r="U42" i="41"/>
  <c r="U43" i="41"/>
  <c r="U44" i="41"/>
  <c r="U45" i="41"/>
  <c r="U32" i="41"/>
  <c r="U24" i="41"/>
  <c r="U25" i="41"/>
  <c r="U26" i="41"/>
  <c r="U17" i="41"/>
  <c r="U18" i="41"/>
  <c r="U19" i="41"/>
  <c r="U22" i="41"/>
  <c r="F40" i="15" l="1"/>
  <c r="R56" i="12"/>
  <c r="R43" i="12"/>
  <c r="R44" i="12"/>
  <c r="R29" i="12"/>
  <c r="R30" i="12"/>
  <c r="Q11" i="12"/>
  <c r="D21" i="20"/>
  <c r="D20" i="20"/>
  <c r="D17" i="20"/>
  <c r="D13" i="20"/>
  <c r="D12" i="20"/>
  <c r="F31" i="33" l="1"/>
  <c r="K11" i="8" l="1"/>
  <c r="J91" i="11"/>
  <c r="J87" i="11"/>
  <c r="I91" i="11"/>
  <c r="I87" i="11"/>
  <c r="H91" i="11"/>
  <c r="H87" i="11"/>
  <c r="C91" i="11"/>
  <c r="C87" i="11"/>
  <c r="J81" i="11"/>
  <c r="J77" i="11"/>
  <c r="I81" i="11"/>
  <c r="I77" i="11"/>
  <c r="H81" i="11"/>
  <c r="H77" i="11"/>
  <c r="K68" i="9"/>
  <c r="K82" i="9"/>
  <c r="C103" i="9"/>
  <c r="G88" i="9"/>
  <c r="F88" i="9"/>
  <c r="E88" i="9"/>
  <c r="G87" i="9"/>
  <c r="F87" i="9"/>
  <c r="E87" i="9"/>
  <c r="G86" i="9"/>
  <c r="F86" i="9"/>
  <c r="E86" i="9"/>
  <c r="G85" i="9"/>
  <c r="F85" i="9"/>
  <c r="E85" i="9"/>
  <c r="G84" i="9"/>
  <c r="F84" i="9"/>
  <c r="E84" i="9"/>
  <c r="G83" i="9"/>
  <c r="F83" i="9"/>
  <c r="E83" i="9"/>
  <c r="J82" i="9"/>
  <c r="I82" i="9"/>
  <c r="H82" i="9"/>
  <c r="C82" i="9"/>
  <c r="C68" i="9"/>
  <c r="I68" i="9"/>
  <c r="J68" i="9"/>
  <c r="H68" i="9"/>
  <c r="G43" i="9"/>
  <c r="F43" i="9"/>
  <c r="E43" i="9"/>
  <c r="G42" i="9"/>
  <c r="F42" i="9"/>
  <c r="E42" i="9"/>
  <c r="G102" i="9"/>
  <c r="F102" i="9"/>
  <c r="E102" i="9"/>
  <c r="G101" i="9"/>
  <c r="F101" i="9"/>
  <c r="E101" i="9"/>
  <c r="G100" i="9"/>
  <c r="F100" i="9"/>
  <c r="E100" i="9"/>
  <c r="G80" i="9"/>
  <c r="F80" i="9"/>
  <c r="E80" i="9"/>
  <c r="G79" i="9"/>
  <c r="F79" i="9"/>
  <c r="E79" i="9"/>
  <c r="G66" i="9"/>
  <c r="F66" i="9"/>
  <c r="E66" i="9"/>
  <c r="G65" i="9"/>
  <c r="F65" i="9"/>
  <c r="E65" i="9"/>
  <c r="G94" i="9"/>
  <c r="F94" i="9"/>
  <c r="E94" i="9"/>
  <c r="G93" i="9"/>
  <c r="F93" i="9"/>
  <c r="E93" i="9"/>
  <c r="G118" i="9"/>
  <c r="F118" i="9"/>
  <c r="E118" i="9"/>
  <c r="G117" i="9"/>
  <c r="F117" i="9"/>
  <c r="E117" i="9"/>
  <c r="J46" i="7"/>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J14" i="1" s="1"/>
  <c r="D13" i="1"/>
  <c r="J13" i="1" s="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5" i="57"/>
  <c r="E55"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C56" i="57"/>
  <c r="C55" i="57" s="1"/>
  <c r="G55" i="57"/>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D26" i="47"/>
  <c r="E47" i="38"/>
  <c r="F47" i="38"/>
  <c r="G47" i="38"/>
  <c r="H47" i="38"/>
  <c r="I47" i="38"/>
  <c r="D47" i="38"/>
  <c r="J47" i="38" s="1"/>
  <c r="C48" i="38"/>
  <c r="C47" i="38"/>
  <c r="C46" i="38"/>
  <c r="D14" i="46"/>
  <c r="D15" i="46"/>
  <c r="D16" i="46"/>
  <c r="C15" i="46"/>
  <c r="E15" i="46"/>
  <c r="J24" i="45"/>
  <c r="J23" i="45" s="1"/>
  <c r="I24" i="45"/>
  <c r="I23" i="45" s="1"/>
  <c r="G25" i="45"/>
  <c r="H25" i="45"/>
  <c r="F24" i="45"/>
  <c r="F23" i="45" s="1"/>
  <c r="G23" i="45" s="1"/>
  <c r="E40" i="38"/>
  <c r="H33" i="38"/>
  <c r="H32" i="38" s="1"/>
  <c r="G33" i="38"/>
  <c r="G32" i="38" s="1"/>
  <c r="F33" i="38"/>
  <c r="F32" i="38" s="1"/>
  <c r="E15" i="43"/>
  <c r="F22" i="42"/>
  <c r="F20" i="42"/>
  <c r="F19" i="42"/>
  <c r="F17" i="42"/>
  <c r="F16" i="42"/>
  <c r="F12" i="42"/>
  <c r="F13" i="42"/>
  <c r="F14" i="42"/>
  <c r="G21" i="42"/>
  <c r="G18" i="42"/>
  <c r="G15" i="42"/>
  <c r="G12" i="42"/>
  <c r="E12" i="42"/>
  <c r="D12" i="42"/>
  <c r="C12" i="42"/>
  <c r="O48" i="41"/>
  <c r="G48" i="41"/>
  <c r="H48" i="41"/>
  <c r="F48" i="41"/>
  <c r="X44" i="41"/>
  <c r="X39" i="41" s="1"/>
  <c r="G44" i="41"/>
  <c r="G39" i="41" s="1"/>
  <c r="H44" i="41"/>
  <c r="I44" i="41"/>
  <c r="J44" i="41"/>
  <c r="K44" i="41"/>
  <c r="L44" i="41"/>
  <c r="L39" i="41" s="1"/>
  <c r="N44" i="41"/>
  <c r="O44" i="41"/>
  <c r="O39" i="41" s="1"/>
  <c r="P44" i="41"/>
  <c r="Q44" i="41"/>
  <c r="R40" i="41"/>
  <c r="R41" i="41"/>
  <c r="R43" i="41"/>
  <c r="H39" i="41"/>
  <c r="H30" i="41" s="1"/>
  <c r="I39" i="41"/>
  <c r="J39" i="41"/>
  <c r="K39" i="41"/>
  <c r="P39" i="41"/>
  <c r="P30" i="41" s="1"/>
  <c r="Q39" i="41"/>
  <c r="G20" i="41"/>
  <c r="G15" i="41" s="1"/>
  <c r="G10" i="41" s="1"/>
  <c r="O20" i="41"/>
  <c r="O15" i="41" s="1"/>
  <c r="O10" i="41" s="1"/>
  <c r="P20" i="41"/>
  <c r="Q20" i="41"/>
  <c r="Q15" i="41" s="1"/>
  <c r="Q10" i="41" s="1"/>
  <c r="F44" i="41"/>
  <c r="F39" i="41" s="1"/>
  <c r="F30" i="41" s="1"/>
  <c r="X25" i="41"/>
  <c r="X24" i="41" s="1"/>
  <c r="E27" i="38" s="1"/>
  <c r="P28" i="41"/>
  <c r="P27" i="41" s="1"/>
  <c r="N28" i="41"/>
  <c r="N27" i="41" s="1"/>
  <c r="M28" i="41"/>
  <c r="M27" i="41" s="1"/>
  <c r="H28" i="41"/>
  <c r="G28" i="41"/>
  <c r="G27" i="41" s="1"/>
  <c r="H27" i="41"/>
  <c r="G24" i="41"/>
  <c r="L24" i="41"/>
  <c r="G25" i="41"/>
  <c r="H25" i="41"/>
  <c r="H24" i="41" s="1"/>
  <c r="I25" i="41"/>
  <c r="I24" i="41" s="1"/>
  <c r="J25" i="41"/>
  <c r="J24" i="41" s="1"/>
  <c r="K25" i="41"/>
  <c r="K24" i="41" s="1"/>
  <c r="L25" i="41"/>
  <c r="N25" i="41"/>
  <c r="N24" i="41" s="1"/>
  <c r="O25" i="41"/>
  <c r="O24" i="41" s="1"/>
  <c r="P25" i="41"/>
  <c r="P24" i="41" s="1"/>
  <c r="Q25" i="41"/>
  <c r="Q24" i="41" s="1"/>
  <c r="F25" i="41"/>
  <c r="F24" i="41" s="1"/>
  <c r="R18" i="41"/>
  <c r="R19" i="41"/>
  <c r="R17" i="41"/>
  <c r="E41" i="41"/>
  <c r="E42" i="41"/>
  <c r="E43" i="41"/>
  <c r="E45" i="41"/>
  <c r="E40" i="41"/>
  <c r="E33" i="41"/>
  <c r="E34" i="41"/>
  <c r="E35" i="41"/>
  <c r="E36" i="41"/>
  <c r="E37" i="41"/>
  <c r="E38" i="41"/>
  <c r="E32" i="41"/>
  <c r="E18" i="41"/>
  <c r="E19" i="41"/>
  <c r="E17" i="41"/>
  <c r="C40" i="40"/>
  <c r="J40" i="40" s="1"/>
  <c r="C41" i="40"/>
  <c r="J41" i="40" s="1"/>
  <c r="C43" i="40"/>
  <c r="J43" i="40" s="1"/>
  <c r="C41" i="41"/>
  <c r="C43" i="41"/>
  <c r="C40" i="41"/>
  <c r="J19" i="40"/>
  <c r="J18" i="40"/>
  <c r="J17" i="40"/>
  <c r="H21" i="38"/>
  <c r="I10" i="38"/>
  <c r="J40" i="38"/>
  <c r="J46" i="38"/>
  <c r="J48" i="38"/>
  <c r="F41" i="39"/>
  <c r="F43" i="39"/>
  <c r="F40"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H178" i="34"/>
  <c r="G178" i="34"/>
  <c r="M177" i="34"/>
  <c r="L177" i="34"/>
  <c r="K177" i="34"/>
  <c r="J177" i="34"/>
  <c r="H176" i="34"/>
  <c r="G176" i="34"/>
  <c r="M175" i="34"/>
  <c r="L175" i="34"/>
  <c r="K175" i="34"/>
  <c r="J175" i="34"/>
  <c r="J170" i="34"/>
  <c r="J165" i="34" s="1"/>
  <c r="H166" i="34"/>
  <c r="G166" i="34"/>
  <c r="H167" i="34"/>
  <c r="G167" i="34"/>
  <c r="H168" i="34"/>
  <c r="G168" i="34"/>
  <c r="H169" i="34"/>
  <c r="G169" i="34"/>
  <c r="H172" i="34"/>
  <c r="G172" i="34"/>
  <c r="L173" i="34"/>
  <c r="L170" i="34" s="1"/>
  <c r="L165" i="34" s="1"/>
  <c r="M173" i="34"/>
  <c r="M170" i="34" s="1"/>
  <c r="M165" i="34" s="1"/>
  <c r="J173" i="34"/>
  <c r="H174" i="34"/>
  <c r="G174" i="34"/>
  <c r="H160" i="34"/>
  <c r="G160" i="34"/>
  <c r="H161" i="34"/>
  <c r="G161" i="34"/>
  <c r="H22" i="33"/>
  <c r="H24" i="33"/>
  <c r="H23" i="33" s="1"/>
  <c r="H12" i="33"/>
  <c r="H11" i="33" s="1"/>
  <c r="H10" i="33" s="1"/>
  <c r="H20" i="33"/>
  <c r="G20" i="33"/>
  <c r="H16" i="33"/>
  <c r="G16" i="33"/>
  <c r="H14" i="33"/>
  <c r="G14" i="33"/>
  <c r="J39" i="25" l="1"/>
  <c r="E39" i="25"/>
  <c r="N39" i="25"/>
  <c r="U28" i="49"/>
  <c r="U27" i="49" s="1"/>
  <c r="J19" i="52"/>
  <c r="G19" i="52"/>
  <c r="H19" i="52"/>
  <c r="I19" i="52"/>
  <c r="D47" i="52"/>
  <c r="J48" i="52"/>
  <c r="G48" i="52"/>
  <c r="H48" i="52"/>
  <c r="I48" i="52"/>
  <c r="J15" i="49"/>
  <c r="G15" i="49"/>
  <c r="I15" i="49"/>
  <c r="K15" i="49"/>
  <c r="H15" i="49"/>
  <c r="F39" i="57"/>
  <c r="E39" i="57"/>
  <c r="P15" i="41"/>
  <c r="P10" i="41" s="1"/>
  <c r="H25" i="10"/>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7"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6" i="22"/>
  <c r="E36" i="22"/>
  <c r="D37" i="22"/>
  <c r="E37" i="22"/>
  <c r="C37" i="22"/>
  <c r="C33" i="22"/>
  <c r="O33" i="22" s="1"/>
  <c r="C32" i="22"/>
  <c r="O32" i="22" s="1"/>
  <c r="D29" i="22"/>
  <c r="C29" i="22"/>
  <c r="D26" i="22"/>
  <c r="C23" i="22"/>
  <c r="O23" i="22" s="1"/>
  <c r="C19" i="22"/>
  <c r="E19" i="22"/>
  <c r="E17" i="22"/>
  <c r="D17" i="22"/>
  <c r="E57" i="22"/>
  <c r="D57" i="22"/>
  <c r="F57" i="22"/>
  <c r="G57" i="22"/>
  <c r="H57" i="22"/>
  <c r="I57" i="22"/>
  <c r="J57" i="22"/>
  <c r="K57" i="22"/>
  <c r="L57" i="22"/>
  <c r="N57" i="22"/>
  <c r="M97" i="132"/>
  <c r="I101" i="132"/>
  <c r="I97" i="132" s="1"/>
  <c r="J101" i="132"/>
  <c r="J97" i="132" s="1"/>
  <c r="K101" i="132"/>
  <c r="K97" i="132" s="1"/>
  <c r="L101" i="132"/>
  <c r="L97" i="132" s="1"/>
  <c r="M101" i="132"/>
  <c r="N101" i="132"/>
  <c r="N97" i="132" s="1"/>
  <c r="H101" i="132"/>
  <c r="G99" i="132"/>
  <c r="F99" i="132"/>
  <c r="E99" i="132"/>
  <c r="N88" i="132"/>
  <c r="J88" i="132"/>
  <c r="E55" i="22" s="1"/>
  <c r="J85" i="132"/>
  <c r="J82" i="132" s="1"/>
  <c r="N85" i="132"/>
  <c r="N82" i="132" s="1"/>
  <c r="J93" i="132"/>
  <c r="J90" i="132" s="1"/>
  <c r="N93" i="132"/>
  <c r="N90" i="132" s="1"/>
  <c r="I95" i="132"/>
  <c r="D56" i="22" s="1"/>
  <c r="J95" i="132"/>
  <c r="E56" i="22" s="1"/>
  <c r="K95" i="132"/>
  <c r="L95" i="132"/>
  <c r="M95" i="132"/>
  <c r="N95" i="132"/>
  <c r="H95" i="132"/>
  <c r="C56" i="22" s="1"/>
  <c r="C52" i="22" s="1"/>
  <c r="H80" i="132"/>
  <c r="K75" i="132"/>
  <c r="K72" i="132" s="1"/>
  <c r="H75" i="132"/>
  <c r="I80" i="132"/>
  <c r="I75" i="132" s="1"/>
  <c r="D38" i="22" s="1"/>
  <c r="D35" i="22" s="1"/>
  <c r="J80" i="132"/>
  <c r="J75" i="132" s="1"/>
  <c r="K80" i="132"/>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0" i="132"/>
  <c r="F100" i="132"/>
  <c r="E100" i="132"/>
  <c r="E102" i="132"/>
  <c r="F102" i="132"/>
  <c r="G102" i="132"/>
  <c r="G96" i="132"/>
  <c r="F96" i="132"/>
  <c r="E96" i="132"/>
  <c r="E94" i="132"/>
  <c r="F94" i="132"/>
  <c r="G94" i="132"/>
  <c r="G92" i="132"/>
  <c r="G89" i="132"/>
  <c r="G88" i="132"/>
  <c r="G86" i="132"/>
  <c r="G84" i="132"/>
  <c r="G83"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F53" i="132"/>
  <c r="E53"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E30" i="132"/>
  <c r="F32" i="132"/>
  <c r="F31" i="132"/>
  <c r="F30" i="132"/>
  <c r="G27" i="132"/>
  <c r="G28" i="132"/>
  <c r="G29" i="132"/>
  <c r="E29" i="132"/>
  <c r="E28" i="132"/>
  <c r="E27" i="132"/>
  <c r="E25" i="132"/>
  <c r="G25" i="132"/>
  <c r="E17" i="132"/>
  <c r="L18" i="132"/>
  <c r="L14" i="132" s="1"/>
  <c r="L10" i="132" s="1"/>
  <c r="K18" i="132"/>
  <c r="K14" i="132" s="1"/>
  <c r="K10" i="132" s="1"/>
  <c r="O29" i="22"/>
  <c r="O37" i="22"/>
  <c r="F52" i="22"/>
  <c r="G52" i="22"/>
  <c r="G39" i="22" s="1"/>
  <c r="H52" i="22"/>
  <c r="H45" i="22" s="1"/>
  <c r="H39" i="22" s="1"/>
  <c r="J52" i="22"/>
  <c r="J51" i="22" s="1"/>
  <c r="J50" i="22" s="1"/>
  <c r="J49" i="22" s="1"/>
  <c r="J48" i="22" s="1"/>
  <c r="J47" i="22" s="1"/>
  <c r="J46" i="22" s="1"/>
  <c r="J45" i="22" s="1"/>
  <c r="J39" i="22" s="1"/>
  <c r="K52" i="22"/>
  <c r="L52" i="22"/>
  <c r="M52" i="22"/>
  <c r="N52" i="22"/>
  <c r="N35" i="22"/>
  <c r="L35" i="22"/>
  <c r="K35" i="22"/>
  <c r="F27" i="22"/>
  <c r="H27" i="22"/>
  <c r="J27" i="22"/>
  <c r="G16" i="22"/>
  <c r="G24" i="109" s="1"/>
  <c r="G24" i="65" s="1"/>
  <c r="H16" i="22"/>
  <c r="H24" i="109" s="1"/>
  <c r="H24" i="65" s="1"/>
  <c r="I16" i="22"/>
  <c r="I24" i="109" s="1"/>
  <c r="I24" i="65" s="1"/>
  <c r="J16" i="22"/>
  <c r="J24" i="109" s="1"/>
  <c r="J24" i="65" s="1"/>
  <c r="K16" i="22"/>
  <c r="L16" i="22"/>
  <c r="N16" i="22"/>
  <c r="L11" i="22"/>
  <c r="M11" i="22"/>
  <c r="N11" i="22"/>
  <c r="K11" i="22"/>
  <c r="O51" i="22" l="1"/>
  <c r="I45" i="22"/>
  <c r="I39" i="22" s="1"/>
  <c r="J10" i="22"/>
  <c r="J22" i="109" s="1"/>
  <c r="H10" i="22"/>
  <c r="H22" i="109" s="1"/>
  <c r="H47" i="52"/>
  <c r="I47" i="52"/>
  <c r="J47" i="52"/>
  <c r="G47" i="52"/>
  <c r="O20" i="22"/>
  <c r="C38" i="22"/>
  <c r="C28" i="22"/>
  <c r="O28" i="22" s="1"/>
  <c r="O56" i="22"/>
  <c r="E52" i="22"/>
  <c r="O55" i="22"/>
  <c r="D28" i="22"/>
  <c r="E38" i="22"/>
  <c r="E35" i="22" s="1"/>
  <c r="J72" i="132"/>
  <c r="I72" i="132"/>
  <c r="O19" i="22"/>
  <c r="E44" i="22"/>
  <c r="H54" i="59"/>
  <c r="H26" i="59"/>
  <c r="I26" i="59"/>
  <c r="E331" i="56"/>
  <c r="E327" i="56" s="1"/>
  <c r="O12" i="54"/>
  <c r="O10" i="54" s="1"/>
  <c r="R10" i="52"/>
  <c r="F23" i="52"/>
  <c r="L23" i="52" s="1"/>
  <c r="O24" i="52"/>
  <c r="D24" i="52"/>
  <c r="O38" i="22"/>
  <c r="O21" i="22"/>
  <c r="D52" i="22"/>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C13" i="19"/>
  <c r="D13" i="19"/>
  <c r="E13" i="19"/>
  <c r="E18" i="19"/>
  <c r="D18" i="19"/>
  <c r="C18" i="19"/>
  <c r="D46" i="7"/>
  <c r="E46" i="7"/>
  <c r="C46" i="7"/>
  <c r="D40" i="7"/>
  <c r="D41" i="7"/>
  <c r="C41" i="7"/>
  <c r="L31" i="114"/>
  <c r="L27" i="114" s="1"/>
  <c r="L40" i="114"/>
  <c r="L36" i="114"/>
  <c r="L35" i="114" s="1"/>
  <c r="J44" i="114"/>
  <c r="K44" i="114"/>
  <c r="I44" i="114"/>
  <c r="L44" i="114"/>
  <c r="J22" i="65" l="1"/>
  <c r="J10" i="109"/>
  <c r="J10" i="65" s="1"/>
  <c r="H22" i="65"/>
  <c r="H10" i="109"/>
  <c r="H10" i="65" s="1"/>
  <c r="O43" i="22"/>
  <c r="O41" i="22"/>
  <c r="O42" i="22"/>
  <c r="O40" i="22"/>
  <c r="G46" i="52"/>
  <c r="H46" i="52"/>
  <c r="I46" i="52"/>
  <c r="J46" i="52"/>
  <c r="E39" i="22"/>
  <c r="O44" i="22"/>
  <c r="O39" i="22" l="1"/>
  <c r="I16" i="114" l="1"/>
  <c r="L16" i="114"/>
  <c r="I19" i="114"/>
  <c r="J19" i="114"/>
  <c r="L19" i="114"/>
  <c r="E25" i="16"/>
  <c r="D25" i="16"/>
  <c r="C40" i="7"/>
  <c r="J40" i="7" s="1"/>
  <c r="I31" i="16" l="1"/>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G91" i="11"/>
  <c r="H63" i="11"/>
  <c r="F91"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42"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25" i="10"/>
  <c r="F25" i="10"/>
  <c r="G19" i="10"/>
  <c r="F19" i="10"/>
  <c r="G111" i="9"/>
  <c r="F111" i="9"/>
  <c r="G110" i="9"/>
  <c r="F110" i="9"/>
  <c r="G109" i="9"/>
  <c r="F109" i="9"/>
  <c r="G108" i="9"/>
  <c r="F108" i="9"/>
  <c r="G106" i="9"/>
  <c r="F106" i="9"/>
  <c r="G105" i="9"/>
  <c r="F105" i="9"/>
  <c r="G104" i="9"/>
  <c r="F104" i="9"/>
  <c r="G91" i="9"/>
  <c r="F91" i="9"/>
  <c r="G74" i="9"/>
  <c r="F74" i="9"/>
  <c r="G73" i="9"/>
  <c r="F73" i="9"/>
  <c r="G72" i="9"/>
  <c r="F72" i="9"/>
  <c r="G71" i="9"/>
  <c r="F71" i="9"/>
  <c r="G70" i="9"/>
  <c r="F70" i="9"/>
  <c r="G69" i="9"/>
  <c r="F69"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96" i="9"/>
  <c r="K89" i="9"/>
  <c r="K75" i="9"/>
  <c r="K61"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1" i="9"/>
  <c r="E110" i="9"/>
  <c r="E109" i="9"/>
  <c r="E108" i="9"/>
  <c r="E106" i="9"/>
  <c r="E105" i="9"/>
  <c r="E104" i="9"/>
  <c r="E91" i="9"/>
  <c r="E74" i="9"/>
  <c r="E73" i="9"/>
  <c r="E72" i="9"/>
  <c r="E71" i="9"/>
  <c r="E70" i="9"/>
  <c r="E69" i="9"/>
  <c r="E57" i="9"/>
  <c r="E56" i="9"/>
  <c r="E50" i="9"/>
  <c r="E49" i="9"/>
  <c r="E36" i="9"/>
  <c r="E35" i="9"/>
  <c r="E29" i="9"/>
  <c r="E28" i="9"/>
  <c r="E22" i="9"/>
  <c r="E21" i="9"/>
  <c r="I107" i="9"/>
  <c r="I103" i="9" s="1"/>
  <c r="J107" i="9"/>
  <c r="J103" i="9" s="1"/>
  <c r="K107" i="9"/>
  <c r="H107" i="9"/>
  <c r="H103" i="9" s="1"/>
  <c r="C107" i="9"/>
  <c r="K113" i="9"/>
  <c r="K112"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E42" i="11" l="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 i="9" s="1"/>
  <c r="K103" i="9"/>
  <c r="K59" i="9" s="1"/>
  <c r="G15" i="9"/>
  <c r="G14" i="9"/>
  <c r="F15" i="9"/>
  <c r="E15" i="9"/>
  <c r="E14" i="9"/>
  <c r="F14" i="9"/>
  <c r="K23" i="8"/>
  <c r="K16" i="8" s="1"/>
  <c r="K60" i="8"/>
  <c r="K19" i="8"/>
  <c r="K12" i="8" s="1"/>
  <c r="K20" i="8"/>
  <c r="K13" i="8" s="1"/>
  <c r="K21" i="8"/>
  <c r="K14" i="8" s="1"/>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E91" i="11"/>
  <c r="I63" i="11"/>
  <c r="F61" i="11"/>
  <c r="F64" i="11"/>
  <c r="F65" i="11"/>
  <c r="K24" i="8"/>
  <c r="E28" i="8"/>
  <c r="E64" i="8"/>
  <c r="C22" i="8"/>
  <c r="C15" i="8" s="1"/>
  <c r="H22" i="8"/>
  <c r="H15" i="8" s="1"/>
  <c r="I71" i="10"/>
  <c r="I70" i="10" s="1"/>
  <c r="E65" i="8"/>
  <c r="C12" i="10"/>
  <c r="E101" i="10"/>
  <c r="E25" i="10"/>
  <c r="I24" i="10"/>
  <c r="R18" i="12" l="1"/>
  <c r="T18" i="12" s="1"/>
  <c r="R12" i="12"/>
  <c r="T12" i="12" s="1"/>
  <c r="T38" i="12"/>
  <c r="S38" i="12"/>
  <c r="S36" i="12"/>
  <c r="T36" i="12"/>
  <c r="S33" i="12"/>
  <c r="S27" i="12"/>
  <c r="F15" i="11"/>
  <c r="E14" i="11"/>
  <c r="K10" i="11"/>
  <c r="E15" i="11"/>
  <c r="G15" i="11"/>
  <c r="J14" i="11"/>
  <c r="F63" i="11"/>
  <c r="I14" i="11"/>
  <c r="G12" i="10"/>
  <c r="F12" i="10"/>
  <c r="E12" i="10"/>
  <c r="K17" i="8"/>
  <c r="K10" i="8"/>
  <c r="G22" i="8"/>
  <c r="F22" i="8"/>
  <c r="T53" i="12"/>
  <c r="S53" i="12"/>
  <c r="G63" i="11"/>
  <c r="E22" i="8"/>
  <c r="S18" i="12" l="1"/>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E15" i="132" l="1"/>
  <c r="C50" i="70" l="1"/>
  <c r="U10" i="73"/>
  <c r="I10" i="73"/>
  <c r="Q26" i="70" l="1"/>
  <c r="O50" i="70"/>
  <c r="I18" i="70"/>
  <c r="C41" i="70"/>
  <c r="I41" i="70"/>
  <c r="I30" i="70"/>
  <c r="I12" i="70" l="1"/>
  <c r="I11" i="70" s="1"/>
  <c r="I50" i="70"/>
  <c r="O41" i="70"/>
  <c r="O30" i="70"/>
  <c r="T26" i="70"/>
  <c r="S26" i="70"/>
  <c r="R26" i="70"/>
  <c r="C30" i="70"/>
  <c r="O22" i="70"/>
  <c r="C12" i="70"/>
  <c r="C22" i="70"/>
  <c r="O12" i="70"/>
  <c r="O18" i="70"/>
  <c r="I22" i="70"/>
  <c r="C18" i="70"/>
  <c r="O11" i="70" l="1"/>
  <c r="O10" i="70" s="1"/>
  <c r="C11" i="70"/>
  <c r="C10" i="70" s="1"/>
  <c r="I10" i="70"/>
  <c r="C10" i="73" l="1"/>
  <c r="E34" i="73" s="1"/>
  <c r="E35" i="73" s="1"/>
  <c r="D423" i="56" l="1"/>
  <c r="D415" i="56"/>
  <c r="D282" i="56" l="1"/>
  <c r="D281" i="56"/>
  <c r="D302" i="56"/>
  <c r="D411" i="56"/>
  <c r="D331" i="56"/>
  <c r="D327" i="56" s="1"/>
  <c r="D277" i="56" l="1"/>
  <c r="C17" i="124"/>
  <c r="C11" i="124"/>
  <c r="C10" i="124" s="1"/>
  <c r="Q11" i="53" l="1"/>
  <c r="P11" i="53" l="1"/>
  <c r="R18" i="50"/>
  <c r="R13" i="50" s="1"/>
  <c r="R10" i="50" s="1"/>
  <c r="R21" i="51"/>
  <c r="R15" i="51" s="1"/>
  <c r="R10" i="51" s="1"/>
  <c r="Q17" i="52"/>
  <c r="Q11" i="52" s="1"/>
  <c r="Q10" i="52" s="1"/>
  <c r="K18" i="52" l="1"/>
  <c r="D18" i="52"/>
  <c r="N11" i="53"/>
  <c r="K15" i="52"/>
  <c r="E14" i="52"/>
  <c r="D15" i="52"/>
  <c r="K19" i="50"/>
  <c r="D19" i="50"/>
  <c r="E18" i="50"/>
  <c r="F18" i="50"/>
  <c r="L19" i="50"/>
  <c r="K16" i="52"/>
  <c r="D16" i="52"/>
  <c r="K12" i="51"/>
  <c r="D12" i="51"/>
  <c r="K22" i="51"/>
  <c r="E21" i="51"/>
  <c r="D22" i="51"/>
  <c r="L22" i="51"/>
  <c r="F21" i="51"/>
  <c r="Q18" i="50"/>
  <c r="S19" i="50"/>
  <c r="S18" i="50" s="1"/>
  <c r="Q21" i="51"/>
  <c r="S22" i="51"/>
  <c r="S21" i="51" s="1"/>
  <c r="I35" i="47"/>
  <c r="P17" i="52"/>
  <c r="P11" i="52" s="1"/>
  <c r="P10" i="52" s="1"/>
  <c r="P11" i="51"/>
  <c r="L21" i="51" l="1"/>
  <c r="F15" i="51"/>
  <c r="D21" i="51"/>
  <c r="G22" i="51"/>
  <c r="H22" i="51"/>
  <c r="I22" i="51"/>
  <c r="J22" i="51"/>
  <c r="K21" i="51"/>
  <c r="J12" i="51"/>
  <c r="G12" i="51"/>
  <c r="H12" i="51"/>
  <c r="G16" i="52"/>
  <c r="H16" i="52"/>
  <c r="I16" i="52"/>
  <c r="J16" i="52"/>
  <c r="L18" i="50"/>
  <c r="F13" i="50"/>
  <c r="K18" i="50"/>
  <c r="D18" i="50"/>
  <c r="J19" i="50"/>
  <c r="H19" i="50"/>
  <c r="G19" i="50"/>
  <c r="I19" i="50"/>
  <c r="O12" i="51"/>
  <c r="D14" i="52"/>
  <c r="H15" i="52"/>
  <c r="G15" i="52"/>
  <c r="I15" i="52"/>
  <c r="J15" i="52"/>
  <c r="K14" i="52"/>
  <c r="O12" i="53"/>
  <c r="M11" i="53"/>
  <c r="G18" i="52"/>
  <c r="H18" i="52"/>
  <c r="J18" i="52"/>
  <c r="O18" i="52"/>
  <c r="O18" i="51" l="1"/>
  <c r="S18" i="51" s="1"/>
  <c r="N17" i="52"/>
  <c r="N11" i="52" s="1"/>
  <c r="P22" i="49"/>
  <c r="U22" i="49" s="1"/>
  <c r="N11" i="51"/>
  <c r="P15" i="49"/>
  <c r="U15" i="49" s="1"/>
  <c r="P14" i="49"/>
  <c r="S18" i="52"/>
  <c r="I18" i="52"/>
  <c r="O11" i="53"/>
  <c r="S12" i="53"/>
  <c r="S11" i="53" s="1"/>
  <c r="I14" i="52"/>
  <c r="H14" i="52"/>
  <c r="G14" i="52"/>
  <c r="J14" i="52"/>
  <c r="S12" i="51"/>
  <c r="I12" i="51"/>
  <c r="G18" i="50"/>
  <c r="H18" i="50"/>
  <c r="I18" i="50"/>
  <c r="J18" i="50"/>
  <c r="L13" i="50"/>
  <c r="F10" i="50"/>
  <c r="L10" i="50" s="1"/>
  <c r="J21" i="51"/>
  <c r="I21" i="51"/>
  <c r="G21" i="51"/>
  <c r="H21" i="51"/>
  <c r="L15" i="51"/>
  <c r="F10" i="51"/>
  <c r="L10" i="51" s="1"/>
  <c r="G45" i="59"/>
  <c r="G22" i="59"/>
  <c r="G16" i="59"/>
  <c r="G14" i="59" l="1"/>
  <c r="G39" i="59"/>
  <c r="F38" i="59"/>
  <c r="G18" i="59"/>
  <c r="F17" i="59"/>
  <c r="G17" i="59" s="1"/>
  <c r="G51" i="59"/>
  <c r="F50" i="59"/>
  <c r="F23" i="59"/>
  <c r="G23" i="59" s="1"/>
  <c r="G24" i="59"/>
  <c r="C24" i="47"/>
  <c r="O14" i="51"/>
  <c r="M11" i="51"/>
  <c r="O19" i="52"/>
  <c r="M17" i="52"/>
  <c r="M11" i="52" s="1"/>
  <c r="S19" i="52" l="1"/>
  <c r="S17" i="52" s="1"/>
  <c r="S11" i="52" s="1"/>
  <c r="O17" i="52"/>
  <c r="O11" i="52" s="1"/>
  <c r="S14" i="51"/>
  <c r="O11" i="51"/>
  <c r="G50" i="59"/>
  <c r="F49" i="59"/>
  <c r="G38" i="59"/>
  <c r="F37" i="59"/>
  <c r="T23" i="49"/>
  <c r="T16" i="49" s="1"/>
  <c r="T10" i="49" s="1"/>
  <c r="Q16" i="51"/>
  <c r="Q15" i="51" s="1"/>
  <c r="D21" i="49"/>
  <c r="Q14" i="53"/>
  <c r="Q13" i="53" s="1"/>
  <c r="Q10" i="53" s="1"/>
  <c r="R14" i="53"/>
  <c r="R13" i="53" s="1"/>
  <c r="R10" i="53" s="1"/>
  <c r="Q14" i="50"/>
  <c r="Q13" i="50" s="1"/>
  <c r="Q17" i="49"/>
  <c r="S25" i="49"/>
  <c r="S17" i="49"/>
  <c r="R25" i="49"/>
  <c r="S11" i="49"/>
  <c r="D26" i="49" l="1"/>
  <c r="E25" i="49"/>
  <c r="L26" i="49"/>
  <c r="E14" i="53"/>
  <c r="D16" i="53"/>
  <c r="K16" i="53"/>
  <c r="E14" i="50"/>
  <c r="D15" i="50"/>
  <c r="K15" i="50"/>
  <c r="F14" i="53"/>
  <c r="D15" i="53"/>
  <c r="L15" i="53"/>
  <c r="L12" i="49"/>
  <c r="D12" i="49"/>
  <c r="D17" i="51"/>
  <c r="E16" i="51"/>
  <c r="K17" i="51"/>
  <c r="L13" i="49"/>
  <c r="D13" i="49"/>
  <c r="L18" i="49"/>
  <c r="E17" i="49"/>
  <c r="D18" i="49"/>
  <c r="K37" i="52"/>
  <c r="D37" i="52"/>
  <c r="E36" i="52"/>
  <c r="F23" i="49"/>
  <c r="D24" i="49"/>
  <c r="M24" i="49"/>
  <c r="G15" i="59"/>
  <c r="F13" i="59"/>
  <c r="G33" i="59"/>
  <c r="F32" i="59"/>
  <c r="G44" i="59"/>
  <c r="F43" i="59"/>
  <c r="G21" i="59"/>
  <c r="F20" i="59"/>
  <c r="G37" i="59"/>
  <c r="G49" i="59"/>
  <c r="F48" i="59"/>
  <c r="G48" i="59" s="1"/>
  <c r="C21" i="47"/>
  <c r="R17" i="49"/>
  <c r="O25" i="49"/>
  <c r="N14" i="50"/>
  <c r="N13" i="50" s="1"/>
  <c r="N16" i="51"/>
  <c r="N15" i="51" s="1"/>
  <c r="N10" i="51" s="1"/>
  <c r="N36" i="52"/>
  <c r="N35" i="52" s="1"/>
  <c r="N23" i="52" s="1"/>
  <c r="N10" i="52" s="1"/>
  <c r="O17" i="49"/>
  <c r="P14" i="50"/>
  <c r="P13" i="50" s="1"/>
  <c r="P10" i="50" s="1"/>
  <c r="O23" i="49"/>
  <c r="Q23" i="49"/>
  <c r="Q25" i="49"/>
  <c r="J21" i="49"/>
  <c r="R23" i="49"/>
  <c r="R11" i="49"/>
  <c r="K21" i="49"/>
  <c r="L21" i="49"/>
  <c r="O11" i="49"/>
  <c r="N11" i="49" l="1"/>
  <c r="P12" i="49"/>
  <c r="S19" i="49"/>
  <c r="S16" i="49" s="1"/>
  <c r="S10" i="49" s="1"/>
  <c r="R19" i="49"/>
  <c r="P13" i="49"/>
  <c r="U13" i="49" s="1"/>
  <c r="L20" i="49"/>
  <c r="E19" i="49"/>
  <c r="D20" i="49"/>
  <c r="O16" i="53"/>
  <c r="N14" i="53"/>
  <c r="N13" i="53" s="1"/>
  <c r="N10" i="53" s="1"/>
  <c r="M14" i="53"/>
  <c r="M13" i="53" s="1"/>
  <c r="M10" i="53" s="1"/>
  <c r="O15" i="53"/>
  <c r="H21" i="49"/>
  <c r="Q19" i="49"/>
  <c r="Q16" i="49" s="1"/>
  <c r="P24" i="49"/>
  <c r="N23" i="49"/>
  <c r="N17" i="49"/>
  <c r="P18" i="49"/>
  <c r="M36" i="52"/>
  <c r="M35" i="52" s="1"/>
  <c r="M23" i="52" s="1"/>
  <c r="M10" i="52" s="1"/>
  <c r="O37" i="52"/>
  <c r="O17" i="51"/>
  <c r="M16" i="51"/>
  <c r="M15" i="51" s="1"/>
  <c r="M10" i="51" s="1"/>
  <c r="M14" i="50"/>
  <c r="M13" i="50" s="1"/>
  <c r="O15" i="50"/>
  <c r="P26" i="49"/>
  <c r="N25" i="49"/>
  <c r="P14" i="53"/>
  <c r="P13" i="53" s="1"/>
  <c r="P10" i="53" s="1"/>
  <c r="P16" i="51"/>
  <c r="P15" i="51" s="1"/>
  <c r="P10" i="51" s="1"/>
  <c r="R16" i="49"/>
  <c r="R10" i="49" s="1"/>
  <c r="L22" i="52"/>
  <c r="F21" i="52"/>
  <c r="D22" i="52"/>
  <c r="F19" i="59"/>
  <c r="G20" i="59"/>
  <c r="F42" i="59"/>
  <c r="G43" i="59"/>
  <c r="G67" i="59"/>
  <c r="F66" i="59"/>
  <c r="F31" i="59"/>
  <c r="G32" i="59"/>
  <c r="F12" i="59"/>
  <c r="G13" i="59"/>
  <c r="G24" i="49"/>
  <c r="K24" i="49"/>
  <c r="I24" i="49"/>
  <c r="H24" i="49"/>
  <c r="D23" i="49"/>
  <c r="J24" i="49"/>
  <c r="M23" i="49"/>
  <c r="F16" i="49"/>
  <c r="K36" i="52"/>
  <c r="E35" i="52"/>
  <c r="J37" i="52"/>
  <c r="G37" i="52"/>
  <c r="D36" i="52"/>
  <c r="H37" i="52"/>
  <c r="I37" i="52"/>
  <c r="G18" i="49"/>
  <c r="H18" i="49"/>
  <c r="D17" i="49"/>
  <c r="K18" i="49"/>
  <c r="J18" i="49"/>
  <c r="I18" i="49"/>
  <c r="C15" i="57"/>
  <c r="L17" i="49"/>
  <c r="E16" i="49"/>
  <c r="L16" i="49" s="1"/>
  <c r="J13" i="49"/>
  <c r="H13" i="49"/>
  <c r="G13" i="49"/>
  <c r="K13" i="49"/>
  <c r="I13" i="49"/>
  <c r="K16" i="51"/>
  <c r="C32" i="57"/>
  <c r="E15" i="51"/>
  <c r="K15" i="51" s="1"/>
  <c r="D16" i="51"/>
  <c r="H17" i="51"/>
  <c r="G17" i="51"/>
  <c r="J17" i="51"/>
  <c r="I17" i="51"/>
  <c r="G12" i="49"/>
  <c r="H12" i="49"/>
  <c r="K12" i="49"/>
  <c r="J12" i="49"/>
  <c r="I12" i="49"/>
  <c r="D14" i="53"/>
  <c r="G15" i="53"/>
  <c r="H15" i="53"/>
  <c r="I15" i="53"/>
  <c r="J15" i="53"/>
  <c r="L14" i="53"/>
  <c r="F13" i="53"/>
  <c r="H15" i="50"/>
  <c r="D14" i="50"/>
  <c r="G15" i="50"/>
  <c r="J15" i="50"/>
  <c r="I15" i="50"/>
  <c r="E13" i="50"/>
  <c r="K13" i="50" s="1"/>
  <c r="K14" i="50"/>
  <c r="C23" i="57"/>
  <c r="H16" i="53"/>
  <c r="G16" i="53"/>
  <c r="J16" i="53"/>
  <c r="I16" i="53"/>
  <c r="K14" i="53"/>
  <c r="C50" i="57"/>
  <c r="E13" i="53"/>
  <c r="K13" i="53" s="1"/>
  <c r="C18" i="57"/>
  <c r="L25" i="49"/>
  <c r="G26" i="49"/>
  <c r="J26" i="49"/>
  <c r="H26" i="49"/>
  <c r="K26" i="49"/>
  <c r="D25" i="49"/>
  <c r="I26" i="49"/>
  <c r="O19" i="49"/>
  <c r="O16" i="49" s="1"/>
  <c r="O10" i="49" s="1"/>
  <c r="N19" i="49" l="1"/>
  <c r="N16" i="49" s="1"/>
  <c r="N10" i="49" s="1"/>
  <c r="P20" i="49"/>
  <c r="H25" i="49"/>
  <c r="J25" i="49"/>
  <c r="G25" i="49"/>
  <c r="K25" i="49"/>
  <c r="C48" i="57"/>
  <c r="C21" i="57"/>
  <c r="G14" i="50"/>
  <c r="D13" i="50"/>
  <c r="J14" i="50"/>
  <c r="H14" i="50"/>
  <c r="L13" i="53"/>
  <c r="F10" i="53"/>
  <c r="L10" i="53" s="1"/>
  <c r="G14" i="53"/>
  <c r="J14" i="53"/>
  <c r="H14" i="53"/>
  <c r="D13" i="53"/>
  <c r="H16" i="51"/>
  <c r="G16" i="51"/>
  <c r="J16" i="51"/>
  <c r="D15" i="51"/>
  <c r="C30" i="57"/>
  <c r="J17" i="49"/>
  <c r="H17" i="49"/>
  <c r="K17" i="49"/>
  <c r="G17" i="49"/>
  <c r="G36" i="52"/>
  <c r="J36" i="52"/>
  <c r="D35" i="52"/>
  <c r="H36" i="52"/>
  <c r="K35" i="52"/>
  <c r="E23" i="52"/>
  <c r="K23" i="52" s="1"/>
  <c r="M16" i="49"/>
  <c r="F10" i="49"/>
  <c r="M10" i="49" s="1"/>
  <c r="G23" i="49"/>
  <c r="J23" i="49"/>
  <c r="H23" i="49"/>
  <c r="K23" i="49"/>
  <c r="F11" i="59"/>
  <c r="G12" i="59"/>
  <c r="F25" i="59"/>
  <c r="G25" i="59" s="1"/>
  <c r="G31" i="59"/>
  <c r="G66" i="59"/>
  <c r="F65" i="59"/>
  <c r="G42" i="59"/>
  <c r="F36" i="59"/>
  <c r="G36" i="59" s="1"/>
  <c r="G22" i="52"/>
  <c r="H22" i="52"/>
  <c r="D21" i="52"/>
  <c r="I22" i="52"/>
  <c r="J22" i="52"/>
  <c r="L21" i="52"/>
  <c r="F17" i="52"/>
  <c r="P25" i="49"/>
  <c r="I25" i="49" s="1"/>
  <c r="U26" i="49"/>
  <c r="U25" i="49" s="1"/>
  <c r="S15" i="50"/>
  <c r="S14" i="50" s="1"/>
  <c r="S13" i="50" s="1"/>
  <c r="C16" i="47" s="1"/>
  <c r="O14" i="50"/>
  <c r="S17" i="51"/>
  <c r="S16" i="51" s="1"/>
  <c r="S15" i="51" s="1"/>
  <c r="C19" i="47" s="1"/>
  <c r="O16" i="51"/>
  <c r="O36" i="52"/>
  <c r="S37" i="52"/>
  <c r="S36" i="52" s="1"/>
  <c r="S35" i="52" s="1"/>
  <c r="S23" i="52" s="1"/>
  <c r="P17" i="49"/>
  <c r="U18" i="49"/>
  <c r="U17" i="49" s="1"/>
  <c r="U24" i="49"/>
  <c r="U23" i="49" s="1"/>
  <c r="P23" i="49"/>
  <c r="I23" i="49" s="1"/>
  <c r="P21" i="49"/>
  <c r="G21" i="49"/>
  <c r="S15" i="53"/>
  <c r="O14" i="53"/>
  <c r="S16" i="53"/>
  <c r="D19" i="49"/>
  <c r="H20" i="49"/>
  <c r="G20" i="49"/>
  <c r="K20" i="49"/>
  <c r="J20" i="49"/>
  <c r="I20" i="49"/>
  <c r="C16" i="57"/>
  <c r="L19" i="49"/>
  <c r="U12" i="49"/>
  <c r="P11" i="49"/>
  <c r="C13" i="57" l="1"/>
  <c r="J19" i="49"/>
  <c r="K19" i="49"/>
  <c r="G19" i="49"/>
  <c r="H19" i="49"/>
  <c r="D16" i="49"/>
  <c r="O13" i="53"/>
  <c r="O10" i="53" s="1"/>
  <c r="I14" i="53"/>
  <c r="S14" i="53"/>
  <c r="S13" i="53" s="1"/>
  <c r="U21" i="49"/>
  <c r="I21" i="49"/>
  <c r="I17" i="49"/>
  <c r="C22" i="47"/>
  <c r="C20" i="47" s="1"/>
  <c r="S10" i="52"/>
  <c r="O35" i="52"/>
  <c r="O23" i="52" s="1"/>
  <c r="O10" i="52" s="1"/>
  <c r="I36" i="52"/>
  <c r="O15" i="51"/>
  <c r="O10" i="51" s="1"/>
  <c r="I16" i="51"/>
  <c r="O13" i="50"/>
  <c r="I13" i="50" s="1"/>
  <c r="I14" i="50"/>
  <c r="L17" i="52"/>
  <c r="F11" i="52"/>
  <c r="H21" i="52"/>
  <c r="I21" i="52"/>
  <c r="J21" i="52"/>
  <c r="G21" i="52"/>
  <c r="G65" i="59"/>
  <c r="F59" i="59"/>
  <c r="F10" i="59"/>
  <c r="H35" i="52"/>
  <c r="J35" i="52"/>
  <c r="G35" i="52"/>
  <c r="D23" i="52"/>
  <c r="I35" i="52"/>
  <c r="G15" i="51"/>
  <c r="H15" i="51"/>
  <c r="J15" i="51"/>
  <c r="I15" i="51"/>
  <c r="G13" i="53"/>
  <c r="J13" i="53"/>
  <c r="H13" i="53"/>
  <c r="I13" i="53"/>
  <c r="H13" i="50"/>
  <c r="J13" i="50"/>
  <c r="G13" i="50"/>
  <c r="C20" i="57"/>
  <c r="U20" i="49"/>
  <c r="U19" i="49" s="1"/>
  <c r="U16" i="49" s="1"/>
  <c r="C13" i="47" s="1"/>
  <c r="P19" i="49"/>
  <c r="E20" i="48"/>
  <c r="C20" i="48" l="1"/>
  <c r="M10" i="48"/>
  <c r="E11" i="50"/>
  <c r="D12" i="50"/>
  <c r="D11" i="54"/>
  <c r="D10" i="54" s="1"/>
  <c r="E10" i="54"/>
  <c r="M13" i="48"/>
  <c r="L14" i="49"/>
  <c r="D14" i="49"/>
  <c r="E11" i="49"/>
  <c r="D13" i="51"/>
  <c r="E11" i="51"/>
  <c r="M17" i="48"/>
  <c r="F20" i="48"/>
  <c r="F21" i="48" s="1"/>
  <c r="M12" i="48"/>
  <c r="E21" i="48" s="1"/>
  <c r="H20" i="48"/>
  <c r="K20" i="52"/>
  <c r="D20" i="52"/>
  <c r="E17" i="52"/>
  <c r="M15" i="48"/>
  <c r="J20" i="48"/>
  <c r="J21" i="48" s="1"/>
  <c r="K12" i="53"/>
  <c r="E11" i="53"/>
  <c r="D12" i="53"/>
  <c r="K20" i="48"/>
  <c r="M18" i="48"/>
  <c r="I19" i="49"/>
  <c r="P16" i="49"/>
  <c r="P10" i="49" s="1"/>
  <c r="H23" i="52"/>
  <c r="J23" i="52"/>
  <c r="G23" i="52"/>
  <c r="I23" i="52"/>
  <c r="G59" i="59"/>
  <c r="L11" i="52"/>
  <c r="F10" i="52"/>
  <c r="L10" i="52" s="1"/>
  <c r="C46" i="109"/>
  <c r="C25" i="47"/>
  <c r="S10" i="53"/>
  <c r="J16" i="49"/>
  <c r="G16" i="49"/>
  <c r="K16" i="49"/>
  <c r="H16" i="49"/>
  <c r="I16" i="49"/>
  <c r="I16" i="59"/>
  <c r="D32" i="57" l="1"/>
  <c r="D30" i="57" s="1"/>
  <c r="H30" i="57"/>
  <c r="C23" i="47"/>
  <c r="C46" i="65"/>
  <c r="K21" i="48"/>
  <c r="J12" i="53"/>
  <c r="H12" i="53"/>
  <c r="G12" i="53"/>
  <c r="I12" i="53"/>
  <c r="D11" i="53"/>
  <c r="K11" i="53"/>
  <c r="C47" i="57"/>
  <c r="E10" i="53"/>
  <c r="K10" i="53" s="1"/>
  <c r="K17" i="52"/>
  <c r="E11" i="52"/>
  <c r="I20" i="52"/>
  <c r="J20" i="52"/>
  <c r="G20" i="52"/>
  <c r="H20" i="52"/>
  <c r="D17" i="52"/>
  <c r="H21" i="48"/>
  <c r="C29" i="57"/>
  <c r="E10" i="51"/>
  <c r="H13" i="51"/>
  <c r="I13" i="51"/>
  <c r="J13" i="51"/>
  <c r="G13" i="51"/>
  <c r="D11" i="51"/>
  <c r="C12" i="57"/>
  <c r="L11" i="49"/>
  <c r="E10" i="49"/>
  <c r="L10" i="49" s="1"/>
  <c r="I14" i="49"/>
  <c r="K14" i="49"/>
  <c r="H14" i="49"/>
  <c r="G14" i="49"/>
  <c r="D11" i="49"/>
  <c r="D11" i="50"/>
  <c r="J12" i="50"/>
  <c r="E10" i="50"/>
  <c r="C21" i="48"/>
  <c r="M21" i="48"/>
  <c r="M20" i="48"/>
  <c r="L40" i="34"/>
  <c r="L41" i="34"/>
  <c r="L42" i="34"/>
  <c r="L43" i="34"/>
  <c r="L44" i="34"/>
  <c r="L45" i="34"/>
  <c r="L46" i="34"/>
  <c r="L47" i="34"/>
  <c r="L48" i="34"/>
  <c r="L49" i="34"/>
  <c r="L50" i="34"/>
  <c r="K44" i="34"/>
  <c r="K50" i="34"/>
  <c r="M40" i="34"/>
  <c r="M41" i="34"/>
  <c r="M42" i="34"/>
  <c r="M43" i="34"/>
  <c r="M44" i="34"/>
  <c r="M45" i="34"/>
  <c r="M46" i="34"/>
  <c r="M47" i="34"/>
  <c r="M48" i="34"/>
  <c r="M49" i="34"/>
  <c r="M50" i="34"/>
  <c r="K45" i="34"/>
  <c r="K41" i="34"/>
  <c r="K46" i="34"/>
  <c r="K42" i="34"/>
  <c r="K48" i="34"/>
  <c r="K43" i="34"/>
  <c r="K49" i="34"/>
  <c r="K40" i="34"/>
  <c r="K47" i="34"/>
  <c r="G52" i="34"/>
  <c r="I78" i="34"/>
  <c r="G78" i="34"/>
  <c r="H65" i="34"/>
  <c r="H67" i="34"/>
  <c r="G28" i="34"/>
  <c r="I65" i="34"/>
  <c r="I67" i="34"/>
  <c r="H28" i="34"/>
  <c r="I37" i="34"/>
  <c r="G80" i="34"/>
  <c r="G26" i="34"/>
  <c r="H27" i="34"/>
  <c r="I28" i="34"/>
  <c r="G34" i="34"/>
  <c r="H35" i="34"/>
  <c r="I36" i="34"/>
  <c r="G54" i="34"/>
  <c r="I80" i="34"/>
  <c r="H26" i="34"/>
  <c r="I27" i="34"/>
  <c r="G33" i="34"/>
  <c r="H34" i="34"/>
  <c r="I35" i="34"/>
  <c r="I26" i="34"/>
  <c r="G32" i="34"/>
  <c r="H33" i="34"/>
  <c r="I34" i="34"/>
  <c r="G135" i="34"/>
  <c r="G143" i="34"/>
  <c r="G118" i="34"/>
  <c r="G120" i="34"/>
  <c r="G138" i="34"/>
  <c r="I45" i="59"/>
  <c r="G133" i="34"/>
  <c r="G141" i="34"/>
  <c r="I15" i="59"/>
  <c r="G136" i="34"/>
  <c r="H16" i="59"/>
  <c r="G139" i="34"/>
  <c r="I147" i="34"/>
  <c r="H15" i="59"/>
  <c r="H45" i="59"/>
  <c r="G134" i="34"/>
  <c r="G142" i="34"/>
  <c r="D16" i="57"/>
  <c r="I22" i="59"/>
  <c r="G137" i="34"/>
  <c r="I149" i="34"/>
  <c r="D18" i="57"/>
  <c r="G132" i="34"/>
  <c r="G140" i="34"/>
  <c r="H22" i="59"/>
  <c r="H147" i="34"/>
  <c r="H149" i="34"/>
  <c r="H132" i="34"/>
  <c r="H134" i="34"/>
  <c r="H118" i="34"/>
  <c r="H119" i="34"/>
  <c r="H120" i="34"/>
  <c r="H121" i="34"/>
  <c r="H122" i="34"/>
  <c r="H123" i="34"/>
  <c r="H124" i="34"/>
  <c r="H125" i="34"/>
  <c r="H126" i="34"/>
  <c r="I118" i="34"/>
  <c r="I119" i="34"/>
  <c r="I120" i="34"/>
  <c r="I121" i="34"/>
  <c r="I122" i="34"/>
  <c r="I123" i="34"/>
  <c r="I124" i="34"/>
  <c r="I125" i="34"/>
  <c r="I126" i="34"/>
  <c r="I127" i="34"/>
  <c r="I128" i="34"/>
  <c r="I129" i="34"/>
  <c r="D29" i="25"/>
  <c r="F29" i="25"/>
  <c r="G29" i="25"/>
  <c r="H29" i="25"/>
  <c r="I29" i="25"/>
  <c r="K29" i="25"/>
  <c r="M29" i="25"/>
  <c r="O29" i="25"/>
  <c r="I92" i="34"/>
  <c r="I94" i="34"/>
  <c r="K106" i="34"/>
  <c r="K107" i="34"/>
  <c r="K108" i="34"/>
  <c r="K109" i="34"/>
  <c r="K110" i="34"/>
  <c r="K111" i="34"/>
  <c r="K112" i="34"/>
  <c r="K113" i="34"/>
  <c r="K114" i="34"/>
  <c r="K115" i="34"/>
  <c r="K116" i="34"/>
  <c r="M106" i="34"/>
  <c r="M107" i="34"/>
  <c r="M108" i="34"/>
  <c r="M109" i="34"/>
  <c r="M110" i="34"/>
  <c r="M111" i="34"/>
  <c r="M112" i="34"/>
  <c r="M113" i="34"/>
  <c r="M114" i="34"/>
  <c r="M115" i="34"/>
  <c r="M116" i="34"/>
  <c r="H78" i="34"/>
  <c r="H80" i="34"/>
  <c r="G65" i="34"/>
  <c r="G66" i="34"/>
  <c r="G67" i="34"/>
  <c r="G68" i="34"/>
  <c r="G69" i="34"/>
  <c r="H52" i="34"/>
  <c r="H54" i="34"/>
  <c r="I52" i="34"/>
  <c r="I54" i="34"/>
  <c r="G63" i="34"/>
  <c r="M51" i="34" l="1"/>
  <c r="L51" i="34"/>
  <c r="K51" i="34"/>
  <c r="J51" i="34"/>
  <c r="I63" i="34"/>
  <c r="I62" i="34"/>
  <c r="I61" i="34"/>
  <c r="I60" i="34"/>
  <c r="I59" i="34"/>
  <c r="I58" i="34"/>
  <c r="I57" i="34"/>
  <c r="I56" i="34"/>
  <c r="I55" i="34"/>
  <c r="I53" i="34"/>
  <c r="H63" i="34"/>
  <c r="H62" i="34"/>
  <c r="H61" i="34"/>
  <c r="H60" i="34"/>
  <c r="H59" i="34"/>
  <c r="H58" i="34"/>
  <c r="H57" i="34"/>
  <c r="H56" i="34"/>
  <c r="H55" i="34"/>
  <c r="H53" i="34"/>
  <c r="I70" i="34"/>
  <c r="L64" i="34"/>
  <c r="K64" i="34"/>
  <c r="H76" i="34"/>
  <c r="H75" i="34"/>
  <c r="H74" i="34"/>
  <c r="H73" i="34"/>
  <c r="H72" i="34"/>
  <c r="G76" i="34"/>
  <c r="G75" i="34"/>
  <c r="G74" i="34"/>
  <c r="G73" i="34"/>
  <c r="G72" i="34"/>
  <c r="G71" i="34"/>
  <c r="G70" i="34"/>
  <c r="M77" i="34"/>
  <c r="L77" i="34"/>
  <c r="K77" i="34"/>
  <c r="J77" i="34"/>
  <c r="H89" i="34"/>
  <c r="H88" i="34"/>
  <c r="H87" i="34"/>
  <c r="H86" i="34"/>
  <c r="H85" i="34"/>
  <c r="H84" i="34"/>
  <c r="H83" i="34"/>
  <c r="H82" i="34"/>
  <c r="H81" i="34"/>
  <c r="H79" i="34"/>
  <c r="M105" i="34"/>
  <c r="M104" i="34" s="1"/>
  <c r="M91" i="34"/>
  <c r="M90" i="34" s="1"/>
  <c r="L91" i="34"/>
  <c r="L90" i="34" s="1"/>
  <c r="K105" i="34"/>
  <c r="K104" i="34" s="1"/>
  <c r="K91" i="34"/>
  <c r="K90" i="34" s="1"/>
  <c r="J116" i="34"/>
  <c r="U28" i="25"/>
  <c r="J115" i="34"/>
  <c r="T28" i="25"/>
  <c r="J114" i="34"/>
  <c r="R28" i="25"/>
  <c r="J113" i="34"/>
  <c r="O28" i="25"/>
  <c r="J112" i="34"/>
  <c r="M28" i="25"/>
  <c r="J111" i="34"/>
  <c r="K28" i="25"/>
  <c r="J110" i="34"/>
  <c r="I28" i="25"/>
  <c r="J109" i="34"/>
  <c r="H28" i="25"/>
  <c r="J108" i="34"/>
  <c r="G28" i="25"/>
  <c r="J107" i="34"/>
  <c r="F28" i="25"/>
  <c r="J106" i="34"/>
  <c r="D28" i="25"/>
  <c r="J105" i="34"/>
  <c r="J104" i="34" s="1"/>
  <c r="J91" i="34"/>
  <c r="J90" i="34" s="1"/>
  <c r="C28" i="25"/>
  <c r="F47" i="22" s="1"/>
  <c r="I103" i="34"/>
  <c r="I102" i="34"/>
  <c r="I101" i="34"/>
  <c r="I100" i="34"/>
  <c r="I99" i="34"/>
  <c r="I98" i="34"/>
  <c r="I97" i="34"/>
  <c r="I96" i="34"/>
  <c r="I95" i="34"/>
  <c r="I93" i="34"/>
  <c r="H103" i="34"/>
  <c r="E116" i="34"/>
  <c r="H116" i="34" s="1"/>
  <c r="H102" i="34"/>
  <c r="E115" i="34"/>
  <c r="H115" i="34" s="1"/>
  <c r="H101" i="34"/>
  <c r="E114" i="34"/>
  <c r="H114" i="34" s="1"/>
  <c r="E113" i="34"/>
  <c r="H113" i="34" s="1"/>
  <c r="H100" i="34"/>
  <c r="H99" i="34"/>
  <c r="E112" i="34"/>
  <c r="H112" i="34" s="1"/>
  <c r="E111" i="34"/>
  <c r="H111" i="34" s="1"/>
  <c r="H98" i="34"/>
  <c r="H97" i="34"/>
  <c r="E110" i="34"/>
  <c r="H110" i="34" s="1"/>
  <c r="H96" i="34"/>
  <c r="E109" i="34"/>
  <c r="H109" i="34" s="1"/>
  <c r="E108" i="34"/>
  <c r="H108" i="34" s="1"/>
  <c r="H95" i="34"/>
  <c r="H94" i="34"/>
  <c r="E107" i="34"/>
  <c r="H107" i="34" s="1"/>
  <c r="E106" i="34"/>
  <c r="H106" i="34" s="1"/>
  <c r="H93" i="34"/>
  <c r="H92" i="34"/>
  <c r="E105" i="34"/>
  <c r="H105" i="34" s="1"/>
  <c r="U29" i="25"/>
  <c r="T29" i="25"/>
  <c r="R29" i="25"/>
  <c r="C29" i="25"/>
  <c r="F48" i="22" s="1"/>
  <c r="J117" i="34"/>
  <c r="H129" i="34"/>
  <c r="H128" i="34"/>
  <c r="H127" i="34"/>
  <c r="K131" i="34"/>
  <c r="K130" i="34" s="1"/>
  <c r="U30" i="25"/>
  <c r="T30" i="25"/>
  <c r="R30" i="25"/>
  <c r="O30" i="25"/>
  <c r="M30" i="25"/>
  <c r="K30" i="25"/>
  <c r="I30" i="25"/>
  <c r="H30" i="25"/>
  <c r="G30" i="25"/>
  <c r="F30" i="25"/>
  <c r="D30" i="25"/>
  <c r="J131" i="34"/>
  <c r="J130" i="34" s="1"/>
  <c r="C30" i="25"/>
  <c r="F49" i="22" s="1"/>
  <c r="H143" i="34"/>
  <c r="H142" i="34"/>
  <c r="H141" i="34"/>
  <c r="H140" i="34"/>
  <c r="H139" i="34"/>
  <c r="H138" i="34"/>
  <c r="H137" i="34"/>
  <c r="H136" i="34"/>
  <c r="H135" i="34"/>
  <c r="H133" i="34"/>
  <c r="M146" i="34"/>
  <c r="I158" i="34"/>
  <c r="L146" i="34"/>
  <c r="K146" i="34"/>
  <c r="G158" i="34"/>
  <c r="U31" i="25"/>
  <c r="G157" i="34"/>
  <c r="T31" i="25"/>
  <c r="G156" i="34"/>
  <c r="R31" i="25"/>
  <c r="G155" i="34"/>
  <c r="O31" i="25"/>
  <c r="G154" i="34"/>
  <c r="M31" i="25"/>
  <c r="G153" i="34"/>
  <c r="K31" i="25"/>
  <c r="G152" i="34"/>
  <c r="I31" i="25"/>
  <c r="G151" i="34"/>
  <c r="H31" i="25"/>
  <c r="G150" i="34"/>
  <c r="G31" i="25"/>
  <c r="G149" i="34"/>
  <c r="F31" i="25"/>
  <c r="G148" i="34"/>
  <c r="D31" i="25"/>
  <c r="G147" i="34"/>
  <c r="C31" i="25"/>
  <c r="F50" i="22" s="1"/>
  <c r="J146" i="34"/>
  <c r="H158" i="34"/>
  <c r="H157" i="34"/>
  <c r="H156" i="34"/>
  <c r="H155" i="34"/>
  <c r="H154" i="34"/>
  <c r="H153" i="34"/>
  <c r="H152" i="34"/>
  <c r="H151" i="34"/>
  <c r="H150" i="34"/>
  <c r="H148" i="34"/>
  <c r="D23" i="57"/>
  <c r="D21" i="57" s="1"/>
  <c r="H21" i="57"/>
  <c r="H20" i="57" s="1"/>
  <c r="Q11" i="50"/>
  <c r="K12" i="50"/>
  <c r="I23" i="57"/>
  <c r="G21" i="57"/>
  <c r="E23" i="57"/>
  <c r="K38" i="59"/>
  <c r="H39" i="59"/>
  <c r="S13" i="51"/>
  <c r="S11" i="51" s="1"/>
  <c r="Q11" i="51"/>
  <c r="K13" i="51"/>
  <c r="L38" i="59"/>
  <c r="I39" i="59"/>
  <c r="K20" i="59"/>
  <c r="H21" i="59"/>
  <c r="I150" i="34"/>
  <c r="D112" i="34"/>
  <c r="G112" i="34" s="1"/>
  <c r="G99" i="34"/>
  <c r="K17" i="59"/>
  <c r="H17" i="59" s="1"/>
  <c r="H18" i="59"/>
  <c r="U14" i="49"/>
  <c r="U11" i="49" s="1"/>
  <c r="Q11" i="49"/>
  <c r="Q10" i="49" s="1"/>
  <c r="J14" i="49"/>
  <c r="L23" i="59"/>
  <c r="I23" i="59" s="1"/>
  <c r="I24" i="59"/>
  <c r="I157" i="34"/>
  <c r="D111" i="34"/>
  <c r="G111" i="34" s="1"/>
  <c r="G98" i="34"/>
  <c r="K13" i="59"/>
  <c r="H14" i="59"/>
  <c r="I15" i="57"/>
  <c r="G13" i="57"/>
  <c r="E15" i="57"/>
  <c r="I156" i="34"/>
  <c r="I148" i="34"/>
  <c r="G127" i="34"/>
  <c r="G125" i="34"/>
  <c r="G123" i="34"/>
  <c r="G121" i="34"/>
  <c r="G119" i="34"/>
  <c r="G97" i="34"/>
  <c r="D110" i="34"/>
  <c r="G110" i="34" s="1"/>
  <c r="L20" i="59"/>
  <c r="I21" i="59"/>
  <c r="I155" i="34"/>
  <c r="M117" i="34"/>
  <c r="D109" i="34"/>
  <c r="G109" i="34" s="1"/>
  <c r="G96" i="34"/>
  <c r="L43" i="59"/>
  <c r="I44" i="59"/>
  <c r="L13" i="59"/>
  <c r="I14" i="59"/>
  <c r="L17" i="59"/>
  <c r="I17" i="59" s="1"/>
  <c r="I18" i="59"/>
  <c r="G11" i="57"/>
  <c r="I12" i="57"/>
  <c r="I154" i="34"/>
  <c r="G129" i="34"/>
  <c r="L117" i="34"/>
  <c r="G103" i="34"/>
  <c r="D116" i="34"/>
  <c r="G116" i="34" s="1"/>
  <c r="G95" i="34"/>
  <c r="D108" i="34"/>
  <c r="G108" i="34" s="1"/>
  <c r="I32" i="57"/>
  <c r="G30" i="57"/>
  <c r="E32" i="57"/>
  <c r="H13" i="57"/>
  <c r="D15" i="57"/>
  <c r="D13" i="57" s="1"/>
  <c r="F13" i="57" s="1"/>
  <c r="I153" i="34"/>
  <c r="K117" i="34"/>
  <c r="G102" i="34"/>
  <c r="D115" i="34"/>
  <c r="G115" i="34" s="1"/>
  <c r="G94" i="34"/>
  <c r="D107" i="34"/>
  <c r="G107" i="34" s="1"/>
  <c r="D12" i="57"/>
  <c r="D11" i="57" s="1"/>
  <c r="H11" i="57"/>
  <c r="K23" i="59"/>
  <c r="H23" i="59" s="1"/>
  <c r="H24" i="59"/>
  <c r="I152" i="34"/>
  <c r="M131" i="34"/>
  <c r="M130" i="34" s="1"/>
  <c r="G126" i="34"/>
  <c r="G124" i="34"/>
  <c r="G122" i="34"/>
  <c r="G101" i="34"/>
  <c r="D114" i="34"/>
  <c r="G114" i="34" s="1"/>
  <c r="D106" i="34"/>
  <c r="G106" i="34" s="1"/>
  <c r="G93" i="34"/>
  <c r="I16" i="57"/>
  <c r="E16" i="57"/>
  <c r="I18" i="57"/>
  <c r="E18" i="57"/>
  <c r="I151" i="34"/>
  <c r="G128" i="34"/>
  <c r="G100" i="34"/>
  <c r="D113" i="34"/>
  <c r="G113" i="34" s="1"/>
  <c r="D105" i="34"/>
  <c r="G105" i="34" s="1"/>
  <c r="G92" i="34"/>
  <c r="I89" i="34"/>
  <c r="I85" i="34"/>
  <c r="I81" i="34"/>
  <c r="I68" i="34"/>
  <c r="I66" i="34"/>
  <c r="G89" i="34"/>
  <c r="G85" i="34"/>
  <c r="G81" i="34"/>
  <c r="I76" i="34"/>
  <c r="H70" i="34"/>
  <c r="H68" i="34"/>
  <c r="H66" i="34"/>
  <c r="G55" i="34"/>
  <c r="I88" i="34"/>
  <c r="I84" i="34"/>
  <c r="I75" i="34"/>
  <c r="M64" i="34"/>
  <c r="G62" i="34"/>
  <c r="G88" i="34"/>
  <c r="G84" i="34"/>
  <c r="I74" i="34"/>
  <c r="J64" i="34"/>
  <c r="G61" i="34"/>
  <c r="G53" i="34"/>
  <c r="H36" i="34"/>
  <c r="G35" i="34"/>
  <c r="I29" i="34"/>
  <c r="G27" i="34"/>
  <c r="I73" i="34"/>
  <c r="I69" i="34"/>
  <c r="H37" i="34"/>
  <c r="G36" i="34"/>
  <c r="I30" i="34"/>
  <c r="H29" i="34"/>
  <c r="M25" i="34"/>
  <c r="G87" i="34"/>
  <c r="G83" i="34"/>
  <c r="G79" i="34"/>
  <c r="I72" i="34"/>
  <c r="H69" i="34"/>
  <c r="G59" i="34"/>
  <c r="G37" i="34"/>
  <c r="I31" i="34"/>
  <c r="H30" i="34"/>
  <c r="G29" i="34"/>
  <c r="L25" i="34"/>
  <c r="I71" i="34"/>
  <c r="I32" i="34"/>
  <c r="H31" i="34"/>
  <c r="G30" i="34"/>
  <c r="K25" i="34"/>
  <c r="H71" i="34"/>
  <c r="I33" i="34"/>
  <c r="H32" i="34"/>
  <c r="G31" i="34"/>
  <c r="J25" i="34"/>
  <c r="I83" i="34"/>
  <c r="G60" i="34"/>
  <c r="I82" i="34"/>
  <c r="G58" i="34"/>
  <c r="G82" i="34"/>
  <c r="G57" i="34"/>
  <c r="I79" i="34"/>
  <c r="G56" i="34"/>
  <c r="I87" i="34"/>
  <c r="I86" i="34"/>
  <c r="G86" i="34"/>
  <c r="J50" i="34"/>
  <c r="U27" i="25"/>
  <c r="U26" i="25" s="1"/>
  <c r="J49" i="34"/>
  <c r="T27" i="25"/>
  <c r="T26" i="25" s="1"/>
  <c r="J48" i="34"/>
  <c r="R27" i="25"/>
  <c r="R26" i="25" s="1"/>
  <c r="J47" i="34"/>
  <c r="O27" i="25"/>
  <c r="O26" i="25" s="1"/>
  <c r="J46" i="34"/>
  <c r="M27" i="25"/>
  <c r="M26" i="25" s="1"/>
  <c r="J45" i="34"/>
  <c r="K27" i="25"/>
  <c r="K26" i="25" s="1"/>
  <c r="J44" i="34"/>
  <c r="I27" i="25"/>
  <c r="I26" i="25" s="1"/>
  <c r="J43" i="34"/>
  <c r="H27" i="25"/>
  <c r="H26" i="25" s="1"/>
  <c r="J42" i="34"/>
  <c r="G27" i="25"/>
  <c r="G26" i="25" s="1"/>
  <c r="J41" i="34"/>
  <c r="F27" i="25"/>
  <c r="F26" i="25" s="1"/>
  <c r="J40" i="34"/>
  <c r="D27" i="25"/>
  <c r="D26" i="25" s="1"/>
  <c r="J39" i="34"/>
  <c r="J38" i="34" s="1"/>
  <c r="J12" i="34"/>
  <c r="J11" i="34" s="1"/>
  <c r="J10" i="34" s="1"/>
  <c r="I24" i="34"/>
  <c r="F50" i="34"/>
  <c r="I50" i="34" s="1"/>
  <c r="I23" i="34"/>
  <c r="F49" i="34"/>
  <c r="I49" i="34" s="1"/>
  <c r="I22" i="34"/>
  <c r="F48" i="34"/>
  <c r="I48" i="34" s="1"/>
  <c r="F47" i="34"/>
  <c r="I47" i="34" s="1"/>
  <c r="I21" i="34"/>
  <c r="I20" i="34"/>
  <c r="F46" i="34"/>
  <c r="I46" i="34" s="1"/>
  <c r="I19" i="34"/>
  <c r="F45" i="34"/>
  <c r="I45" i="34" s="1"/>
  <c r="I18" i="34"/>
  <c r="F44" i="34"/>
  <c r="I44" i="34" s="1"/>
  <c r="I17" i="34"/>
  <c r="F43" i="34"/>
  <c r="I43" i="34" s="1"/>
  <c r="I16" i="34"/>
  <c r="F42" i="34"/>
  <c r="I42" i="34" s="1"/>
  <c r="I15" i="34"/>
  <c r="F41" i="34"/>
  <c r="I41" i="34" s="1"/>
  <c r="F40" i="34"/>
  <c r="I40" i="34" s="1"/>
  <c r="I14" i="34"/>
  <c r="I13" i="34"/>
  <c r="F39" i="34"/>
  <c r="I39" i="34" s="1"/>
  <c r="E50" i="34"/>
  <c r="H50" i="34" s="1"/>
  <c r="H24" i="34"/>
  <c r="E49" i="34"/>
  <c r="H49" i="34" s="1"/>
  <c r="H23" i="34"/>
  <c r="E48" i="34"/>
  <c r="H48" i="34" s="1"/>
  <c r="H22" i="34"/>
  <c r="E47" i="34"/>
  <c r="H47" i="34" s="1"/>
  <c r="H21" i="34"/>
  <c r="E46" i="34"/>
  <c r="H46" i="34" s="1"/>
  <c r="H20" i="34"/>
  <c r="E45" i="34"/>
  <c r="H45" i="34" s="1"/>
  <c r="H19" i="34"/>
  <c r="E44" i="34"/>
  <c r="H44" i="34" s="1"/>
  <c r="H18" i="34"/>
  <c r="E43" i="34"/>
  <c r="H43" i="34" s="1"/>
  <c r="H17" i="34"/>
  <c r="E42" i="34"/>
  <c r="H42" i="34" s="1"/>
  <c r="H16" i="34"/>
  <c r="E41" i="34"/>
  <c r="H41" i="34" s="1"/>
  <c r="H15" i="34"/>
  <c r="E40" i="34"/>
  <c r="H40" i="34" s="1"/>
  <c r="H14" i="34"/>
  <c r="E39" i="34"/>
  <c r="H39" i="34" s="1"/>
  <c r="H13" i="34"/>
  <c r="D39" i="34"/>
  <c r="G39" i="34" s="1"/>
  <c r="G13" i="34"/>
  <c r="D50" i="34"/>
  <c r="G50" i="34" s="1"/>
  <c r="G24" i="34"/>
  <c r="D49" i="34"/>
  <c r="G49" i="34" s="1"/>
  <c r="G23" i="34"/>
  <c r="D48" i="34"/>
  <c r="G48" i="34" s="1"/>
  <c r="G22" i="34"/>
  <c r="D47" i="34"/>
  <c r="G47" i="34" s="1"/>
  <c r="G21" i="34"/>
  <c r="D46" i="34"/>
  <c r="G46" i="34" s="1"/>
  <c r="G20" i="34"/>
  <c r="D45" i="34"/>
  <c r="G45" i="34" s="1"/>
  <c r="G19" i="34"/>
  <c r="D44" i="34"/>
  <c r="G44" i="34" s="1"/>
  <c r="G18" i="34"/>
  <c r="D43" i="34"/>
  <c r="G43" i="34" s="1"/>
  <c r="G17" i="34"/>
  <c r="D42" i="34"/>
  <c r="G42" i="34" s="1"/>
  <c r="G16" i="34"/>
  <c r="D41" i="34"/>
  <c r="G41" i="34" s="1"/>
  <c r="G15" i="34"/>
  <c r="D40" i="34"/>
  <c r="G40" i="34" s="1"/>
  <c r="G14" i="34"/>
  <c r="K39" i="34"/>
  <c r="K12" i="34"/>
  <c r="M39" i="34"/>
  <c r="M38" i="34" s="1"/>
  <c r="M12" i="34"/>
  <c r="M11" i="34" s="1"/>
  <c r="M10" i="34" s="1"/>
  <c r="L39" i="34"/>
  <c r="L38" i="34" s="1"/>
  <c r="L12" i="34"/>
  <c r="L11" i="34" s="1"/>
  <c r="L10" i="34" s="1"/>
  <c r="D10" i="50"/>
  <c r="J10" i="50" s="1"/>
  <c r="J11" i="50"/>
  <c r="H11" i="49"/>
  <c r="G11" i="49"/>
  <c r="K11" i="49"/>
  <c r="I11" i="49"/>
  <c r="D10" i="49"/>
  <c r="J11" i="49"/>
  <c r="E12" i="57"/>
  <c r="C11" i="57"/>
  <c r="H11" i="51"/>
  <c r="G11" i="51"/>
  <c r="I11" i="51"/>
  <c r="J11" i="51"/>
  <c r="D10" i="51"/>
  <c r="E29" i="57"/>
  <c r="C28" i="57"/>
  <c r="J17" i="52"/>
  <c r="G17" i="52"/>
  <c r="H17" i="52"/>
  <c r="I17" i="52"/>
  <c r="D11" i="52"/>
  <c r="K11" i="52"/>
  <c r="E10" i="52"/>
  <c r="K10" i="52" s="1"/>
  <c r="C46" i="57"/>
  <c r="J11" i="53"/>
  <c r="G11" i="53"/>
  <c r="H11" i="53"/>
  <c r="I11" i="53"/>
  <c r="D10" i="53"/>
  <c r="D45" i="70"/>
  <c r="E45" i="70" s="1"/>
  <c r="C47" i="109"/>
  <c r="F30" i="57"/>
  <c r="F14" i="124"/>
  <c r="D14" i="124" s="1"/>
  <c r="C10" i="127" l="1"/>
  <c r="L32" i="59"/>
  <c r="I33" i="59"/>
  <c r="K32" i="59"/>
  <c r="H33" i="59"/>
  <c r="D29" i="57"/>
  <c r="D28" i="57" s="1"/>
  <c r="H28" i="57"/>
  <c r="I29" i="57"/>
  <c r="K43" i="59"/>
  <c r="H44" i="59"/>
  <c r="J281" i="56"/>
  <c r="J302" i="56"/>
  <c r="G306" i="56"/>
  <c r="G281" i="56" s="1"/>
  <c r="J415" i="56"/>
  <c r="J423" i="56"/>
  <c r="J416" i="56" s="1"/>
  <c r="G427" i="56"/>
  <c r="J282" i="56"/>
  <c r="G307" i="56"/>
  <c r="G282" i="56" s="1"/>
  <c r="K50" i="59"/>
  <c r="H51" i="59"/>
  <c r="I31" i="47"/>
  <c r="E30" i="47"/>
  <c r="E50" i="109" s="1"/>
  <c r="E50" i="65" s="1"/>
  <c r="P49" i="70" s="1"/>
  <c r="Q49" i="70" s="1"/>
  <c r="L50" i="59"/>
  <c r="I51" i="59"/>
  <c r="I32" i="47"/>
  <c r="C30" i="47"/>
  <c r="C47" i="65"/>
  <c r="F45" i="70"/>
  <c r="H10" i="53"/>
  <c r="I10" i="53"/>
  <c r="J10" i="53"/>
  <c r="G10" i="53"/>
  <c r="J11" i="52"/>
  <c r="H11" i="52"/>
  <c r="I11" i="52"/>
  <c r="D10" i="52"/>
  <c r="G11" i="52"/>
  <c r="J10" i="51"/>
  <c r="I10" i="51"/>
  <c r="H10" i="51"/>
  <c r="G10" i="51"/>
  <c r="C10" i="57"/>
  <c r="E11" i="57"/>
  <c r="H10" i="49"/>
  <c r="I10" i="49"/>
  <c r="G10" i="49"/>
  <c r="J10" i="49"/>
  <c r="K10" i="49"/>
  <c r="K38" i="34"/>
  <c r="K11" i="34" s="1"/>
  <c r="K10" i="34" s="1"/>
  <c r="C27" i="25"/>
  <c r="D43" i="25"/>
  <c r="D39" i="25" s="1"/>
  <c r="D10" i="25"/>
  <c r="F43" i="25"/>
  <c r="F39" i="25" s="1"/>
  <c r="F10" i="25"/>
  <c r="G43" i="25"/>
  <c r="G39" i="25" s="1"/>
  <c r="G10" i="25"/>
  <c r="H43" i="25"/>
  <c r="H39" i="25" s="1"/>
  <c r="H10" i="25"/>
  <c r="I43" i="25"/>
  <c r="I39" i="25" s="1"/>
  <c r="I10" i="25"/>
  <c r="K10" i="25"/>
  <c r="K43" i="25"/>
  <c r="K39" i="25" s="1"/>
  <c r="M43" i="25"/>
  <c r="M39" i="25" s="1"/>
  <c r="M10" i="25"/>
  <c r="O43" i="25"/>
  <c r="O39" i="25" s="1"/>
  <c r="O10" i="25"/>
  <c r="R43" i="25"/>
  <c r="R39" i="25" s="1"/>
  <c r="R10" i="25"/>
  <c r="T43" i="25"/>
  <c r="T39" i="25" s="1"/>
  <c r="T10" i="25"/>
  <c r="U43" i="25"/>
  <c r="U39" i="25" s="1"/>
  <c r="U10" i="25"/>
  <c r="F11" i="57"/>
  <c r="I30" i="57"/>
  <c r="E30" i="57"/>
  <c r="G28" i="57"/>
  <c r="I11" i="57"/>
  <c r="L12" i="59"/>
  <c r="I13" i="59"/>
  <c r="L42" i="59"/>
  <c r="I42" i="59" s="1"/>
  <c r="I43" i="59"/>
  <c r="L19" i="59"/>
  <c r="I19" i="59" s="1"/>
  <c r="I20" i="59"/>
  <c r="I13" i="57"/>
  <c r="E13" i="47" s="1"/>
  <c r="E13" i="57"/>
  <c r="K12" i="59"/>
  <c r="H13" i="59"/>
  <c r="C12" i="47"/>
  <c r="U10" i="49"/>
  <c r="K19" i="59"/>
  <c r="H20" i="59"/>
  <c r="L37" i="59"/>
  <c r="I38" i="59"/>
  <c r="Q10" i="51"/>
  <c r="K10" i="51" s="1"/>
  <c r="K11" i="51"/>
  <c r="C18" i="47"/>
  <c r="S10" i="51"/>
  <c r="K37" i="59"/>
  <c r="H38" i="59"/>
  <c r="G20" i="57"/>
  <c r="I21" i="57"/>
  <c r="E21" i="57"/>
  <c r="Q10" i="50"/>
  <c r="K10" i="50" s="1"/>
  <c r="K11" i="50"/>
  <c r="D20" i="57"/>
  <c r="F21" i="57"/>
  <c r="O50" i="22"/>
  <c r="D25" i="73"/>
  <c r="E25" i="73" s="1"/>
  <c r="O49" i="22"/>
  <c r="D24" i="73"/>
  <c r="E24" i="73" s="1"/>
  <c r="O48" i="22"/>
  <c r="D23" i="73"/>
  <c r="E23" i="73" s="1"/>
  <c r="O47" i="22"/>
  <c r="D22" i="73"/>
  <c r="E22" i="73" s="1"/>
  <c r="G10" i="126"/>
  <c r="C67" i="109"/>
  <c r="F16" i="124"/>
  <c r="D16" i="124" s="1"/>
  <c r="C30" i="128"/>
  <c r="C23" i="128"/>
  <c r="C21" i="128" s="1"/>
  <c r="C10" i="128" s="1"/>
  <c r="H10" i="126"/>
  <c r="C11" i="126" l="1"/>
  <c r="F11" i="126"/>
  <c r="F10" i="126" s="1"/>
  <c r="D12" i="1" s="1"/>
  <c r="F13" i="124"/>
  <c r="G11" i="124"/>
  <c r="O67" i="109"/>
  <c r="C66" i="65"/>
  <c r="F22" i="73"/>
  <c r="F23" i="73"/>
  <c r="F24" i="73"/>
  <c r="F25" i="73"/>
  <c r="F20" i="57"/>
  <c r="I20" i="57"/>
  <c r="E20" i="57"/>
  <c r="D18" i="47"/>
  <c r="H37" i="59"/>
  <c r="C17" i="47"/>
  <c r="L36" i="59"/>
  <c r="I36" i="59" s="1"/>
  <c r="I37" i="59"/>
  <c r="D13" i="47"/>
  <c r="I13" i="47" s="1"/>
  <c r="H19" i="59"/>
  <c r="C11" i="47"/>
  <c r="D12" i="47"/>
  <c r="K11" i="59"/>
  <c r="H12" i="59"/>
  <c r="L11" i="59"/>
  <c r="I12" i="59"/>
  <c r="E12" i="47"/>
  <c r="E11" i="47" s="1"/>
  <c r="I28" i="57"/>
  <c r="E28" i="57"/>
  <c r="E19" i="47"/>
  <c r="F46" i="22"/>
  <c r="C26" i="25"/>
  <c r="C43" i="25" s="1"/>
  <c r="W43" i="25" s="1"/>
  <c r="G10" i="52"/>
  <c r="I10" i="52"/>
  <c r="J10" i="52"/>
  <c r="H10" i="52"/>
  <c r="D46" i="70"/>
  <c r="E46" i="70" s="1"/>
  <c r="C50" i="109"/>
  <c r="I30" i="47"/>
  <c r="L49" i="59"/>
  <c r="I50" i="59"/>
  <c r="R49" i="70"/>
  <c r="K49" i="59"/>
  <c r="H50" i="59"/>
  <c r="G423" i="56"/>
  <c r="G415" i="56"/>
  <c r="J331" i="56"/>
  <c r="J327" i="56" s="1"/>
  <c r="J320" i="56" s="1"/>
  <c r="D22" i="47" s="1"/>
  <c r="I22" i="47" s="1"/>
  <c r="J411" i="56"/>
  <c r="J404" i="56" s="1"/>
  <c r="J295" i="56"/>
  <c r="J277" i="56"/>
  <c r="G302" i="56"/>
  <c r="K42" i="59"/>
  <c r="H43" i="59"/>
  <c r="E18" i="47"/>
  <c r="F28" i="57"/>
  <c r="K31" i="59"/>
  <c r="H32" i="59"/>
  <c r="L31" i="59"/>
  <c r="I32" i="59"/>
  <c r="O12" i="50"/>
  <c r="M11" i="50"/>
  <c r="G12" i="50"/>
  <c r="N11" i="50"/>
  <c r="H12" i="50"/>
  <c r="F18" i="124"/>
  <c r="D18" i="124" l="1"/>
  <c r="D17" i="124" s="1"/>
  <c r="F17" i="124"/>
  <c r="G17" i="124" s="1"/>
  <c r="G10" i="124" s="1"/>
  <c r="C29" i="47" s="1"/>
  <c r="N10" i="50"/>
  <c r="H10" i="50" s="1"/>
  <c r="H11" i="50"/>
  <c r="M10" i="50"/>
  <c r="G10" i="50" s="1"/>
  <c r="G11" i="50"/>
  <c r="S12" i="50"/>
  <c r="S11" i="50" s="1"/>
  <c r="O11" i="50"/>
  <c r="I12" i="50"/>
  <c r="L25" i="59"/>
  <c r="I25" i="59" s="1"/>
  <c r="I31" i="59"/>
  <c r="E16" i="47"/>
  <c r="E14" i="47" s="1"/>
  <c r="E44" i="109" s="1"/>
  <c r="E44" i="65" s="1"/>
  <c r="P43" i="70" s="1"/>
  <c r="Q43" i="70" s="1"/>
  <c r="D16" i="47"/>
  <c r="K25" i="59"/>
  <c r="H25" i="59" s="1"/>
  <c r="H31" i="59"/>
  <c r="E17" i="47"/>
  <c r="E45" i="109" s="1"/>
  <c r="E45" i="65" s="1"/>
  <c r="P44" i="70" s="1"/>
  <c r="Q44" i="70" s="1"/>
  <c r="I18" i="47"/>
  <c r="D19" i="47"/>
  <c r="I19" i="47" s="1"/>
  <c r="H42" i="59"/>
  <c r="K36" i="59"/>
  <c r="H36" i="59" s="1"/>
  <c r="J270" i="56"/>
  <c r="J269" i="56" s="1"/>
  <c r="J10" i="56" s="1"/>
  <c r="G277" i="56"/>
  <c r="G331" i="56"/>
  <c r="G327" i="56" s="1"/>
  <c r="G411" i="56"/>
  <c r="K48" i="59"/>
  <c r="H48" i="59" s="1"/>
  <c r="D21" i="47"/>
  <c r="H49" i="59"/>
  <c r="E21" i="47"/>
  <c r="E20" i="47" s="1"/>
  <c r="E46" i="109" s="1"/>
  <c r="E46" i="65" s="1"/>
  <c r="P45" i="70" s="1"/>
  <c r="Q45" i="70" s="1"/>
  <c r="L48" i="59"/>
  <c r="I48" i="59" s="1"/>
  <c r="I49" i="59"/>
  <c r="C50" i="65"/>
  <c r="O50" i="109"/>
  <c r="F46" i="70"/>
  <c r="F45" i="22"/>
  <c r="D21" i="73"/>
  <c r="E21" i="73" s="1"/>
  <c r="O46" i="22"/>
  <c r="E43" i="109"/>
  <c r="E43" i="65" s="1"/>
  <c r="P42" i="70" s="1"/>
  <c r="Q42" i="70" s="1"/>
  <c r="I11" i="59"/>
  <c r="H11" i="59"/>
  <c r="D11" i="47"/>
  <c r="I12" i="47"/>
  <c r="C43" i="109"/>
  <c r="I11" i="47"/>
  <c r="C45" i="109"/>
  <c r="D17" i="47"/>
  <c r="K66" i="65"/>
  <c r="D65" i="70"/>
  <c r="E65" i="70" s="1"/>
  <c r="D13" i="124"/>
  <c r="D11" i="124" s="1"/>
  <c r="D10" i="124" s="1"/>
  <c r="F11" i="124"/>
  <c r="F10" i="124" s="1"/>
  <c r="D11" i="1"/>
  <c r="J12" i="1"/>
  <c r="E11" i="126"/>
  <c r="C10" i="126"/>
  <c r="E10" i="126" s="1"/>
  <c r="J11" i="1" l="1"/>
  <c r="D52" i="109"/>
  <c r="F65" i="70"/>
  <c r="D45" i="109"/>
  <c r="D45" i="65" s="1"/>
  <c r="J44" i="70" s="1"/>
  <c r="K44" i="70" s="1"/>
  <c r="I17" i="47"/>
  <c r="C45" i="65"/>
  <c r="O45" i="109"/>
  <c r="C43" i="65"/>
  <c r="D43" i="109"/>
  <c r="R42" i="70"/>
  <c r="F21" i="73"/>
  <c r="F28" i="109"/>
  <c r="O45" i="22"/>
  <c r="D49" i="70"/>
  <c r="E49" i="70" s="1"/>
  <c r="F49" i="70" s="1"/>
  <c r="K50" i="65"/>
  <c r="R45" i="70"/>
  <c r="D20" i="47"/>
  <c r="I21" i="47"/>
  <c r="R44" i="70"/>
  <c r="D14" i="47"/>
  <c r="I16" i="47"/>
  <c r="R43" i="70"/>
  <c r="O10" i="50"/>
  <c r="I10" i="50" s="1"/>
  <c r="I11" i="50"/>
  <c r="C15" i="47"/>
  <c r="S10" i="50"/>
  <c r="I29" i="47"/>
  <c r="C49" i="109"/>
  <c r="D12" i="43" l="1"/>
  <c r="D22" i="128"/>
  <c r="F10" i="129"/>
  <c r="D22" i="1"/>
  <c r="H21" i="128"/>
  <c r="E22" i="128"/>
  <c r="G10" i="129"/>
  <c r="E22" i="1"/>
  <c r="E21" i="1" s="1"/>
  <c r="E55" i="109" s="1"/>
  <c r="E55" i="65" s="1"/>
  <c r="P54" i="70" s="1"/>
  <c r="Q54" i="70" s="1"/>
  <c r="F22" i="128"/>
  <c r="I21" i="128"/>
  <c r="F10" i="127"/>
  <c r="D11" i="127"/>
  <c r="D27" i="128"/>
  <c r="D31" i="128"/>
  <c r="G30" i="128"/>
  <c r="F11" i="129"/>
  <c r="D23" i="1"/>
  <c r="J23" i="1" s="1"/>
  <c r="G10" i="127"/>
  <c r="E11" i="127"/>
  <c r="O49" i="109"/>
  <c r="C49" i="65"/>
  <c r="I15" i="47"/>
  <c r="C14" i="47"/>
  <c r="D44" i="109"/>
  <c r="D44" i="65" s="1"/>
  <c r="J43" i="70" s="1"/>
  <c r="K43" i="70" s="1"/>
  <c r="D46" i="109"/>
  <c r="I20" i="47"/>
  <c r="O28" i="109"/>
  <c r="F28" i="65"/>
  <c r="K28" i="65" s="1"/>
  <c r="D43" i="65"/>
  <c r="J42" i="70" s="1"/>
  <c r="K42" i="70" s="1"/>
  <c r="O43" i="109"/>
  <c r="D42" i="70"/>
  <c r="E42" i="70" s="1"/>
  <c r="K43" i="65"/>
  <c r="D44" i="70"/>
  <c r="E44" i="70" s="1"/>
  <c r="K45" i="65"/>
  <c r="L44" i="70"/>
  <c r="O52" i="109"/>
  <c r="D52" i="65"/>
  <c r="E14" i="43"/>
  <c r="E23" i="43"/>
  <c r="D12" i="46"/>
  <c r="E38" i="38" l="1"/>
  <c r="J38" i="38" s="1"/>
  <c r="E18" i="43"/>
  <c r="F21" i="43"/>
  <c r="E41" i="38" s="1"/>
  <c r="J41" i="38" s="1"/>
  <c r="E22" i="43"/>
  <c r="E36" i="38"/>
  <c r="J36" i="38" s="1"/>
  <c r="E16" i="43"/>
  <c r="E37" i="38"/>
  <c r="J37" i="38" s="1"/>
  <c r="E17" i="43"/>
  <c r="C45" i="38"/>
  <c r="D13" i="46"/>
  <c r="E39" i="38"/>
  <c r="J39" i="38" s="1"/>
  <c r="E19" i="43"/>
  <c r="E10" i="46"/>
  <c r="C44" i="38" s="1"/>
  <c r="D11" i="46"/>
  <c r="F12" i="43"/>
  <c r="E35" i="38" s="1"/>
  <c r="J35" i="38" s="1"/>
  <c r="E13" i="43"/>
  <c r="E34" i="38"/>
  <c r="F10" i="43"/>
  <c r="E11" i="43"/>
  <c r="J51" i="70"/>
  <c r="K51" i="70" s="1"/>
  <c r="K52" i="65"/>
  <c r="F44" i="70"/>
  <c r="F42" i="70"/>
  <c r="L42" i="70"/>
  <c r="D46" i="65"/>
  <c r="O46" i="109"/>
  <c r="L43" i="70"/>
  <c r="C44" i="109"/>
  <c r="I14" i="47"/>
  <c r="C10" i="47"/>
  <c r="D48" i="70"/>
  <c r="E48" i="70" s="1"/>
  <c r="K49" i="65"/>
  <c r="E16" i="1"/>
  <c r="E15" i="1" s="1"/>
  <c r="E10" i="127"/>
  <c r="D30" i="128"/>
  <c r="G23" i="128"/>
  <c r="D16" i="1"/>
  <c r="D10" i="127"/>
  <c r="F21" i="128"/>
  <c r="I10" i="128"/>
  <c r="R54" i="70"/>
  <c r="E21" i="128"/>
  <c r="H10" i="128"/>
  <c r="J22" i="1"/>
  <c r="D21" i="1"/>
  <c r="E12" i="43"/>
  <c r="C53" i="11"/>
  <c r="E50" i="15"/>
  <c r="E45" i="15"/>
  <c r="E31" i="15"/>
  <c r="E55" i="15" s="1"/>
  <c r="K42" i="12"/>
  <c r="P34" i="12"/>
  <c r="K26" i="12"/>
  <c r="K13" i="12"/>
  <c r="P22" i="12"/>
  <c r="K24" i="12"/>
  <c r="K16" i="12"/>
  <c r="K17" i="12"/>
  <c r="K19" i="12"/>
  <c r="J48" i="41"/>
  <c r="H20" i="41"/>
  <c r="H15" i="41" s="1"/>
  <c r="H10" i="41" s="1"/>
  <c r="H47" i="41" s="1"/>
  <c r="G22" i="40"/>
  <c r="E22" i="41" s="1"/>
  <c r="F13" i="33"/>
  <c r="L22" i="132"/>
  <c r="E33" i="132"/>
  <c r="H39" i="132" l="1"/>
  <c r="H36" i="132"/>
  <c r="H35" i="132"/>
  <c r="C24" i="22" s="1"/>
  <c r="H45" i="132"/>
  <c r="H42" i="132" s="1"/>
  <c r="H64" i="132"/>
  <c r="C31" i="22" s="1"/>
  <c r="E64" i="132"/>
  <c r="C13" i="25"/>
  <c r="C12" i="25" s="1"/>
  <c r="C11" i="25" s="1"/>
  <c r="G12" i="33"/>
  <c r="G11" i="33" s="1"/>
  <c r="G10" i="33" s="1"/>
  <c r="C25" i="42"/>
  <c r="L19" i="12"/>
  <c r="N19" i="12"/>
  <c r="P19" i="12" s="1"/>
  <c r="R19" i="12" s="1"/>
  <c r="S19" i="12" s="1"/>
  <c r="T19" i="12" s="1"/>
  <c r="N17" i="12"/>
  <c r="P17" i="12" s="1"/>
  <c r="R17" i="12" s="1"/>
  <c r="S17" i="12" s="1"/>
  <c r="T17" i="12" s="1"/>
  <c r="L17" i="12"/>
  <c r="K20" i="12"/>
  <c r="N16" i="12"/>
  <c r="P16" i="12" s="1"/>
  <c r="R16" i="12" s="1"/>
  <c r="S16" i="12" s="1"/>
  <c r="T16" i="12" s="1"/>
  <c r="L16" i="12"/>
  <c r="L24" i="12"/>
  <c r="N24" i="12"/>
  <c r="P24" i="12" s="1"/>
  <c r="K21" i="12"/>
  <c r="Q24" i="12"/>
  <c r="R24" i="12" s="1"/>
  <c r="S24" i="12" s="1"/>
  <c r="T24" i="12" s="1"/>
  <c r="H24" i="15"/>
  <c r="L13" i="12"/>
  <c r="N13" i="12"/>
  <c r="P13" i="12" s="1"/>
  <c r="R13" i="12" s="1"/>
  <c r="S13" i="12" s="1"/>
  <c r="T13" i="12" s="1"/>
  <c r="Q22" i="12"/>
  <c r="H22" i="15"/>
  <c r="G31" i="15"/>
  <c r="K15" i="12"/>
  <c r="K11" i="12"/>
  <c r="Q25" i="12"/>
  <c r="H25" i="15"/>
  <c r="K25" i="12"/>
  <c r="Q26" i="12"/>
  <c r="H26" i="15"/>
  <c r="K28" i="12"/>
  <c r="N26" i="12"/>
  <c r="P26" i="12" s="1"/>
  <c r="L26" i="12"/>
  <c r="H34" i="15"/>
  <c r="Q34" i="12"/>
  <c r="G45" i="15"/>
  <c r="H45" i="15" s="1"/>
  <c r="H28" i="15"/>
  <c r="Q28" i="12"/>
  <c r="K37" i="12"/>
  <c r="K35" i="12"/>
  <c r="H35" i="15"/>
  <c r="Q35" i="12"/>
  <c r="K40" i="12"/>
  <c r="Q37" i="12"/>
  <c r="H37" i="15"/>
  <c r="K41" i="12"/>
  <c r="Q42" i="12"/>
  <c r="H42" i="15"/>
  <c r="L42" i="12"/>
  <c r="N42" i="12"/>
  <c r="P42" i="12" s="1"/>
  <c r="Q41" i="12"/>
  <c r="H41" i="15"/>
  <c r="Q47" i="12"/>
  <c r="G50" i="15"/>
  <c r="H50" i="15" s="1"/>
  <c r="H47" i="15"/>
  <c r="K47" i="12"/>
  <c r="K52" i="12"/>
  <c r="I31" i="15"/>
  <c r="F26" i="15"/>
  <c r="I45" i="15"/>
  <c r="F45" i="15" s="1"/>
  <c r="F35" i="15"/>
  <c r="F28" i="15"/>
  <c r="I50" i="15"/>
  <c r="F50" i="15" s="1"/>
  <c r="F47" i="15"/>
  <c r="F42" i="15"/>
  <c r="F41" i="15"/>
  <c r="J21" i="1"/>
  <c r="D55" i="109"/>
  <c r="D19" i="1"/>
  <c r="D18" i="1" s="1"/>
  <c r="D54" i="109" s="1"/>
  <c r="D54" i="65" s="1"/>
  <c r="J53" i="70" s="1"/>
  <c r="E10" i="128"/>
  <c r="F10" i="128"/>
  <c r="E19" i="1"/>
  <c r="E18" i="1" s="1"/>
  <c r="E54" i="109" s="1"/>
  <c r="E54" i="65" s="1"/>
  <c r="P53" i="70" s="1"/>
  <c r="J16" i="1"/>
  <c r="D15" i="1"/>
  <c r="D23" i="128"/>
  <c r="G21" i="128"/>
  <c r="E53" i="109"/>
  <c r="E53" i="65" s="1"/>
  <c r="P52" i="70" s="1"/>
  <c r="Q52" i="70" s="1"/>
  <c r="E10" i="1"/>
  <c r="E51" i="109" s="1"/>
  <c r="E51" i="65" s="1"/>
  <c r="P50" i="70" s="1"/>
  <c r="Q50" i="70" s="1"/>
  <c r="F48" i="70"/>
  <c r="C42" i="109"/>
  <c r="O44" i="109"/>
  <c r="C44" i="65"/>
  <c r="J45" i="70"/>
  <c r="K45" i="70" s="1"/>
  <c r="K46" i="65"/>
  <c r="L51" i="70"/>
  <c r="J34" i="38"/>
  <c r="E33" i="38"/>
  <c r="C38" i="109"/>
  <c r="J44" i="38"/>
  <c r="C10" i="38"/>
  <c r="J45" i="38"/>
  <c r="C39" i="109"/>
  <c r="L163" i="34"/>
  <c r="L162" i="34" s="1"/>
  <c r="K173" i="34"/>
  <c r="K170" i="34" s="1"/>
  <c r="K165" i="34" s="1"/>
  <c r="F28" i="33"/>
  <c r="M163" i="34"/>
  <c r="M162" i="34" s="1"/>
  <c r="G28" i="39"/>
  <c r="G27" i="39" s="1"/>
  <c r="D18" i="38" s="1"/>
  <c r="J18" i="38" s="1"/>
  <c r="G44" i="39"/>
  <c r="K28" i="40"/>
  <c r="K27" i="40" s="1"/>
  <c r="D28" i="38" s="1"/>
  <c r="C22" i="22"/>
  <c r="O22" i="22" s="1"/>
  <c r="C104" i="10"/>
  <c r="G25" i="39"/>
  <c r="G24" i="39" s="1"/>
  <c r="D17" i="38" s="1"/>
  <c r="J17" i="38" s="1"/>
  <c r="K22" i="132"/>
  <c r="I164" i="34"/>
  <c r="K25" i="40"/>
  <c r="K24" i="40" s="1"/>
  <c r="D27" i="38" s="1"/>
  <c r="J27" i="38" s="1"/>
  <c r="K44" i="40"/>
  <c r="G39" i="39"/>
  <c r="J163" i="34"/>
  <c r="C22" i="10"/>
  <c r="C26" i="10"/>
  <c r="H97" i="132"/>
  <c r="C58" i="22" s="1"/>
  <c r="X30" i="41"/>
  <c r="E29" i="38" s="1"/>
  <c r="C50" i="10"/>
  <c r="I28" i="41"/>
  <c r="I27" i="41" s="1"/>
  <c r="R37" i="41"/>
  <c r="W46" i="41"/>
  <c r="Q30" i="41"/>
  <c r="K30" i="41"/>
  <c r="J30" i="41"/>
  <c r="O30" i="41"/>
  <c r="R36" i="41"/>
  <c r="N30" i="41"/>
  <c r="R35" i="41"/>
  <c r="L48" i="41"/>
  <c r="R34" i="41"/>
  <c r="K48" i="41"/>
  <c r="L30" i="41"/>
  <c r="R33" i="41"/>
  <c r="Q28" i="41"/>
  <c r="Q27" i="41" s="1"/>
  <c r="O28" i="41"/>
  <c r="O27" i="41" s="1"/>
  <c r="L28" i="41"/>
  <c r="L27" i="41" s="1"/>
  <c r="K28" i="41"/>
  <c r="K27" i="41" s="1"/>
  <c r="J28" i="41"/>
  <c r="J27" i="41" s="1"/>
  <c r="N20" i="41"/>
  <c r="N15" i="41" s="1"/>
  <c r="N10" i="41" s="1"/>
  <c r="N47" i="41" s="1"/>
  <c r="N48" i="41" s="1"/>
  <c r="R22" i="41"/>
  <c r="M20" i="41"/>
  <c r="M15" i="41" s="1"/>
  <c r="M10" i="41" s="1"/>
  <c r="L20" i="41"/>
  <c r="L15" i="41" s="1"/>
  <c r="L10" i="41" s="1"/>
  <c r="K20" i="41"/>
  <c r="K15" i="41" s="1"/>
  <c r="K10" i="41" s="1"/>
  <c r="K47" i="41" s="1"/>
  <c r="G29" i="40"/>
  <c r="E29" i="41" s="1"/>
  <c r="G21" i="40"/>
  <c r="E21" i="41" s="1"/>
  <c r="G26" i="40"/>
  <c r="E26" i="41" s="1"/>
  <c r="G23" i="40"/>
  <c r="E23" i="41" s="1"/>
  <c r="Y17" i="25"/>
  <c r="Y16" i="25" s="1"/>
  <c r="G24" i="132"/>
  <c r="L24" i="114" l="1"/>
  <c r="L21" i="114" s="1"/>
  <c r="C11" i="19"/>
  <c r="C16" i="19"/>
  <c r="E23" i="19"/>
  <c r="C58" i="7"/>
  <c r="C17" i="19"/>
  <c r="E25" i="19" s="1"/>
  <c r="G23" i="132"/>
  <c r="F23" i="132"/>
  <c r="C30" i="22"/>
  <c r="E63" i="132"/>
  <c r="C36" i="22"/>
  <c r="H72" i="132"/>
  <c r="E73" i="132"/>
  <c r="X17" i="25"/>
  <c r="X16" i="25" s="1"/>
  <c r="G24" i="33"/>
  <c r="G23" i="33" s="1"/>
  <c r="G22" i="33" s="1"/>
  <c r="I31" i="22"/>
  <c r="AJ18" i="25"/>
  <c r="AJ16" i="25" s="1"/>
  <c r="Y41" i="25"/>
  <c r="Y39" i="25" s="1"/>
  <c r="Y10" i="25"/>
  <c r="G20" i="39"/>
  <c r="G15" i="39" s="1"/>
  <c r="F20" i="41"/>
  <c r="R21" i="41"/>
  <c r="I20" i="41"/>
  <c r="I15" i="41" s="1"/>
  <c r="I10" i="41" s="1"/>
  <c r="J20" i="41"/>
  <c r="J15" i="41" s="1"/>
  <c r="J10" i="41" s="1"/>
  <c r="R23" i="41"/>
  <c r="R26" i="41"/>
  <c r="M25" i="41"/>
  <c r="F28" i="41"/>
  <c r="R29" i="41"/>
  <c r="R32" i="41"/>
  <c r="L47" i="41"/>
  <c r="O47" i="41"/>
  <c r="I30" i="41"/>
  <c r="I47" i="41" s="1"/>
  <c r="I48" i="41" s="1"/>
  <c r="R38" i="41"/>
  <c r="J47" i="41"/>
  <c r="Q47" i="41"/>
  <c r="Q48" i="41" s="1"/>
  <c r="R42" i="41"/>
  <c r="F14" i="45"/>
  <c r="F21" i="45"/>
  <c r="F10" i="45"/>
  <c r="F27" i="45"/>
  <c r="R45" i="41"/>
  <c r="M44" i="41"/>
  <c r="D50" i="57"/>
  <c r="D48" i="57" s="1"/>
  <c r="H48" i="57"/>
  <c r="L66" i="59"/>
  <c r="I67" i="59"/>
  <c r="C68" i="10"/>
  <c r="C60" i="10" s="1"/>
  <c r="G69" i="10"/>
  <c r="F69" i="10"/>
  <c r="C29" i="10"/>
  <c r="C57" i="22"/>
  <c r="O58" i="22"/>
  <c r="C16" i="10"/>
  <c r="C100" i="10"/>
  <c r="C112" i="10"/>
  <c r="C111" i="10" s="1"/>
  <c r="X28" i="41"/>
  <c r="J162" i="34"/>
  <c r="F120" i="10"/>
  <c r="C103" i="10"/>
  <c r="G120" i="10"/>
  <c r="C21" i="10"/>
  <c r="C30" i="10"/>
  <c r="G30" i="39"/>
  <c r="D19" i="38" s="1"/>
  <c r="J19" i="38" s="1"/>
  <c r="I35" i="132"/>
  <c r="I45" i="132"/>
  <c r="I42" i="132" s="1"/>
  <c r="E46" i="132"/>
  <c r="F46" i="132"/>
  <c r="G164" i="34"/>
  <c r="G84" i="10"/>
  <c r="F84" i="10"/>
  <c r="K20" i="40"/>
  <c r="K15" i="40" s="1"/>
  <c r="C40" i="10"/>
  <c r="G98" i="10"/>
  <c r="F98" i="10"/>
  <c r="C96" i="10"/>
  <c r="E18" i="22"/>
  <c r="J22" i="132"/>
  <c r="C102" i="10"/>
  <c r="C13" i="10" s="1"/>
  <c r="C105" i="10"/>
  <c r="C81" i="10"/>
  <c r="X20" i="41"/>
  <c r="K39" i="40"/>
  <c r="K30" i="40" s="1"/>
  <c r="D29" i="38" s="1"/>
  <c r="J29" i="38" s="1"/>
  <c r="C23" i="10"/>
  <c r="C27" i="10"/>
  <c r="C15" i="10" s="1"/>
  <c r="C88" i="10"/>
  <c r="K163" i="34"/>
  <c r="H164" i="34"/>
  <c r="F26" i="33"/>
  <c r="F25" i="33"/>
  <c r="E30" i="38"/>
  <c r="J30" i="38" s="1"/>
  <c r="V46" i="41"/>
  <c r="C22" i="41"/>
  <c r="C22" i="40"/>
  <c r="J22" i="40" s="1"/>
  <c r="F22" i="39"/>
  <c r="F34" i="39"/>
  <c r="C34" i="41"/>
  <c r="C34" i="40"/>
  <c r="J34" i="40" s="1"/>
  <c r="C33" i="41"/>
  <c r="F33" i="39"/>
  <c r="C33" i="40"/>
  <c r="J33" i="40" s="1"/>
  <c r="C45" i="40"/>
  <c r="C44" i="39"/>
  <c r="F44" i="39" s="1"/>
  <c r="F45" i="39"/>
  <c r="C45" i="41"/>
  <c r="C44" i="41" s="1"/>
  <c r="F42" i="39"/>
  <c r="C42" i="40"/>
  <c r="C42" i="41"/>
  <c r="C39" i="41" s="1"/>
  <c r="C39" i="39"/>
  <c r="F39" i="39" s="1"/>
  <c r="C29" i="41"/>
  <c r="C29" i="40"/>
  <c r="F29" i="39"/>
  <c r="C28" i="39"/>
  <c r="C36" i="41"/>
  <c r="C36" i="40"/>
  <c r="J36" i="40" s="1"/>
  <c r="F36" i="39"/>
  <c r="F35" i="39"/>
  <c r="C35" i="41"/>
  <c r="C35" i="40"/>
  <c r="J35" i="40" s="1"/>
  <c r="F21" i="39"/>
  <c r="C15" i="39"/>
  <c r="C21" i="41"/>
  <c r="C21" i="40"/>
  <c r="C32" i="40"/>
  <c r="F32" i="39"/>
  <c r="C32" i="41"/>
  <c r="C30" i="39"/>
  <c r="F30" i="39" s="1"/>
  <c r="C38" i="40"/>
  <c r="J38" i="40" s="1"/>
  <c r="C38" i="41"/>
  <c r="U38" i="41" s="1"/>
  <c r="C26" i="41"/>
  <c r="C25" i="41" s="1"/>
  <c r="C24" i="41" s="1"/>
  <c r="C26" i="40"/>
  <c r="C25" i="39"/>
  <c r="F26" i="39"/>
  <c r="C37" i="40"/>
  <c r="J37" i="40" s="1"/>
  <c r="C37" i="41"/>
  <c r="F37" i="39"/>
  <c r="C23" i="41"/>
  <c r="U23" i="41" s="1"/>
  <c r="F23" i="39"/>
  <c r="C23" i="40"/>
  <c r="J23" i="40" s="1"/>
  <c r="I54" i="22"/>
  <c r="AJ35" i="25"/>
  <c r="O39" i="109"/>
  <c r="C39" i="65"/>
  <c r="C31" i="109"/>
  <c r="O38" i="109"/>
  <c r="C38" i="65"/>
  <c r="E32" i="38"/>
  <c r="J33" i="38"/>
  <c r="L45" i="70"/>
  <c r="D43" i="70"/>
  <c r="E43" i="70" s="1"/>
  <c r="K44" i="65"/>
  <c r="C42" i="65"/>
  <c r="R50" i="70"/>
  <c r="R52" i="70"/>
  <c r="D21" i="128"/>
  <c r="G10" i="128"/>
  <c r="J15" i="1"/>
  <c r="D53" i="109"/>
  <c r="D10" i="1"/>
  <c r="O55" i="109"/>
  <c r="D55" i="65"/>
  <c r="F31" i="15"/>
  <c r="I55" i="15"/>
  <c r="F55" i="15" s="1"/>
  <c r="L52" i="12"/>
  <c r="N52" i="12"/>
  <c r="L47" i="12"/>
  <c r="N47" i="12"/>
  <c r="Q50" i="12"/>
  <c r="R42" i="12"/>
  <c r="S42" i="12" s="1"/>
  <c r="T42" i="12" s="1"/>
  <c r="N41" i="12"/>
  <c r="P41" i="12" s="1"/>
  <c r="R41" i="12" s="1"/>
  <c r="S41" i="12" s="1"/>
  <c r="T41" i="12" s="1"/>
  <c r="L41" i="12"/>
  <c r="L40" i="12"/>
  <c r="N40" i="12"/>
  <c r="P40" i="12" s="1"/>
  <c r="R40" i="12" s="1"/>
  <c r="S40" i="12" s="1"/>
  <c r="T40" i="12" s="1"/>
  <c r="L35" i="12"/>
  <c r="N35" i="12"/>
  <c r="L37" i="12"/>
  <c r="N37" i="12"/>
  <c r="P37" i="12" s="1"/>
  <c r="R37" i="12" s="1"/>
  <c r="S37" i="12" s="1"/>
  <c r="T37" i="12" s="1"/>
  <c r="R34" i="12"/>
  <c r="Q45" i="12"/>
  <c r="L28" i="12"/>
  <c r="N28" i="12"/>
  <c r="P28" i="12" s="1"/>
  <c r="R28" i="12" s="1"/>
  <c r="S28" i="12" s="1"/>
  <c r="T28" i="12" s="1"/>
  <c r="R26" i="12"/>
  <c r="S26" i="12" s="1"/>
  <c r="T26" i="12" s="1"/>
  <c r="N25" i="12"/>
  <c r="P25" i="12" s="1"/>
  <c r="R25" i="12" s="1"/>
  <c r="S25" i="12" s="1"/>
  <c r="T25" i="12" s="1"/>
  <c r="L25" i="12"/>
  <c r="N11" i="12"/>
  <c r="L11" i="12"/>
  <c r="N15" i="12"/>
  <c r="P15" i="12" s="1"/>
  <c r="R15" i="12" s="1"/>
  <c r="S15" i="12" s="1"/>
  <c r="T15" i="12" s="1"/>
  <c r="L15" i="12"/>
  <c r="H31" i="15"/>
  <c r="G55" i="15"/>
  <c r="H55" i="15" s="1"/>
  <c r="R22" i="12"/>
  <c r="S22" i="12" s="1"/>
  <c r="T22" i="12" s="1"/>
  <c r="Q31" i="12"/>
  <c r="L21" i="12"/>
  <c r="N21" i="12"/>
  <c r="P21" i="12" s="1"/>
  <c r="R21" i="12" s="1"/>
  <c r="S21" i="12" s="1"/>
  <c r="T21" i="12" s="1"/>
  <c r="L20" i="12"/>
  <c r="N20" i="12"/>
  <c r="P20" i="12" s="1"/>
  <c r="R20" i="12" s="1"/>
  <c r="S20" i="12" s="1"/>
  <c r="T20" i="12" s="1"/>
  <c r="C40" i="25"/>
  <c r="C10" i="25"/>
  <c r="O31" i="22"/>
  <c r="I70" i="132"/>
  <c r="I67" i="132" s="1"/>
  <c r="H70" i="132"/>
  <c r="H67" i="132" s="1"/>
  <c r="C99" i="11"/>
  <c r="J70" i="132"/>
  <c r="J67" i="132" s="1"/>
  <c r="H50" i="132"/>
  <c r="H47" i="132" s="1"/>
  <c r="C26" i="22" s="1"/>
  <c r="O26" i="22" s="1"/>
  <c r="I27" i="114"/>
  <c r="G30" i="114"/>
  <c r="E38" i="7"/>
  <c r="G34" i="114"/>
  <c r="G33" i="114"/>
  <c r="G23" i="114"/>
  <c r="E39" i="114"/>
  <c r="H39" i="114" s="1"/>
  <c r="G94" i="10"/>
  <c r="G22" i="114"/>
  <c r="F26" i="114"/>
  <c r="G13" i="114"/>
  <c r="F23" i="114"/>
  <c r="H14" i="114"/>
  <c r="G12" i="114"/>
  <c r="G24" i="114"/>
  <c r="G26" i="114"/>
  <c r="G14" i="114"/>
  <c r="G25" i="114"/>
  <c r="F24" i="114"/>
  <c r="D16" i="20"/>
  <c r="C14" i="20"/>
  <c r="M10" i="20" s="1"/>
  <c r="L10" i="20" s="1"/>
  <c r="C10" i="20"/>
  <c r="M9" i="20" s="1"/>
  <c r="L9" i="20" s="1"/>
  <c r="F14" i="114"/>
  <c r="F25" i="114"/>
  <c r="C10" i="16"/>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F91" i="10"/>
  <c r="E58" i="11"/>
  <c r="I10" i="20" l="1"/>
  <c r="E53" i="7" s="1"/>
  <c r="F11" i="20"/>
  <c r="H104" i="10"/>
  <c r="E104" i="10" s="1"/>
  <c r="E121" i="10"/>
  <c r="H99" i="11"/>
  <c r="E99" i="11" s="1"/>
  <c r="E114" i="11"/>
  <c r="N62" i="109"/>
  <c r="H30" i="8"/>
  <c r="H25" i="8"/>
  <c r="I27" i="8"/>
  <c r="I52" i="9"/>
  <c r="D22" i="7" s="1"/>
  <c r="J24" i="9"/>
  <c r="E18" i="7" s="1"/>
  <c r="F17" i="10"/>
  <c r="I16" i="10"/>
  <c r="D25" i="7" s="1"/>
  <c r="F113" i="10"/>
  <c r="I112" i="10"/>
  <c r="I111" i="10" s="1"/>
  <c r="I100" i="10"/>
  <c r="I102" i="10"/>
  <c r="F102" i="10" s="1"/>
  <c r="F108" i="10"/>
  <c r="I105" i="10"/>
  <c r="F36" i="10"/>
  <c r="I26" i="10"/>
  <c r="E33" i="10"/>
  <c r="H23" i="10"/>
  <c r="E23" i="10" s="1"/>
  <c r="F41" i="10"/>
  <c r="I40" i="10"/>
  <c r="F61" i="10"/>
  <c r="I60" i="10"/>
  <c r="G17" i="10"/>
  <c r="J16" i="10"/>
  <c r="E25" i="7" s="1"/>
  <c r="F89" i="10"/>
  <c r="G113" i="10"/>
  <c r="J112" i="10"/>
  <c r="J111" i="10" s="1"/>
  <c r="J100" i="10"/>
  <c r="G108" i="10"/>
  <c r="J105" i="10"/>
  <c r="J102" i="10"/>
  <c r="G102" i="10" s="1"/>
  <c r="G36" i="10"/>
  <c r="J26" i="10"/>
  <c r="F33" i="10"/>
  <c r="I23" i="10"/>
  <c r="F23" i="10" s="1"/>
  <c r="G41" i="10"/>
  <c r="J40" i="10"/>
  <c r="G61" i="10"/>
  <c r="J60" i="10"/>
  <c r="G89" i="10"/>
  <c r="H96" i="10"/>
  <c r="H88" i="10" s="1"/>
  <c r="C28" i="7" s="1"/>
  <c r="E97" i="10"/>
  <c r="H103" i="10"/>
  <c r="E103" i="10" s="1"/>
  <c r="E120" i="10"/>
  <c r="E32" i="10"/>
  <c r="H22" i="10"/>
  <c r="E22" i="10" s="1"/>
  <c r="H29" i="10"/>
  <c r="E69" i="10"/>
  <c r="H68" i="10"/>
  <c r="I96" i="10"/>
  <c r="F97" i="10"/>
  <c r="E82" i="10"/>
  <c r="H81" i="10"/>
  <c r="C27" i="7" s="1"/>
  <c r="F32" i="10"/>
  <c r="I22" i="10"/>
  <c r="F22" i="10" s="1"/>
  <c r="F37" i="10"/>
  <c r="I27" i="10"/>
  <c r="E51" i="10"/>
  <c r="H50" i="10"/>
  <c r="J96" i="10"/>
  <c r="G97" i="10"/>
  <c r="G32" i="10"/>
  <c r="J22" i="10"/>
  <c r="G22" i="10" s="1"/>
  <c r="G37" i="10"/>
  <c r="J27" i="10"/>
  <c r="F51" i="10"/>
  <c r="I50" i="10"/>
  <c r="F121" i="10"/>
  <c r="I104" i="10"/>
  <c r="F104" i="10" s="1"/>
  <c r="F82" i="10"/>
  <c r="I81" i="10"/>
  <c r="D27" i="7" s="1"/>
  <c r="E31" i="10"/>
  <c r="H30" i="10"/>
  <c r="H21" i="10"/>
  <c r="G51" i="10"/>
  <c r="J50" i="10"/>
  <c r="J104" i="10"/>
  <c r="G104" i="10" s="1"/>
  <c r="G121" i="10"/>
  <c r="G82" i="10"/>
  <c r="J81" i="10"/>
  <c r="E27" i="7" s="1"/>
  <c r="F31" i="10"/>
  <c r="I21" i="10"/>
  <c r="I30" i="10"/>
  <c r="H16" i="10"/>
  <c r="C25" i="7" s="1"/>
  <c r="E17" i="10"/>
  <c r="E113" i="10"/>
  <c r="H100" i="10"/>
  <c r="H112" i="10"/>
  <c r="H111" i="10" s="1"/>
  <c r="H113" i="9"/>
  <c r="H112" i="9" s="1"/>
  <c r="H102" i="10"/>
  <c r="E102" i="10" s="1"/>
  <c r="E108" i="10"/>
  <c r="H105" i="10"/>
  <c r="J89" i="9"/>
  <c r="I61" i="9"/>
  <c r="I75" i="9"/>
  <c r="I96" i="9"/>
  <c r="H31" i="9"/>
  <c r="C19" i="7" s="1"/>
  <c r="J11" i="9"/>
  <c r="J17" i="9"/>
  <c r="E17" i="7" s="1"/>
  <c r="I113" i="9"/>
  <c r="I112" i="9" s="1"/>
  <c r="E36" i="10"/>
  <c r="H26" i="10"/>
  <c r="I38" i="9"/>
  <c r="D20" i="7" s="1"/>
  <c r="H24" i="9"/>
  <c r="C18" i="7" s="1"/>
  <c r="J113" i="9"/>
  <c r="J112" i="9" s="1"/>
  <c r="J21" i="10"/>
  <c r="G31" i="10"/>
  <c r="H96" i="9"/>
  <c r="H45" i="9"/>
  <c r="C21" i="7" s="1"/>
  <c r="J12" i="9"/>
  <c r="I89" i="9"/>
  <c r="H61" i="9"/>
  <c r="J61" i="9"/>
  <c r="H75" i="9"/>
  <c r="J75" i="9"/>
  <c r="H38" i="9"/>
  <c r="C20" i="7" s="1"/>
  <c r="J25" i="8"/>
  <c r="I26" i="8"/>
  <c r="J26" i="8"/>
  <c r="I30" i="8"/>
  <c r="J66" i="8"/>
  <c r="E19" i="132"/>
  <c r="K66" i="59"/>
  <c r="H67" i="59"/>
  <c r="D47" i="57"/>
  <c r="D46" i="57" s="1"/>
  <c r="H46" i="57"/>
  <c r="H10" i="57" s="1"/>
  <c r="I50" i="57"/>
  <c r="G48" i="57"/>
  <c r="E50" i="57"/>
  <c r="I47" i="57"/>
  <c r="E24" i="47" s="1"/>
  <c r="I24" i="47" s="1"/>
  <c r="G46" i="57"/>
  <c r="E47" i="57"/>
  <c r="F41" i="114"/>
  <c r="I40" i="114"/>
  <c r="D14" i="16"/>
  <c r="E61" i="10"/>
  <c r="H60" i="10"/>
  <c r="J13" i="9"/>
  <c r="G41" i="114"/>
  <c r="J40" i="114"/>
  <c r="E12" i="16"/>
  <c r="G11" i="16"/>
  <c r="K40" i="114"/>
  <c r="K35" i="114" s="1"/>
  <c r="E45" i="7" s="1"/>
  <c r="H41" i="114"/>
  <c r="J38" i="9"/>
  <c r="E20" i="7" s="1"/>
  <c r="F22" i="114"/>
  <c r="I21" i="114"/>
  <c r="C44" i="7" s="1"/>
  <c r="I36" i="114"/>
  <c r="I35" i="114" s="1"/>
  <c r="C45" i="7" s="1"/>
  <c r="F39" i="114"/>
  <c r="D13" i="16"/>
  <c r="K21" i="114"/>
  <c r="E44" i="7" s="1"/>
  <c r="H22" i="114"/>
  <c r="G32" i="114"/>
  <c r="J31" i="114"/>
  <c r="J27" i="114" s="1"/>
  <c r="J21" i="114" s="1"/>
  <c r="D44" i="7" s="1"/>
  <c r="G11" i="114"/>
  <c r="F42" i="114"/>
  <c r="D15" i="16"/>
  <c r="J45" i="9"/>
  <c r="E21" i="7" s="1"/>
  <c r="H42" i="114"/>
  <c r="J36" i="114"/>
  <c r="J35" i="114" s="1"/>
  <c r="D45" i="7" s="1"/>
  <c r="G39" i="114"/>
  <c r="D16" i="19"/>
  <c r="E15" i="19"/>
  <c r="C49" i="7" s="1"/>
  <c r="E27" i="19"/>
  <c r="E19" i="16"/>
  <c r="G18" i="16"/>
  <c r="E18" i="16" s="1"/>
  <c r="F11" i="114"/>
  <c r="I10" i="114"/>
  <c r="C43" i="7" s="1"/>
  <c r="D19" i="16"/>
  <c r="F18" i="16"/>
  <c r="D18" i="16" s="1"/>
  <c r="H11" i="114"/>
  <c r="K10" i="114"/>
  <c r="E43" i="7" s="1"/>
  <c r="E42" i="7" s="1"/>
  <c r="E20" i="109" s="1"/>
  <c r="E20" i="65" s="1"/>
  <c r="P20" i="70" s="1"/>
  <c r="Q20" i="70" s="1"/>
  <c r="E15" i="16"/>
  <c r="G18" i="114"/>
  <c r="J16" i="114"/>
  <c r="J10" i="114" s="1"/>
  <c r="D43" i="7" s="1"/>
  <c r="D42" i="7" s="1"/>
  <c r="D20" i="109" s="1"/>
  <c r="D20" i="65" s="1"/>
  <c r="J20" i="70" s="1"/>
  <c r="K20" i="70" s="1"/>
  <c r="E19" i="109"/>
  <c r="E19" i="65" s="1"/>
  <c r="P19" i="70" s="1"/>
  <c r="Q19" i="70" s="1"/>
  <c r="E37" i="7"/>
  <c r="E18" i="109" s="1"/>
  <c r="E18" i="65" s="1"/>
  <c r="P18" i="70" s="1"/>
  <c r="Q18" i="70" s="1"/>
  <c r="J96" i="9"/>
  <c r="G42" i="114"/>
  <c r="J52" i="9"/>
  <c r="E22" i="7" s="1"/>
  <c r="E41" i="10"/>
  <c r="H40" i="10"/>
  <c r="E34" i="22"/>
  <c r="E27" i="22" s="1"/>
  <c r="E25" i="109" s="1"/>
  <c r="E25" i="65" s="1"/>
  <c r="P25" i="70" s="1"/>
  <c r="Q25" i="70" s="1"/>
  <c r="J52" i="132"/>
  <c r="C94" i="11"/>
  <c r="C93" i="11" s="1"/>
  <c r="C109" i="11"/>
  <c r="C108" i="11" s="1"/>
  <c r="C34" i="22"/>
  <c r="H52" i="132"/>
  <c r="D34" i="22"/>
  <c r="D27" i="22" s="1"/>
  <c r="D25" i="109" s="1"/>
  <c r="D25" i="65" s="1"/>
  <c r="J25" i="70" s="1"/>
  <c r="K25" i="70" s="1"/>
  <c r="I52" i="132"/>
  <c r="W40" i="25"/>
  <c r="C39" i="25"/>
  <c r="Q55" i="12"/>
  <c r="P11" i="12"/>
  <c r="N31" i="12"/>
  <c r="S34" i="12"/>
  <c r="T34" i="12" s="1"/>
  <c r="P35" i="12"/>
  <c r="N45" i="12"/>
  <c r="C11" i="13" s="1"/>
  <c r="D11" i="13" s="1"/>
  <c r="P47" i="12"/>
  <c r="N50" i="12"/>
  <c r="C12" i="13" s="1"/>
  <c r="D12" i="13" s="1"/>
  <c r="N54" i="12"/>
  <c r="C13" i="13" s="1"/>
  <c r="D13" i="13" s="1"/>
  <c r="P52" i="12"/>
  <c r="J54" i="70"/>
  <c r="K54" i="70" s="1"/>
  <c r="K55" i="65"/>
  <c r="C15" i="68"/>
  <c r="D51" i="109"/>
  <c r="D51" i="65" s="1"/>
  <c r="J50" i="70" s="1"/>
  <c r="K50" i="70" s="1"/>
  <c r="O53" i="109"/>
  <c r="D53" i="65"/>
  <c r="D10" i="128"/>
  <c r="C19" i="1"/>
  <c r="D41" i="70"/>
  <c r="E41" i="70" s="1"/>
  <c r="F43" i="70"/>
  <c r="J32" i="38"/>
  <c r="E35" i="109"/>
  <c r="K38" i="65"/>
  <c r="D37" i="70"/>
  <c r="E37" i="70" s="1"/>
  <c r="C31" i="65"/>
  <c r="K39" i="65"/>
  <c r="D38" i="70"/>
  <c r="E38" i="70" s="1"/>
  <c r="V28" i="73"/>
  <c r="W28" i="73" s="1"/>
  <c r="O54" i="22"/>
  <c r="C24" i="39"/>
  <c r="F24" i="39" s="1"/>
  <c r="F25" i="39"/>
  <c r="C25" i="40"/>
  <c r="J26" i="40"/>
  <c r="C30" i="41"/>
  <c r="U30" i="41" s="1"/>
  <c r="J32" i="40"/>
  <c r="J21" i="40"/>
  <c r="C20" i="40"/>
  <c r="C20" i="41"/>
  <c r="C15" i="41" s="1"/>
  <c r="C10" i="41" s="1"/>
  <c r="U21" i="41"/>
  <c r="F15" i="39"/>
  <c r="C10" i="39"/>
  <c r="C27" i="39"/>
  <c r="F27" i="39" s="1"/>
  <c r="F28" i="39"/>
  <c r="C28" i="40"/>
  <c r="J29" i="40"/>
  <c r="C28" i="41"/>
  <c r="C27" i="41" s="1"/>
  <c r="U29" i="41"/>
  <c r="J42" i="40"/>
  <c r="C44" i="40"/>
  <c r="J45" i="40"/>
  <c r="K162" i="34"/>
  <c r="I53" i="22"/>
  <c r="AJ34" i="25"/>
  <c r="AJ33" i="25" s="1"/>
  <c r="AJ44" i="25" s="1"/>
  <c r="X15" i="41"/>
  <c r="U20" i="41"/>
  <c r="O18" i="22"/>
  <c r="E16" i="22"/>
  <c r="C17" i="22"/>
  <c r="H22" i="132"/>
  <c r="E23" i="132"/>
  <c r="D26" i="38"/>
  <c r="K10" i="40"/>
  <c r="I22" i="132"/>
  <c r="D24" i="22"/>
  <c r="C11" i="10"/>
  <c r="G103" i="10"/>
  <c r="F103" i="10"/>
  <c r="X27" i="41"/>
  <c r="U28" i="41"/>
  <c r="C99" i="10"/>
  <c r="O57" i="22"/>
  <c r="C30" i="109"/>
  <c r="C28" i="10"/>
  <c r="F29" i="10"/>
  <c r="G29" i="10"/>
  <c r="L65" i="59"/>
  <c r="I66" i="59"/>
  <c r="F48" i="57"/>
  <c r="R44" i="41"/>
  <c r="M39" i="41"/>
  <c r="F20" i="45"/>
  <c r="F27" i="41"/>
  <c r="R28" i="41"/>
  <c r="M24" i="41"/>
  <c r="R24" i="41" s="1"/>
  <c r="R25" i="41"/>
  <c r="F15" i="41"/>
  <c r="F10" i="41" s="1"/>
  <c r="R20" i="41"/>
  <c r="R15" i="41" s="1"/>
  <c r="R10" i="41" s="1"/>
  <c r="D16" i="38"/>
  <c r="G10" i="39"/>
  <c r="AJ41" i="25"/>
  <c r="AJ39" i="25" s="1"/>
  <c r="AJ10" i="25"/>
  <c r="I27" i="22"/>
  <c r="V14" i="73"/>
  <c r="X41" i="25"/>
  <c r="X10" i="25"/>
  <c r="C35" i="22"/>
  <c r="O36" i="22"/>
  <c r="C27" i="22"/>
  <c r="E28" i="19"/>
  <c r="E29" i="19" s="1"/>
  <c r="J58" i="7"/>
  <c r="C57" i="7"/>
  <c r="E21" i="132"/>
  <c r="E47" i="10"/>
  <c r="E95" i="10"/>
  <c r="M63" i="109"/>
  <c r="K63" i="109"/>
  <c r="L63" i="109"/>
  <c r="H66" i="8" l="1"/>
  <c r="G14" i="20"/>
  <c r="C54" i="7" s="1"/>
  <c r="D15" i="20"/>
  <c r="K62" i="109"/>
  <c r="F52" i="7"/>
  <c r="K61" i="109" s="1"/>
  <c r="M62" i="109"/>
  <c r="H52" i="7"/>
  <c r="M61" i="109" s="1"/>
  <c r="H16" i="9"/>
  <c r="G10" i="20"/>
  <c r="C53" i="7" s="1"/>
  <c r="D11" i="20"/>
  <c r="L62" i="109"/>
  <c r="G52" i="7"/>
  <c r="L61" i="109" s="1"/>
  <c r="H44" i="11"/>
  <c r="E15" i="20"/>
  <c r="H14" i="20"/>
  <c r="D54" i="7" s="1"/>
  <c r="D63" i="109" s="1"/>
  <c r="D62" i="65" s="1"/>
  <c r="J61" i="70" s="1"/>
  <c r="K61" i="70" s="1"/>
  <c r="E37" i="10"/>
  <c r="H27" i="10"/>
  <c r="E11" i="20"/>
  <c r="H10" i="20"/>
  <c r="D53" i="7" s="1"/>
  <c r="F15" i="20"/>
  <c r="I14" i="20"/>
  <c r="E54" i="7" s="1"/>
  <c r="E63" i="109" s="1"/>
  <c r="E62" i="65" s="1"/>
  <c r="P61" i="70" s="1"/>
  <c r="Q61" i="70" s="1"/>
  <c r="N63" i="109"/>
  <c r="I52" i="7"/>
  <c r="N61" i="109" s="1"/>
  <c r="H63" i="8"/>
  <c r="J30" i="8"/>
  <c r="I75" i="8"/>
  <c r="I63" i="8"/>
  <c r="H68" i="8"/>
  <c r="H61" i="8"/>
  <c r="I66" i="8"/>
  <c r="I21" i="8"/>
  <c r="J62" i="8"/>
  <c r="J68" i="8"/>
  <c r="H62" i="8"/>
  <c r="J21" i="8"/>
  <c r="J53" i="8"/>
  <c r="E14" i="7" s="1"/>
  <c r="H82" i="8"/>
  <c r="J27" i="8"/>
  <c r="J32" i="8"/>
  <c r="H75" i="8"/>
  <c r="J75" i="8"/>
  <c r="I53" i="8"/>
  <c r="D14" i="7" s="1"/>
  <c r="H21" i="8"/>
  <c r="H53" i="8"/>
  <c r="C14" i="7" s="1"/>
  <c r="J14" i="7" s="1"/>
  <c r="I62" i="8"/>
  <c r="H27" i="8"/>
  <c r="J82" i="8"/>
  <c r="J61" i="8"/>
  <c r="I32" i="8"/>
  <c r="I25" i="8"/>
  <c r="I68" i="8"/>
  <c r="I61" i="8"/>
  <c r="H26" i="8"/>
  <c r="H32" i="8"/>
  <c r="I12" i="9"/>
  <c r="I31" i="9"/>
  <c r="D19" i="7" s="1"/>
  <c r="I45" i="9"/>
  <c r="D21" i="7" s="1"/>
  <c r="J21" i="7" s="1"/>
  <c r="I13" i="9"/>
  <c r="I24" i="9"/>
  <c r="D18" i="7" s="1"/>
  <c r="J18" i="7" s="1"/>
  <c r="I16" i="9"/>
  <c r="H12" i="9"/>
  <c r="H17" i="9"/>
  <c r="C17" i="7" s="1"/>
  <c r="H89" i="9"/>
  <c r="H59" i="9" s="1"/>
  <c r="C23" i="7" s="1"/>
  <c r="H13" i="9"/>
  <c r="I11" i="9"/>
  <c r="I17" i="9"/>
  <c r="D17" i="7" s="1"/>
  <c r="H52" i="9"/>
  <c r="C22" i="7" s="1"/>
  <c r="J22" i="7" s="1"/>
  <c r="H11" i="9"/>
  <c r="J31" i="9"/>
  <c r="E19" i="7" s="1"/>
  <c r="J16" i="9"/>
  <c r="J23" i="10"/>
  <c r="G23" i="10" s="1"/>
  <c r="G33" i="10"/>
  <c r="J30" i="10"/>
  <c r="C13" i="22"/>
  <c r="O13" i="22" s="1"/>
  <c r="E12" i="132"/>
  <c r="C12" i="22"/>
  <c r="E11" i="132"/>
  <c r="C14" i="22"/>
  <c r="O14" i="22" s="1"/>
  <c r="E13" i="132"/>
  <c r="H18" i="132"/>
  <c r="H14" i="132" s="1"/>
  <c r="E20" i="132"/>
  <c r="H11" i="16"/>
  <c r="H10" i="16" s="1"/>
  <c r="J57" i="7"/>
  <c r="C66" i="109"/>
  <c r="C25" i="109"/>
  <c r="O35" i="22"/>
  <c r="C26" i="109"/>
  <c r="X39" i="25"/>
  <c r="G30" i="22"/>
  <c r="AH41" i="25"/>
  <c r="W14" i="73"/>
  <c r="I25" i="109"/>
  <c r="I25" i="65" s="1"/>
  <c r="J16" i="38"/>
  <c r="D11" i="38"/>
  <c r="R27" i="41"/>
  <c r="F47" i="41"/>
  <c r="R39" i="41"/>
  <c r="M30" i="41"/>
  <c r="R30" i="41" s="1"/>
  <c r="L59" i="59"/>
  <c r="I65" i="59"/>
  <c r="C14" i="10"/>
  <c r="C20" i="10"/>
  <c r="O30" i="109"/>
  <c r="C30" i="65"/>
  <c r="E28" i="38"/>
  <c r="J28" i="38" s="1"/>
  <c r="U27" i="41"/>
  <c r="C10" i="10"/>
  <c r="D16" i="22"/>
  <c r="O24" i="22"/>
  <c r="D21" i="38"/>
  <c r="D20" i="38"/>
  <c r="O17" i="22"/>
  <c r="C16" i="22"/>
  <c r="E24" i="109"/>
  <c r="E24" i="65" s="1"/>
  <c r="P24" i="70" s="1"/>
  <c r="Q24" i="70" s="1"/>
  <c r="E10" i="22"/>
  <c r="E22" i="109" s="1"/>
  <c r="E22" i="65" s="1"/>
  <c r="P22" i="70" s="1"/>
  <c r="Q22" i="70" s="1"/>
  <c r="E26" i="38"/>
  <c r="X10" i="41"/>
  <c r="U15" i="41"/>
  <c r="V27" i="73"/>
  <c r="O53" i="22"/>
  <c r="I52" i="22"/>
  <c r="J44" i="40"/>
  <c r="C39" i="40"/>
  <c r="C27" i="40"/>
  <c r="J27" i="40" s="1"/>
  <c r="J28" i="40"/>
  <c r="F10" i="39"/>
  <c r="C15" i="40"/>
  <c r="J20" i="40"/>
  <c r="J25" i="40"/>
  <c r="C24" i="40"/>
  <c r="J24" i="40" s="1"/>
  <c r="X28" i="73"/>
  <c r="F38" i="70"/>
  <c r="D30" i="70"/>
  <c r="E30" i="70" s="1"/>
  <c r="F37" i="70"/>
  <c r="O35" i="109"/>
  <c r="E35" i="65"/>
  <c r="F41" i="70"/>
  <c r="J19" i="1"/>
  <c r="C18" i="1"/>
  <c r="K53" i="65"/>
  <c r="J52" i="70"/>
  <c r="K52" i="70" s="1"/>
  <c r="L50" i="70"/>
  <c r="L54" i="70"/>
  <c r="R52" i="12"/>
  <c r="P54" i="12"/>
  <c r="P50" i="12"/>
  <c r="R47" i="12"/>
  <c r="P45" i="12"/>
  <c r="R35" i="12"/>
  <c r="C10" i="13"/>
  <c r="N55" i="12"/>
  <c r="R11" i="12"/>
  <c r="S11" i="12" s="1"/>
  <c r="T11" i="12" s="1"/>
  <c r="T31" i="12" s="1"/>
  <c r="P31" i="12"/>
  <c r="F25" i="22"/>
  <c r="W39" i="25"/>
  <c r="L25" i="70"/>
  <c r="O34" i="22"/>
  <c r="R25" i="70"/>
  <c r="R18" i="70"/>
  <c r="R19" i="70"/>
  <c r="L20" i="70"/>
  <c r="R20" i="70"/>
  <c r="J43" i="7"/>
  <c r="C42" i="7"/>
  <c r="J49" i="7"/>
  <c r="C47" i="7"/>
  <c r="J45" i="7"/>
  <c r="J44" i="7"/>
  <c r="E11" i="16"/>
  <c r="G10" i="16"/>
  <c r="C39" i="7" s="1"/>
  <c r="I46" i="57"/>
  <c r="E46" i="57"/>
  <c r="G10" i="57"/>
  <c r="I48" i="57"/>
  <c r="E25" i="47" s="1"/>
  <c r="E23" i="47" s="1"/>
  <c r="E48" i="57"/>
  <c r="F46" i="57"/>
  <c r="D10" i="57"/>
  <c r="F10" i="57" s="1"/>
  <c r="K65" i="59"/>
  <c r="H66" i="59"/>
  <c r="J63" i="8"/>
  <c r="I23" i="8"/>
  <c r="J19" i="8"/>
  <c r="I19" i="8"/>
  <c r="I82" i="8"/>
  <c r="J18" i="8"/>
  <c r="J24" i="8"/>
  <c r="E13" i="7" s="1"/>
  <c r="J20" i="7"/>
  <c r="J59" i="9"/>
  <c r="E23" i="7" s="1"/>
  <c r="G21" i="10"/>
  <c r="J20" i="10"/>
  <c r="E26" i="7" s="1"/>
  <c r="J11" i="10"/>
  <c r="H13" i="10"/>
  <c r="E13" i="10" s="1"/>
  <c r="E26" i="10"/>
  <c r="E16" i="7"/>
  <c r="E14" i="109" s="1"/>
  <c r="E14" i="65" s="1"/>
  <c r="P14" i="70" s="1"/>
  <c r="Q14" i="70" s="1"/>
  <c r="J10" i="9"/>
  <c r="J19" i="7"/>
  <c r="I59" i="9"/>
  <c r="D23" i="7" s="1"/>
  <c r="H99" i="10"/>
  <c r="C29" i="7" s="1"/>
  <c r="E100" i="10"/>
  <c r="H11" i="10"/>
  <c r="J25" i="7"/>
  <c r="F21" i="10"/>
  <c r="I20" i="10"/>
  <c r="D26" i="7" s="1"/>
  <c r="I11" i="10"/>
  <c r="E21" i="10"/>
  <c r="J15" i="10"/>
  <c r="G15" i="10" s="1"/>
  <c r="G27" i="10"/>
  <c r="J14" i="10"/>
  <c r="G14" i="10" s="1"/>
  <c r="J88" i="10"/>
  <c r="E28" i="7" s="1"/>
  <c r="I15" i="10"/>
  <c r="F15" i="10" s="1"/>
  <c r="F27" i="10"/>
  <c r="J27" i="7"/>
  <c r="I14" i="10"/>
  <c r="F14" i="10" s="1"/>
  <c r="I88" i="10"/>
  <c r="D28" i="7" s="1"/>
  <c r="H28" i="10"/>
  <c r="E29" i="10"/>
  <c r="J28" i="7"/>
  <c r="J13" i="10"/>
  <c r="G13" i="10" s="1"/>
  <c r="G26" i="10"/>
  <c r="J99" i="10"/>
  <c r="E29" i="7" s="1"/>
  <c r="G100" i="10"/>
  <c r="E24" i="7"/>
  <c r="E15" i="109" s="1"/>
  <c r="E15" i="65" s="1"/>
  <c r="P15" i="70" s="1"/>
  <c r="Q15" i="70" s="1"/>
  <c r="F26" i="10"/>
  <c r="I13" i="10"/>
  <c r="F13" i="10" s="1"/>
  <c r="I99" i="10"/>
  <c r="D29" i="7" s="1"/>
  <c r="F100" i="10"/>
  <c r="D24" i="7"/>
  <c r="D15" i="109" s="1"/>
  <c r="D15" i="65" s="1"/>
  <c r="J15" i="70" s="1"/>
  <c r="K15" i="70" s="1"/>
  <c r="I20" i="8"/>
  <c r="H24" i="8"/>
  <c r="C13" i="7" s="1"/>
  <c r="H18" i="8"/>
  <c r="H23" i="8"/>
  <c r="E62" i="109"/>
  <c r="E61" i="65" s="1"/>
  <c r="P60" i="70" s="1"/>
  <c r="Q60" i="70" s="1"/>
  <c r="E52" i="7"/>
  <c r="E61" i="109" s="1"/>
  <c r="E60" i="65" s="1"/>
  <c r="P59" i="70" s="1"/>
  <c r="Q59" i="70" s="1"/>
  <c r="R59" i="70" l="1"/>
  <c r="R60" i="70"/>
  <c r="L15" i="70"/>
  <c r="R15" i="70"/>
  <c r="H14" i="10"/>
  <c r="E14" i="10" s="1"/>
  <c r="H20" i="10"/>
  <c r="C26" i="7" s="1"/>
  <c r="F11" i="10"/>
  <c r="I10" i="10"/>
  <c r="E11" i="10"/>
  <c r="H10" i="10"/>
  <c r="J29" i="7"/>
  <c r="R14" i="70"/>
  <c r="G11" i="10"/>
  <c r="J10" i="10"/>
  <c r="K59" i="59"/>
  <c r="D25" i="47"/>
  <c r="H65" i="59"/>
  <c r="E47" i="109"/>
  <c r="E47" i="65" s="1"/>
  <c r="P46" i="70" s="1"/>
  <c r="Q46" i="70" s="1"/>
  <c r="E10" i="47"/>
  <c r="E42" i="109" s="1"/>
  <c r="E42" i="65" s="1"/>
  <c r="P41" i="70" s="1"/>
  <c r="Q41" i="70" s="1"/>
  <c r="I10" i="57"/>
  <c r="E10" i="57"/>
  <c r="C38" i="7"/>
  <c r="J47" i="7"/>
  <c r="C21" i="109"/>
  <c r="J42" i="7"/>
  <c r="C20" i="109"/>
  <c r="D11" i="73"/>
  <c r="F16" i="22"/>
  <c r="O25" i="22"/>
  <c r="P55" i="12"/>
  <c r="R31" i="12"/>
  <c r="E10" i="13"/>
  <c r="D10" i="13"/>
  <c r="C15" i="13"/>
  <c r="S35" i="12"/>
  <c r="T35" i="12" s="1"/>
  <c r="T45" i="12" s="1"/>
  <c r="R45" i="12"/>
  <c r="S47" i="12"/>
  <c r="T47" i="12" s="1"/>
  <c r="T50" i="12" s="1"/>
  <c r="E12" i="13" s="1"/>
  <c r="R50" i="12"/>
  <c r="R54" i="12"/>
  <c r="S52" i="12"/>
  <c r="T52" i="12" s="1"/>
  <c r="T54" i="12" s="1"/>
  <c r="E13" i="13" s="1"/>
  <c r="L52" i="70"/>
  <c r="J18" i="1"/>
  <c r="C54" i="109"/>
  <c r="C10" i="1"/>
  <c r="K35" i="65"/>
  <c r="P34" i="70"/>
  <c r="Q34" i="70" s="1"/>
  <c r="F30" i="70"/>
  <c r="C10" i="40"/>
  <c r="J10" i="40" s="1"/>
  <c r="J15" i="40"/>
  <c r="J39" i="40"/>
  <c r="C30" i="40"/>
  <c r="J30" i="40" s="1"/>
  <c r="O52" i="22"/>
  <c r="I29" i="109"/>
  <c r="I10" i="22"/>
  <c r="I22" i="109" s="1"/>
  <c r="W27" i="73"/>
  <c r="V10" i="73"/>
  <c r="W10" i="73" s="1"/>
  <c r="X49" i="41"/>
  <c r="U49" i="41" s="1"/>
  <c r="U10" i="41"/>
  <c r="E21" i="38"/>
  <c r="E20" i="38"/>
  <c r="J26" i="38"/>
  <c r="R22" i="70"/>
  <c r="R24" i="70"/>
  <c r="C24" i="109"/>
  <c r="O16" i="22"/>
  <c r="D33" i="109"/>
  <c r="J20" i="38"/>
  <c r="J21" i="38"/>
  <c r="D10" i="22"/>
  <c r="D24" i="109"/>
  <c r="D24" i="65" s="1"/>
  <c r="J24" i="70" s="1"/>
  <c r="K24" i="70" s="1"/>
  <c r="K30" i="65"/>
  <c r="D29" i="70"/>
  <c r="E29" i="70" s="1"/>
  <c r="I59" i="59"/>
  <c r="L10" i="59"/>
  <c r="I10" i="59" s="1"/>
  <c r="D32" i="109"/>
  <c r="J11" i="38"/>
  <c r="X14" i="73"/>
  <c r="Z14" i="73"/>
  <c r="Y14" i="73"/>
  <c r="AH39" i="25"/>
  <c r="J13" i="73"/>
  <c r="G27" i="22"/>
  <c r="O30" i="22"/>
  <c r="O26" i="109"/>
  <c r="C26" i="65"/>
  <c r="C25" i="65"/>
  <c r="D25" i="70" s="1"/>
  <c r="E25" i="70" s="1"/>
  <c r="O66" i="109"/>
  <c r="C65" i="65"/>
  <c r="D12" i="16"/>
  <c r="F11" i="16"/>
  <c r="C15" i="22"/>
  <c r="O15" i="22" s="1"/>
  <c r="H10" i="132"/>
  <c r="O12" i="22"/>
  <c r="C11" i="22"/>
  <c r="H10" i="9"/>
  <c r="D16" i="7"/>
  <c r="D14" i="109" s="1"/>
  <c r="D14" i="65" s="1"/>
  <c r="J14" i="70" s="1"/>
  <c r="K14" i="70" s="1"/>
  <c r="I10" i="9"/>
  <c r="J23" i="7"/>
  <c r="J17" i="7"/>
  <c r="C16" i="7"/>
  <c r="H19" i="8"/>
  <c r="I60" i="8"/>
  <c r="D15" i="7" s="1"/>
  <c r="I24" i="8"/>
  <c r="D13" i="7" s="1"/>
  <c r="I18" i="8"/>
  <c r="J60" i="8"/>
  <c r="E15" i="7" s="1"/>
  <c r="E12" i="7" s="1"/>
  <c r="H20" i="8"/>
  <c r="H14" i="8"/>
  <c r="J20" i="8"/>
  <c r="J14" i="8"/>
  <c r="I14" i="8"/>
  <c r="H60" i="8"/>
  <c r="C15" i="7" s="1"/>
  <c r="J23" i="8"/>
  <c r="R61" i="70"/>
  <c r="H23" i="11"/>
  <c r="D62" i="109"/>
  <c r="D61" i="65" s="1"/>
  <c r="J60" i="70" s="1"/>
  <c r="K60" i="70" s="1"/>
  <c r="D52" i="7"/>
  <c r="D61" i="109" s="1"/>
  <c r="D60" i="65" s="1"/>
  <c r="J59" i="70" s="1"/>
  <c r="K59" i="70" s="1"/>
  <c r="H15" i="10"/>
  <c r="E15" i="10" s="1"/>
  <c r="E27" i="10"/>
  <c r="L61" i="70"/>
  <c r="C62" i="109"/>
  <c r="C52" i="7"/>
  <c r="J53" i="7"/>
  <c r="C63" i="109"/>
  <c r="J54" i="7"/>
  <c r="C62" i="65" l="1"/>
  <c r="O63" i="109"/>
  <c r="C61" i="109"/>
  <c r="J52" i="7"/>
  <c r="C61" i="65"/>
  <c r="O62" i="109"/>
  <c r="L59" i="70"/>
  <c r="L60" i="70"/>
  <c r="H16" i="11"/>
  <c r="H16" i="8" s="1"/>
  <c r="J15" i="7"/>
  <c r="C12" i="7"/>
  <c r="J17" i="8"/>
  <c r="G13" i="13"/>
  <c r="I13" i="13" s="1"/>
  <c r="E13" i="109"/>
  <c r="E13" i="65" s="1"/>
  <c r="P13" i="70" s="1"/>
  <c r="Q13" i="70" s="1"/>
  <c r="I17" i="8"/>
  <c r="D12" i="7"/>
  <c r="J13" i="7"/>
  <c r="H17" i="8"/>
  <c r="C14" i="109"/>
  <c r="J16" i="7"/>
  <c r="L14" i="70"/>
  <c r="C23" i="109"/>
  <c r="O11" i="22"/>
  <c r="C10" i="22"/>
  <c r="D11" i="16"/>
  <c r="F10" i="16"/>
  <c r="D39" i="7" s="1"/>
  <c r="K65" i="65"/>
  <c r="D64" i="70"/>
  <c r="C64" i="70" s="1"/>
  <c r="E64" i="70" s="1"/>
  <c r="F25" i="70"/>
  <c r="D26" i="70"/>
  <c r="E26" i="70" s="1"/>
  <c r="K26" i="65"/>
  <c r="G10" i="22"/>
  <c r="G22" i="109" s="1"/>
  <c r="G25" i="109"/>
  <c r="O27" i="22"/>
  <c r="K13" i="73"/>
  <c r="J10" i="73"/>
  <c r="K10" i="73" s="1"/>
  <c r="O32" i="109"/>
  <c r="D32" i="65"/>
  <c r="F29" i="70"/>
  <c r="L24" i="70"/>
  <c r="C12" i="68"/>
  <c r="D22" i="109"/>
  <c r="D22" i="65" s="1"/>
  <c r="J22" i="70" s="1"/>
  <c r="K22" i="70" s="1"/>
  <c r="D33" i="65"/>
  <c r="C24" i="65"/>
  <c r="D24" i="70" s="1"/>
  <c r="E24" i="70" s="1"/>
  <c r="E33" i="109"/>
  <c r="X10" i="73"/>
  <c r="X27" i="73"/>
  <c r="I22" i="65"/>
  <c r="I10" i="109"/>
  <c r="I10" i="65" s="1"/>
  <c r="O29" i="109"/>
  <c r="I29" i="65"/>
  <c r="K29" i="65" s="1"/>
  <c r="R34" i="70"/>
  <c r="J10" i="1"/>
  <c r="C51" i="109"/>
  <c r="O54" i="109"/>
  <c r="C54" i="65"/>
  <c r="E11" i="13"/>
  <c r="E15" i="13" s="1"/>
  <c r="T55" i="12"/>
  <c r="D15" i="13"/>
  <c r="R55" i="12"/>
  <c r="F24" i="109"/>
  <c r="F10" i="22"/>
  <c r="F22" i="109" s="1"/>
  <c r="E11" i="73"/>
  <c r="D10" i="73"/>
  <c r="E10" i="73" s="1"/>
  <c r="O20" i="109"/>
  <c r="C20" i="65"/>
  <c r="O21" i="109"/>
  <c r="C21" i="65"/>
  <c r="C19" i="109"/>
  <c r="C37" i="7"/>
  <c r="R41" i="70"/>
  <c r="R46" i="70"/>
  <c r="D23" i="47"/>
  <c r="I25" i="47"/>
  <c r="H59" i="59"/>
  <c r="K10" i="59"/>
  <c r="H10" i="59" s="1"/>
  <c r="J26" i="7"/>
  <c r="C24" i="7"/>
  <c r="C15" i="109" l="1"/>
  <c r="J24" i="7"/>
  <c r="D47" i="109"/>
  <c r="I23" i="47"/>
  <c r="D10" i="47"/>
  <c r="C18" i="109"/>
  <c r="C19" i="65"/>
  <c r="D21" i="70"/>
  <c r="E21" i="70" s="1"/>
  <c r="K21" i="65"/>
  <c r="D20" i="70"/>
  <c r="E20" i="70" s="1"/>
  <c r="K20" i="65"/>
  <c r="F10" i="73"/>
  <c r="F11" i="73"/>
  <c r="H11" i="73"/>
  <c r="G11" i="73"/>
  <c r="F10" i="109"/>
  <c r="F10" i="65" s="1"/>
  <c r="F22" i="65"/>
  <c r="F24" i="65"/>
  <c r="K24" i="65" s="1"/>
  <c r="O24" i="109"/>
  <c r="K54" i="65"/>
  <c r="D53" i="70"/>
  <c r="E53" i="70" s="1"/>
  <c r="O51" i="109"/>
  <c r="C51" i="65"/>
  <c r="E33" i="65"/>
  <c r="P32" i="70" s="1"/>
  <c r="Q32" i="70" s="1"/>
  <c r="O33" i="109"/>
  <c r="F24" i="70"/>
  <c r="J32" i="70"/>
  <c r="K32" i="70" s="1"/>
  <c r="K33" i="65"/>
  <c r="L22" i="70"/>
  <c r="J31" i="70"/>
  <c r="K31" i="70" s="1"/>
  <c r="K32" i="65"/>
  <c r="L10" i="73"/>
  <c r="L13" i="73"/>
  <c r="G25" i="65"/>
  <c r="K25" i="65" s="1"/>
  <c r="O25" i="109"/>
  <c r="G10" i="109"/>
  <c r="G10" i="65" s="1"/>
  <c r="G22" i="65"/>
  <c r="F26" i="70"/>
  <c r="F64" i="70"/>
  <c r="H64" i="70"/>
  <c r="G64" i="70"/>
  <c r="D38" i="7"/>
  <c r="J39" i="7"/>
  <c r="C22" i="109"/>
  <c r="O10" i="22"/>
  <c r="O23" i="109"/>
  <c r="C23" i="65"/>
  <c r="C14" i="65"/>
  <c r="O14" i="109"/>
  <c r="D13" i="109"/>
  <c r="D13" i="65" s="1"/>
  <c r="J13" i="70" s="1"/>
  <c r="K13" i="70" s="1"/>
  <c r="R13" i="70"/>
  <c r="C13" i="109"/>
  <c r="J12" i="7"/>
  <c r="C56" i="7"/>
  <c r="D60" i="70"/>
  <c r="E60" i="70" s="1"/>
  <c r="K61" i="65"/>
  <c r="C60" i="65"/>
  <c r="O61" i="109"/>
  <c r="D61" i="70"/>
  <c r="E61" i="70" s="1"/>
  <c r="K62" i="65"/>
  <c r="F61" i="70" l="1"/>
  <c r="D59" i="70"/>
  <c r="E59" i="70" s="1"/>
  <c r="K60" i="65"/>
  <c r="F60" i="70"/>
  <c r="J56" i="7"/>
  <c r="C65" i="109"/>
  <c r="O13" i="109"/>
  <c r="C13" i="65"/>
  <c r="L13" i="70"/>
  <c r="D14" i="70"/>
  <c r="E14" i="70" s="1"/>
  <c r="K14" i="65"/>
  <c r="D23" i="70"/>
  <c r="E23" i="70" s="1"/>
  <c r="K23" i="65"/>
  <c r="C22" i="65"/>
  <c r="O22" i="109"/>
  <c r="D37" i="7"/>
  <c r="D19" i="109"/>
  <c r="J38" i="7"/>
  <c r="L31" i="70"/>
  <c r="L32" i="70"/>
  <c r="R32" i="70"/>
  <c r="D50" i="70"/>
  <c r="E50" i="70" s="1"/>
  <c r="K51" i="65"/>
  <c r="F53" i="70"/>
  <c r="F20" i="70"/>
  <c r="F21" i="70"/>
  <c r="H21" i="70"/>
  <c r="G21" i="70"/>
  <c r="D19" i="70"/>
  <c r="E19" i="70" s="1"/>
  <c r="C18" i="65"/>
  <c r="D42" i="109"/>
  <c r="C14" i="68"/>
  <c r="I10" i="47"/>
  <c r="D47" i="65"/>
  <c r="O47" i="109"/>
  <c r="C15" i="65"/>
  <c r="O15" i="109"/>
  <c r="D15" i="70" l="1"/>
  <c r="E15" i="70" s="1"/>
  <c r="K15" i="65"/>
  <c r="J46" i="70"/>
  <c r="K46" i="70" s="1"/>
  <c r="K47" i="65"/>
  <c r="D42" i="65"/>
  <c r="O42" i="109"/>
  <c r="D18" i="70"/>
  <c r="E18" i="70" s="1"/>
  <c r="F19" i="70"/>
  <c r="F50" i="70"/>
  <c r="D19" i="65"/>
  <c r="O19" i="109"/>
  <c r="D18" i="109"/>
  <c r="J37" i="7"/>
  <c r="D22" i="70"/>
  <c r="E22" i="70" s="1"/>
  <c r="K22" i="65"/>
  <c r="F23" i="70"/>
  <c r="F14" i="70"/>
  <c r="D13" i="70"/>
  <c r="E13" i="70" s="1"/>
  <c r="K13" i="65"/>
  <c r="O65" i="109"/>
  <c r="C64" i="65"/>
  <c r="F59" i="70"/>
  <c r="D63" i="70" l="1"/>
  <c r="E63" i="70" s="1"/>
  <c r="K64" i="65"/>
  <c r="F13" i="70"/>
  <c r="F22" i="70"/>
  <c r="D18" i="65"/>
  <c r="O18" i="109"/>
  <c r="J19" i="70"/>
  <c r="K19" i="70" s="1"/>
  <c r="K19" i="65"/>
  <c r="F18" i="70"/>
  <c r="J41" i="70"/>
  <c r="K41" i="70" s="1"/>
  <c r="K42" i="65"/>
  <c r="L46" i="70"/>
  <c r="F15" i="70"/>
  <c r="G16" i="45"/>
  <c r="G17" i="45"/>
  <c r="H12" i="45"/>
  <c r="G12" i="45"/>
  <c r="G19" i="45"/>
  <c r="H29" i="45"/>
  <c r="G13" i="45"/>
  <c r="H26" i="45"/>
  <c r="H19" i="45"/>
  <c r="H17" i="45"/>
  <c r="H18" i="45"/>
  <c r="H16" i="45"/>
  <c r="G18" i="45"/>
  <c r="G26" i="45"/>
  <c r="G29" i="45"/>
  <c r="H13" i="45"/>
  <c r="G10" i="42" l="1"/>
  <c r="D31" i="38"/>
  <c r="F11" i="42"/>
  <c r="G11" i="45"/>
  <c r="J21" i="45"/>
  <c r="H22" i="45"/>
  <c r="J27" i="45"/>
  <c r="H27" i="45" s="1"/>
  <c r="H28" i="45"/>
  <c r="I21" i="45"/>
  <c r="G22" i="45"/>
  <c r="H11" i="45"/>
  <c r="I27" i="45"/>
  <c r="G27" i="45" s="1"/>
  <c r="G28" i="45"/>
  <c r="I14" i="45"/>
  <c r="G15" i="45"/>
  <c r="J14" i="45"/>
  <c r="H15" i="45"/>
  <c r="L41" i="70"/>
  <c r="L19" i="70"/>
  <c r="J18" i="70"/>
  <c r="K18" i="70" s="1"/>
  <c r="K18" i="65"/>
  <c r="F63" i="70"/>
  <c r="C41" i="11"/>
  <c r="E78" i="8" l="1"/>
  <c r="F78" i="8"/>
  <c r="G78" i="8"/>
  <c r="E56" i="8"/>
  <c r="G56" i="8"/>
  <c r="F56" i="8"/>
  <c r="C66" i="8"/>
  <c r="G88" i="8"/>
  <c r="E88" i="8"/>
  <c r="F88" i="8"/>
  <c r="C25" i="8"/>
  <c r="E33" i="8"/>
  <c r="G33" i="8"/>
  <c r="F33" i="8"/>
  <c r="C62" i="8"/>
  <c r="F70" i="8"/>
  <c r="G70" i="8"/>
  <c r="E70" i="8"/>
  <c r="F83" i="8"/>
  <c r="E83" i="8"/>
  <c r="G83" i="8"/>
  <c r="C21" i="8"/>
  <c r="F57" i="8"/>
  <c r="G57" i="8"/>
  <c r="E57" i="8"/>
  <c r="C61" i="8"/>
  <c r="C68" i="8"/>
  <c r="G69" i="8"/>
  <c r="E69" i="8"/>
  <c r="F69" i="8"/>
  <c r="C30" i="8"/>
  <c r="E38" i="8"/>
  <c r="F38" i="8"/>
  <c r="G38" i="8"/>
  <c r="G77" i="8"/>
  <c r="E77" i="8"/>
  <c r="F77" i="8"/>
  <c r="C26" i="8"/>
  <c r="F34" i="8"/>
  <c r="G34" i="8"/>
  <c r="E34" i="8"/>
  <c r="E84" i="8"/>
  <c r="F84" i="8"/>
  <c r="G84" i="8"/>
  <c r="C53" i="8"/>
  <c r="E54" i="8"/>
  <c r="G54" i="8"/>
  <c r="F54" i="8"/>
  <c r="C75" i="8"/>
  <c r="G76" i="8"/>
  <c r="F76" i="8"/>
  <c r="E76" i="8"/>
  <c r="G71" i="8"/>
  <c r="E71" i="8"/>
  <c r="F71" i="8"/>
  <c r="L18" i="70"/>
  <c r="H14" i="45"/>
  <c r="J10" i="45"/>
  <c r="G14" i="45"/>
  <c r="I10" i="45"/>
  <c r="I20" i="45"/>
  <c r="G20" i="45" s="1"/>
  <c r="G21" i="45"/>
  <c r="J20" i="45"/>
  <c r="H20" i="45" s="1"/>
  <c r="H21" i="45"/>
  <c r="D34" i="109"/>
  <c r="J31" i="38"/>
  <c r="C19" i="11"/>
  <c r="C20" i="11"/>
  <c r="C62" i="11"/>
  <c r="C40" i="11"/>
  <c r="G58" i="11"/>
  <c r="F58" i="11"/>
  <c r="I19" i="11" l="1"/>
  <c r="F27" i="11"/>
  <c r="G67" i="11"/>
  <c r="J66" i="11"/>
  <c r="J60" i="11"/>
  <c r="E47" i="11"/>
  <c r="H39" i="11"/>
  <c r="H46" i="11"/>
  <c r="J94" i="11"/>
  <c r="G110" i="11"/>
  <c r="J109" i="11"/>
  <c r="J108" i="11" s="1"/>
  <c r="E36" i="7" s="1"/>
  <c r="E34" i="7" s="1"/>
  <c r="E17" i="109" s="1"/>
  <c r="E17" i="65" s="1"/>
  <c r="P17" i="70" s="1"/>
  <c r="Q17" i="70" s="1"/>
  <c r="I39" i="11"/>
  <c r="F47" i="11"/>
  <c r="I46" i="11"/>
  <c r="J18" i="11"/>
  <c r="J25" i="11"/>
  <c r="G26" i="11"/>
  <c r="H62" i="11"/>
  <c r="E62" i="11" s="1"/>
  <c r="E69" i="11"/>
  <c r="F52" i="11"/>
  <c r="I44" i="11"/>
  <c r="I40" i="11"/>
  <c r="F40" i="11" s="1"/>
  <c r="F48" i="11"/>
  <c r="I41" i="11"/>
  <c r="F41" i="11" s="1"/>
  <c r="F49" i="11"/>
  <c r="H94" i="11"/>
  <c r="E110" i="11"/>
  <c r="H109" i="11"/>
  <c r="H108" i="11" s="1"/>
  <c r="C36" i="7" s="1"/>
  <c r="I53" i="11"/>
  <c r="F54" i="11"/>
  <c r="H25" i="11"/>
  <c r="H18" i="11"/>
  <c r="E26" i="11"/>
  <c r="J44" i="11"/>
  <c r="G52" i="11"/>
  <c r="I109" i="11"/>
  <c r="I108" i="11" s="1"/>
  <c r="D36" i="7" s="1"/>
  <c r="D34" i="7" s="1"/>
  <c r="D17" i="109" s="1"/>
  <c r="D17" i="65" s="1"/>
  <c r="J17" i="70" s="1"/>
  <c r="K17" i="70" s="1"/>
  <c r="F110" i="11"/>
  <c r="I94" i="11"/>
  <c r="I25" i="11"/>
  <c r="F26" i="11"/>
  <c r="I18" i="11"/>
  <c r="H20" i="11"/>
  <c r="E28" i="11"/>
  <c r="J40" i="11"/>
  <c r="G40" i="11" s="1"/>
  <c r="G48" i="11"/>
  <c r="H41" i="11"/>
  <c r="E41" i="11" s="1"/>
  <c r="E49" i="11"/>
  <c r="H19" i="11"/>
  <c r="E27" i="11"/>
  <c r="E54" i="11"/>
  <c r="H53" i="11"/>
  <c r="J19" i="11"/>
  <c r="G27" i="11"/>
  <c r="J41" i="11"/>
  <c r="G41" i="11" s="1"/>
  <c r="G49" i="11"/>
  <c r="J39" i="11"/>
  <c r="G47" i="11"/>
  <c r="J46" i="11"/>
  <c r="G114" i="11"/>
  <c r="J99" i="11"/>
  <c r="G99" i="11" s="1"/>
  <c r="G54" i="11"/>
  <c r="J53" i="11"/>
  <c r="H66" i="11"/>
  <c r="H60" i="11"/>
  <c r="E67" i="11"/>
  <c r="I23" i="11"/>
  <c r="F31" i="11"/>
  <c r="H40" i="11"/>
  <c r="E40" i="11" s="1"/>
  <c r="E48" i="11"/>
  <c r="J62" i="11"/>
  <c r="G62" i="11" s="1"/>
  <c r="G69" i="11"/>
  <c r="F114" i="11"/>
  <c r="I99" i="11"/>
  <c r="F99" i="11" s="1"/>
  <c r="G31" i="11"/>
  <c r="J23" i="11"/>
  <c r="F67" i="11"/>
  <c r="I66" i="11"/>
  <c r="I60" i="11"/>
  <c r="J20" i="11"/>
  <c r="G28" i="11"/>
  <c r="I20" i="11"/>
  <c r="F28" i="11"/>
  <c r="I62" i="11"/>
  <c r="F62" i="11" s="1"/>
  <c r="F69" i="11"/>
  <c r="C39" i="11"/>
  <c r="C46" i="11"/>
  <c r="C60" i="11"/>
  <c r="C59" i="11" s="1"/>
  <c r="C66" i="11"/>
  <c r="C44" i="11"/>
  <c r="E44" i="11" s="1"/>
  <c r="E52" i="11"/>
  <c r="C18" i="11"/>
  <c r="C25" i="11"/>
  <c r="C23" i="11"/>
  <c r="E31" i="11"/>
  <c r="C13" i="11"/>
  <c r="C12" i="11"/>
  <c r="O34" i="109"/>
  <c r="D34" i="65"/>
  <c r="D43" i="38"/>
  <c r="G10" i="45"/>
  <c r="E43" i="38"/>
  <c r="H10" i="45"/>
  <c r="E85" i="8"/>
  <c r="G85" i="8"/>
  <c r="F85" i="8"/>
  <c r="C82" i="8"/>
  <c r="C63" i="8"/>
  <c r="C27" i="8"/>
  <c r="F35" i="8"/>
  <c r="G35" i="8"/>
  <c r="E35" i="8"/>
  <c r="C32" i="8"/>
  <c r="C19" i="8"/>
  <c r="G26" i="8"/>
  <c r="F26" i="8"/>
  <c r="E26" i="8"/>
  <c r="C23" i="8"/>
  <c r="F30" i="8"/>
  <c r="E30" i="8"/>
  <c r="G30" i="8"/>
  <c r="C60" i="8"/>
  <c r="F61" i="8"/>
  <c r="G61" i="8"/>
  <c r="E61" i="8"/>
  <c r="C14" i="8"/>
  <c r="E21" i="8"/>
  <c r="G21" i="8"/>
  <c r="F21" i="8"/>
  <c r="F62" i="8"/>
  <c r="E62" i="8"/>
  <c r="G62" i="8"/>
  <c r="C18" i="8"/>
  <c r="C24" i="8"/>
  <c r="G25" i="8"/>
  <c r="E25" i="8"/>
  <c r="F25" i="8"/>
  <c r="G66" i="8"/>
  <c r="F66" i="8"/>
  <c r="E66" i="8"/>
  <c r="H20" i="47"/>
  <c r="M46" i="109" s="1"/>
  <c r="F20" i="47"/>
  <c r="K46" i="109" s="1"/>
  <c r="G17" i="47"/>
  <c r="L45" i="109" s="1"/>
  <c r="G20" i="47"/>
  <c r="L46" i="109" s="1"/>
  <c r="H14" i="47"/>
  <c r="M44" i="109" s="1"/>
  <c r="M16" i="22"/>
  <c r="F14" i="47"/>
  <c r="K44" i="109" s="1"/>
  <c r="F34" i="7"/>
  <c r="K17" i="109" s="1"/>
  <c r="G34" i="7"/>
  <c r="L17" i="109" s="1"/>
  <c r="H23" i="47"/>
  <c r="M47" i="109" s="1"/>
  <c r="H42" i="7"/>
  <c r="F30" i="7"/>
  <c r="K16" i="109" s="1"/>
  <c r="F12" i="7"/>
  <c r="H11" i="1"/>
  <c r="G30" i="7"/>
  <c r="L16" i="109" s="1"/>
  <c r="F23" i="47"/>
  <c r="K47" i="109" s="1"/>
  <c r="G14" i="47"/>
  <c r="L44" i="109" s="1"/>
  <c r="K27" i="22"/>
  <c r="I24" i="7"/>
  <c r="N15" i="109" s="1"/>
  <c r="I30" i="7"/>
  <c r="N16" i="109" s="1"/>
  <c r="I34" i="7"/>
  <c r="N17" i="109" s="1"/>
  <c r="G23" i="47"/>
  <c r="L47" i="109" s="1"/>
  <c r="M57" i="22"/>
  <c r="M30" i="109" s="1"/>
  <c r="L27" i="22"/>
  <c r="H24" i="7"/>
  <c r="M15" i="109" s="1"/>
  <c r="H30" i="7"/>
  <c r="M16" i="109" s="1"/>
  <c r="H34" i="7"/>
  <c r="M17" i="109" s="1"/>
  <c r="H12" i="7" l="1"/>
  <c r="L10" i="22"/>
  <c r="L25" i="109"/>
  <c r="I12" i="7"/>
  <c r="K10" i="22"/>
  <c r="K25" i="109"/>
  <c r="F42" i="7"/>
  <c r="H11" i="47"/>
  <c r="M52" i="109"/>
  <c r="K13" i="109"/>
  <c r="H37" i="7"/>
  <c r="M18" i="109" s="1"/>
  <c r="M20" i="109"/>
  <c r="G12" i="7"/>
  <c r="G24" i="7"/>
  <c r="L15" i="109" s="1"/>
  <c r="M35" i="22"/>
  <c r="M26" i="109" s="1"/>
  <c r="F24" i="7"/>
  <c r="K15" i="109" s="1"/>
  <c r="H21" i="1"/>
  <c r="G10" i="38"/>
  <c r="L37" i="109"/>
  <c r="F16" i="7"/>
  <c r="M24" i="109"/>
  <c r="N27" i="22"/>
  <c r="F17" i="47"/>
  <c r="K45" i="109" s="1"/>
  <c r="G16" i="7"/>
  <c r="L14" i="109" s="1"/>
  <c r="F10" i="38"/>
  <c r="K37" i="109"/>
  <c r="H16" i="7"/>
  <c r="M14" i="109" s="1"/>
  <c r="G11" i="47"/>
  <c r="H17" i="47"/>
  <c r="M45" i="109" s="1"/>
  <c r="M27" i="22"/>
  <c r="H10" i="38"/>
  <c r="M37" i="109"/>
  <c r="I16" i="7"/>
  <c r="N14" i="109" s="1"/>
  <c r="G42" i="7"/>
  <c r="F11" i="47"/>
  <c r="E18" i="8"/>
  <c r="G18" i="8"/>
  <c r="F18" i="8"/>
  <c r="F13" i="13"/>
  <c r="H13" i="13" s="1"/>
  <c r="F14" i="8"/>
  <c r="G14" i="8"/>
  <c r="E14" i="8"/>
  <c r="E23" i="8"/>
  <c r="F23" i="8"/>
  <c r="G23" i="8"/>
  <c r="F19" i="8"/>
  <c r="G19" i="8"/>
  <c r="E19" i="8"/>
  <c r="C20" i="8"/>
  <c r="F27" i="8"/>
  <c r="E27" i="8"/>
  <c r="G27" i="8"/>
  <c r="G63" i="8"/>
  <c r="F63" i="8"/>
  <c r="E63" i="8"/>
  <c r="E37" i="109"/>
  <c r="E37" i="65" s="1"/>
  <c r="P36" i="70" s="1"/>
  <c r="Q36" i="70" s="1"/>
  <c r="E10" i="38"/>
  <c r="E31" i="109" s="1"/>
  <c r="E31" i="65" s="1"/>
  <c r="P30" i="70" s="1"/>
  <c r="Q30" i="70" s="1"/>
  <c r="D37" i="109"/>
  <c r="J43" i="38"/>
  <c r="D10" i="38"/>
  <c r="J33" i="70"/>
  <c r="K33" i="70" s="1"/>
  <c r="K34" i="65"/>
  <c r="C16" i="11"/>
  <c r="E16" i="11" s="1"/>
  <c r="E23" i="11"/>
  <c r="C11" i="11"/>
  <c r="C10" i="11" s="1"/>
  <c r="C17" i="11"/>
  <c r="C38" i="11"/>
  <c r="F20" i="11"/>
  <c r="I13" i="11"/>
  <c r="J13" i="11"/>
  <c r="G20" i="11"/>
  <c r="F60" i="11"/>
  <c r="I59" i="11"/>
  <c r="D33" i="7" s="1"/>
  <c r="J16" i="11"/>
  <c r="G23" i="11"/>
  <c r="F23" i="11"/>
  <c r="I16" i="11"/>
  <c r="H59" i="11"/>
  <c r="C33" i="7" s="1"/>
  <c r="E60" i="11"/>
  <c r="J38" i="11"/>
  <c r="E32" i="7" s="1"/>
  <c r="G39" i="11"/>
  <c r="J12" i="11"/>
  <c r="G19" i="11"/>
  <c r="H12" i="11"/>
  <c r="E19" i="11"/>
  <c r="E20" i="11"/>
  <c r="H13" i="11"/>
  <c r="I11" i="11"/>
  <c r="F18" i="11"/>
  <c r="I17" i="11"/>
  <c r="D31" i="7" s="1"/>
  <c r="F94" i="11"/>
  <c r="I93" i="11"/>
  <c r="L17" i="70"/>
  <c r="G44" i="11"/>
  <c r="H17" i="11"/>
  <c r="C31" i="7" s="1"/>
  <c r="H11" i="11"/>
  <c r="E18" i="11"/>
  <c r="J36" i="7"/>
  <c r="C34" i="7"/>
  <c r="E94" i="11"/>
  <c r="H93" i="11"/>
  <c r="F44" i="11"/>
  <c r="G18" i="11"/>
  <c r="J11" i="11"/>
  <c r="J17" i="11"/>
  <c r="E31" i="7" s="1"/>
  <c r="F39" i="11"/>
  <c r="I38" i="11"/>
  <c r="D32" i="7" s="1"/>
  <c r="R17" i="70"/>
  <c r="G94" i="11"/>
  <c r="J93" i="11"/>
  <c r="H38" i="11"/>
  <c r="C32" i="7" s="1"/>
  <c r="J32" i="7" s="1"/>
  <c r="E39" i="11"/>
  <c r="G60" i="11"/>
  <c r="J59" i="11"/>
  <c r="E33" i="7" s="1"/>
  <c r="F19" i="11"/>
  <c r="I12" i="11"/>
  <c r="E33" i="9" l="1"/>
  <c r="G33" i="9"/>
  <c r="F33" i="9"/>
  <c r="E48" i="9"/>
  <c r="G48" i="9"/>
  <c r="F48" i="9"/>
  <c r="F34" i="9"/>
  <c r="G34" i="9"/>
  <c r="E34" i="9"/>
  <c r="C12" i="9"/>
  <c r="F19" i="9"/>
  <c r="G19" i="9"/>
  <c r="E19" i="9"/>
  <c r="F54" i="9"/>
  <c r="G54" i="9"/>
  <c r="E54" i="9"/>
  <c r="C17" i="9"/>
  <c r="C11" i="9"/>
  <c r="G18" i="9"/>
  <c r="E18" i="9"/>
  <c r="F18" i="9"/>
  <c r="E115" i="9"/>
  <c r="F115" i="9"/>
  <c r="G115" i="9"/>
  <c r="E47" i="9"/>
  <c r="G47" i="9"/>
  <c r="F47" i="9"/>
  <c r="C89" i="9"/>
  <c r="G90" i="9"/>
  <c r="E90" i="9"/>
  <c r="F90" i="9"/>
  <c r="G51" i="9"/>
  <c r="E51" i="9"/>
  <c r="F51" i="9"/>
  <c r="C52" i="9"/>
  <c r="F53" i="9"/>
  <c r="G53" i="9"/>
  <c r="E53" i="9"/>
  <c r="C45" i="9"/>
  <c r="E46" i="9"/>
  <c r="G46" i="9"/>
  <c r="F46" i="9"/>
  <c r="E98" i="9"/>
  <c r="G98" i="9"/>
  <c r="F98" i="9"/>
  <c r="C16" i="9"/>
  <c r="G23" i="9"/>
  <c r="E23" i="9"/>
  <c r="F23" i="9"/>
  <c r="E44" i="9"/>
  <c r="F44" i="9"/>
  <c r="G44" i="9"/>
  <c r="C61" i="9"/>
  <c r="F62" i="9"/>
  <c r="E62" i="9"/>
  <c r="G62" i="9"/>
  <c r="F58" i="9"/>
  <c r="G58" i="9"/>
  <c r="E58" i="9"/>
  <c r="G81" i="9"/>
  <c r="F81" i="9"/>
  <c r="E81" i="9"/>
  <c r="G30" i="9"/>
  <c r="E30" i="9"/>
  <c r="F30" i="9"/>
  <c r="C31" i="9"/>
  <c r="E32" i="9"/>
  <c r="G32" i="9"/>
  <c r="F32" i="9"/>
  <c r="E63" i="9"/>
  <c r="G63" i="9"/>
  <c r="F63" i="9"/>
  <c r="G116" i="9"/>
  <c r="E116" i="9"/>
  <c r="F116" i="9"/>
  <c r="G26" i="9"/>
  <c r="E26" i="9"/>
  <c r="F26" i="9"/>
  <c r="C13" i="9"/>
  <c r="E20" i="9"/>
  <c r="G20" i="9"/>
  <c r="F20" i="9"/>
  <c r="E99" i="9"/>
  <c r="G99" i="9"/>
  <c r="F99" i="9"/>
  <c r="G119" i="9"/>
  <c r="F119" i="9"/>
  <c r="E119" i="9"/>
  <c r="F92" i="9"/>
  <c r="G92" i="9"/>
  <c r="E92" i="9"/>
  <c r="C24" i="9"/>
  <c r="G25" i="9"/>
  <c r="E25" i="9"/>
  <c r="F25" i="9"/>
  <c r="E55" i="9"/>
  <c r="F55" i="9"/>
  <c r="G55" i="9"/>
  <c r="E78" i="9"/>
  <c r="G78" i="9"/>
  <c r="F78" i="9"/>
  <c r="C113" i="9"/>
  <c r="C112" i="9" s="1"/>
  <c r="E114" i="9"/>
  <c r="F114" i="9"/>
  <c r="G114" i="9"/>
  <c r="C96" i="9"/>
  <c r="F97" i="9"/>
  <c r="E97" i="9"/>
  <c r="G97" i="9"/>
  <c r="F37" i="9"/>
  <c r="E37" i="9"/>
  <c r="G37" i="9"/>
  <c r="G64" i="9"/>
  <c r="F64" i="9"/>
  <c r="E64" i="9"/>
  <c r="C38" i="9"/>
  <c r="F39" i="9"/>
  <c r="E39" i="9"/>
  <c r="G39" i="9"/>
  <c r="E40" i="9"/>
  <c r="G40" i="9"/>
  <c r="F40" i="9"/>
  <c r="C75" i="9"/>
  <c r="F76" i="9"/>
  <c r="E76" i="9"/>
  <c r="G76" i="9"/>
  <c r="E77" i="9"/>
  <c r="G77" i="9"/>
  <c r="F77" i="9"/>
  <c r="G67" i="9"/>
  <c r="F67" i="9"/>
  <c r="E67" i="9"/>
  <c r="E41" i="9"/>
  <c r="G41" i="9"/>
  <c r="F41" i="9"/>
  <c r="E95" i="9"/>
  <c r="G95" i="9"/>
  <c r="F95" i="9"/>
  <c r="E27" i="9"/>
  <c r="G27" i="9"/>
  <c r="F27" i="9"/>
  <c r="F12" i="11"/>
  <c r="I12" i="8"/>
  <c r="E30" i="7"/>
  <c r="G11" i="11"/>
  <c r="J10" i="11"/>
  <c r="J11" i="8"/>
  <c r="J34" i="7"/>
  <c r="C17" i="109"/>
  <c r="E11" i="11"/>
  <c r="H10" i="11"/>
  <c r="H11" i="8"/>
  <c r="J31" i="7"/>
  <c r="C30" i="7"/>
  <c r="D30" i="7"/>
  <c r="I10" i="11"/>
  <c r="F11" i="11"/>
  <c r="I11" i="8"/>
  <c r="E13" i="11"/>
  <c r="H13" i="8"/>
  <c r="E12" i="11"/>
  <c r="H12" i="8"/>
  <c r="G12" i="11"/>
  <c r="J12" i="8"/>
  <c r="J33" i="7"/>
  <c r="F16" i="11"/>
  <c r="I16" i="8"/>
  <c r="G16" i="11"/>
  <c r="J16" i="8"/>
  <c r="G13" i="11"/>
  <c r="J13" i="8"/>
  <c r="F13" i="11"/>
  <c r="I13" i="8"/>
  <c r="L33" i="70"/>
  <c r="D31" i="109"/>
  <c r="C13" i="68"/>
  <c r="J10" i="38"/>
  <c r="O37" i="109"/>
  <c r="D37" i="65"/>
  <c r="R30" i="70"/>
  <c r="R36" i="70"/>
  <c r="C13" i="8"/>
  <c r="F12" i="13" s="1"/>
  <c r="H12" i="13" s="1"/>
  <c r="F20" i="8"/>
  <c r="G20" i="8"/>
  <c r="E20" i="8"/>
  <c r="C17" i="8"/>
  <c r="K43" i="109"/>
  <c r="F10" i="47"/>
  <c r="G37" i="7"/>
  <c r="L18" i="109" s="1"/>
  <c r="L20" i="109"/>
  <c r="E13" i="68"/>
  <c r="M31" i="109"/>
  <c r="M25" i="109"/>
  <c r="M10" i="22"/>
  <c r="L43" i="109"/>
  <c r="G10" i="47"/>
  <c r="F13" i="68"/>
  <c r="K31" i="109"/>
  <c r="N10" i="22"/>
  <c r="N22" i="109" s="1"/>
  <c r="N25" i="109"/>
  <c r="K14" i="109"/>
  <c r="F11" i="7"/>
  <c r="D13" i="68"/>
  <c r="L31" i="109"/>
  <c r="M55" i="109"/>
  <c r="H10" i="1"/>
  <c r="L13" i="109"/>
  <c r="G11" i="7"/>
  <c r="M43" i="109"/>
  <c r="H10" i="47"/>
  <c r="F37" i="7"/>
  <c r="K18" i="109" s="1"/>
  <c r="K20" i="109"/>
  <c r="F12" i="68"/>
  <c r="K22" i="109"/>
  <c r="N13" i="109"/>
  <c r="I11" i="7"/>
  <c r="D12" i="68"/>
  <c r="L22" i="109"/>
  <c r="M13" i="109"/>
  <c r="H11" i="7"/>
  <c r="H10" i="7" l="1"/>
  <c r="M12" i="109"/>
  <c r="I10" i="7"/>
  <c r="N11" i="109" s="1"/>
  <c r="N10" i="109" s="1"/>
  <c r="N12" i="109"/>
  <c r="E14" i="68"/>
  <c r="M42" i="109"/>
  <c r="G10" i="7"/>
  <c r="L12" i="109"/>
  <c r="E15" i="68"/>
  <c r="M51" i="109"/>
  <c r="F10" i="7"/>
  <c r="K12" i="109"/>
  <c r="D14" i="68"/>
  <c r="L42" i="109"/>
  <c r="E12" i="68"/>
  <c r="M22" i="109"/>
  <c r="F14" i="68"/>
  <c r="K42" i="109"/>
  <c r="K37" i="65"/>
  <c r="J36" i="70"/>
  <c r="K36" i="70" s="1"/>
  <c r="D31" i="65"/>
  <c r="O31" i="109"/>
  <c r="F13" i="8"/>
  <c r="G13" i="8"/>
  <c r="G11" i="13"/>
  <c r="I11" i="13" s="1"/>
  <c r="G12" i="13"/>
  <c r="I12" i="13" s="1"/>
  <c r="E13" i="8"/>
  <c r="I10" i="8"/>
  <c r="D16" i="109"/>
  <c r="D16" i="65" s="1"/>
  <c r="J16" i="70" s="1"/>
  <c r="K16" i="70" s="1"/>
  <c r="D11" i="7"/>
  <c r="C16" i="109"/>
  <c r="J30" i="7"/>
  <c r="C11" i="7"/>
  <c r="H10" i="8"/>
  <c r="G10" i="13"/>
  <c r="O17" i="109"/>
  <c r="C17" i="65"/>
  <c r="J10" i="8"/>
  <c r="E16" i="109"/>
  <c r="E16" i="65" s="1"/>
  <c r="P16" i="70" s="1"/>
  <c r="Q16" i="70" s="1"/>
  <c r="E11" i="7"/>
  <c r="G13" i="9"/>
  <c r="E13" i="9"/>
  <c r="F13" i="9"/>
  <c r="C59" i="9"/>
  <c r="G16" i="9"/>
  <c r="F16" i="9"/>
  <c r="E16" i="9"/>
  <c r="C16" i="8"/>
  <c r="C10" i="9"/>
  <c r="G11" i="9"/>
  <c r="E11" i="9"/>
  <c r="F11" i="9"/>
  <c r="C11" i="8"/>
  <c r="G12" i="9"/>
  <c r="E12" i="9"/>
  <c r="F12" i="9"/>
  <c r="C12" i="8"/>
  <c r="F11" i="13" l="1"/>
  <c r="H11" i="13" s="1"/>
  <c r="G12" i="8"/>
  <c r="E12" i="8"/>
  <c r="F12" i="8"/>
  <c r="F10" i="13"/>
  <c r="C10" i="8"/>
  <c r="F11" i="8"/>
  <c r="E11" i="8"/>
  <c r="G11" i="8"/>
  <c r="E16" i="8"/>
  <c r="G16" i="8"/>
  <c r="F16" i="8"/>
  <c r="E10" i="7"/>
  <c r="E11" i="109" s="1"/>
  <c r="E12" i="109"/>
  <c r="E12" i="65" s="1"/>
  <c r="P12" i="70" s="1"/>
  <c r="Q12" i="70" s="1"/>
  <c r="R16" i="70"/>
  <c r="D17" i="70"/>
  <c r="E17" i="70" s="1"/>
  <c r="K17" i="65"/>
  <c r="G15" i="13"/>
  <c r="I15" i="13" s="1"/>
  <c r="I10" i="13"/>
  <c r="C12" i="109"/>
  <c r="J11" i="7"/>
  <c r="C10" i="7"/>
  <c r="C16" i="65"/>
  <c r="O16" i="109"/>
  <c r="D10" i="7"/>
  <c r="D12" i="109"/>
  <c r="D12" i="65" s="1"/>
  <c r="J12" i="70" s="1"/>
  <c r="K12" i="70" s="1"/>
  <c r="L16" i="70"/>
  <c r="J30" i="70"/>
  <c r="K30" i="70" s="1"/>
  <c r="K31" i="65"/>
  <c r="L36" i="70"/>
  <c r="F11" i="68"/>
  <c r="F10" i="68" s="1"/>
  <c r="K11" i="109"/>
  <c r="K10" i="109" s="1"/>
  <c r="D11" i="68"/>
  <c r="D10" i="68" s="1"/>
  <c r="L11" i="109"/>
  <c r="L10" i="109" s="1"/>
  <c r="E11" i="68"/>
  <c r="E10" i="68" s="1"/>
  <c r="M11" i="109"/>
  <c r="M10" i="109" s="1"/>
  <c r="L30" i="70" l="1"/>
  <c r="L12" i="70"/>
  <c r="C11" i="68"/>
  <c r="C10" i="68" s="1"/>
  <c r="D11" i="109"/>
  <c r="D16" i="70"/>
  <c r="E16" i="70" s="1"/>
  <c r="K16" i="65"/>
  <c r="J10" i="7"/>
  <c r="C11" i="109"/>
  <c r="C12" i="65"/>
  <c r="O12" i="109"/>
  <c r="F17" i="70"/>
  <c r="R12" i="70"/>
  <c r="E10" i="109"/>
  <c r="E10" i="65" s="1"/>
  <c r="E11" i="65"/>
  <c r="P11" i="70" s="1"/>
  <c r="F15" i="13"/>
  <c r="H15" i="13" s="1"/>
  <c r="H10" i="13"/>
  <c r="P10" i="70" l="1"/>
  <c r="Q10" i="70" s="1"/>
  <c r="Q11" i="70"/>
  <c r="D12" i="70"/>
  <c r="E12" i="70" s="1"/>
  <c r="K12" i="65"/>
  <c r="C11" i="65"/>
  <c r="C10" i="109"/>
  <c r="O11" i="109"/>
  <c r="F16" i="70"/>
  <c r="D11" i="65"/>
  <c r="J11" i="70" s="1"/>
  <c r="D10" i="109"/>
  <c r="D10" i="65" s="1"/>
  <c r="J10" i="70" l="1"/>
  <c r="K10" i="70" s="1"/>
  <c r="K11" i="70"/>
  <c r="C10" i="65"/>
  <c r="K10" i="65" s="1"/>
  <c r="O10" i="109"/>
  <c r="K11" i="65"/>
  <c r="D11" i="70"/>
  <c r="F12" i="70"/>
  <c r="R11" i="70"/>
  <c r="R10" i="70"/>
  <c r="D10" i="70" l="1"/>
  <c r="E11" i="70"/>
  <c r="K72" i="65"/>
  <c r="K71" i="65"/>
  <c r="L11" i="70"/>
  <c r="L10" i="70"/>
  <c r="F11" i="70" l="1"/>
  <c r="E10" i="70"/>
  <c r="G34" i="73"/>
  <c r="H49" i="70" l="1"/>
  <c r="I34" i="73"/>
  <c r="J34" i="73" s="1"/>
  <c r="G35" i="73"/>
  <c r="H45" i="70"/>
  <c r="H22" i="73"/>
  <c r="H23" i="73"/>
  <c r="H24" i="73"/>
  <c r="H25" i="73"/>
  <c r="T49" i="70"/>
  <c r="H46" i="70"/>
  <c r="H65" i="70"/>
  <c r="T42" i="70"/>
  <c r="H21" i="73"/>
  <c r="T45" i="70"/>
  <c r="T44" i="70"/>
  <c r="T43" i="70"/>
  <c r="N44" i="70"/>
  <c r="H44" i="70"/>
  <c r="H42" i="70"/>
  <c r="N42" i="70"/>
  <c r="N43" i="70"/>
  <c r="T54" i="70"/>
  <c r="H48" i="70"/>
  <c r="N51" i="70"/>
  <c r="N45" i="70"/>
  <c r="T50" i="70"/>
  <c r="T52" i="70"/>
  <c r="H43" i="70"/>
  <c r="Z28" i="73"/>
  <c r="H38" i="70"/>
  <c r="H37" i="70"/>
  <c r="H41" i="70"/>
  <c r="N50" i="70"/>
  <c r="N54" i="70"/>
  <c r="N25" i="70"/>
  <c r="T25" i="70"/>
  <c r="T18" i="70"/>
  <c r="T19" i="70"/>
  <c r="N20" i="70"/>
  <c r="T20" i="70"/>
  <c r="T59" i="70"/>
  <c r="T60" i="70"/>
  <c r="N15" i="70"/>
  <c r="T15" i="70"/>
  <c r="T14" i="70"/>
  <c r="N52" i="70"/>
  <c r="H30" i="70"/>
  <c r="T22" i="70"/>
  <c r="T24" i="70"/>
  <c r="T61" i="70"/>
  <c r="N61" i="70"/>
  <c r="N59" i="70"/>
  <c r="N60" i="70"/>
  <c r="N14" i="70"/>
  <c r="H25" i="70"/>
  <c r="H29" i="70"/>
  <c r="N24" i="70"/>
  <c r="Z10" i="73"/>
  <c r="Z27" i="73"/>
  <c r="T34" i="70"/>
  <c r="T41" i="70"/>
  <c r="T46" i="70"/>
  <c r="H10" i="73"/>
  <c r="H24" i="70"/>
  <c r="N22" i="70"/>
  <c r="N10" i="73"/>
  <c r="N13" i="73"/>
  <c r="H26" i="70"/>
  <c r="T13" i="70"/>
  <c r="H61" i="70"/>
  <c r="H60" i="70"/>
  <c r="N13" i="70"/>
  <c r="N31" i="70"/>
  <c r="N32" i="70"/>
  <c r="T32" i="70"/>
  <c r="H53" i="70"/>
  <c r="H20" i="70"/>
  <c r="H19" i="70"/>
  <c r="H50" i="70"/>
  <c r="H23" i="70"/>
  <c r="H14" i="70"/>
  <c r="H59" i="70"/>
  <c r="H13" i="70"/>
  <c r="H22" i="70"/>
  <c r="H18" i="70"/>
  <c r="N46" i="70"/>
  <c r="H15" i="70"/>
  <c r="N41" i="70"/>
  <c r="N19" i="70"/>
  <c r="H63" i="70"/>
  <c r="N18" i="70"/>
  <c r="N17" i="70"/>
  <c r="T17" i="70"/>
  <c r="N33" i="70"/>
  <c r="T30" i="70"/>
  <c r="T36" i="70"/>
  <c r="T16" i="70"/>
  <c r="N16" i="70"/>
  <c r="N36" i="70"/>
  <c r="N30" i="70"/>
  <c r="N12" i="70"/>
  <c r="H17" i="70"/>
  <c r="T12" i="70"/>
  <c r="H16" i="70"/>
  <c r="H12" i="70"/>
  <c r="T11" i="70"/>
  <c r="T10" i="70"/>
  <c r="N11" i="70"/>
  <c r="N10" i="70"/>
  <c r="H11" i="70"/>
  <c r="F10" i="70"/>
  <c r="H10" i="70"/>
  <c r="G10" i="70"/>
  <c r="I35" i="73" l="1"/>
  <c r="J35" i="73" s="1"/>
  <c r="G22" i="73"/>
  <c r="G23" i="73"/>
  <c r="G24" i="73"/>
  <c r="G25" i="73"/>
  <c r="G65" i="70"/>
  <c r="G21" i="73"/>
  <c r="S54" i="70"/>
  <c r="M51" i="70"/>
  <c r="S50" i="70"/>
  <c r="S52" i="70"/>
  <c r="Y28" i="73"/>
  <c r="G38" i="70"/>
  <c r="G37" i="70"/>
  <c r="M50" i="70"/>
  <c r="M54" i="70"/>
  <c r="M25" i="70"/>
  <c r="S25" i="70"/>
  <c r="S18" i="70"/>
  <c r="S19" i="70"/>
  <c r="M20" i="70"/>
  <c r="S20" i="70"/>
  <c r="S59" i="70"/>
  <c r="S60" i="70"/>
  <c r="M15" i="70"/>
  <c r="S15" i="70"/>
  <c r="S14" i="70"/>
  <c r="M52" i="70"/>
  <c r="G30" i="70"/>
  <c r="S22" i="70"/>
  <c r="S24" i="70"/>
  <c r="S61" i="70"/>
  <c r="M61" i="70"/>
  <c r="M59" i="70"/>
  <c r="M60" i="70"/>
  <c r="M14" i="70"/>
  <c r="G25" i="70"/>
  <c r="G29" i="70"/>
  <c r="M24" i="70"/>
  <c r="Y10" i="73"/>
  <c r="Y27" i="73"/>
  <c r="S34" i="70"/>
  <c r="G10" i="73"/>
  <c r="G24" i="70"/>
  <c r="M22" i="70"/>
  <c r="M10" i="73"/>
  <c r="M13" i="73"/>
  <c r="G26" i="70"/>
  <c r="S13" i="70"/>
  <c r="G61" i="70"/>
  <c r="G60" i="70"/>
  <c r="M13" i="70"/>
  <c r="M31" i="70"/>
  <c r="M32" i="70"/>
  <c r="S32" i="70"/>
  <c r="G53" i="70"/>
  <c r="G20" i="70"/>
  <c r="G19" i="70"/>
  <c r="G50" i="70"/>
  <c r="G23" i="70"/>
  <c r="G14" i="70"/>
  <c r="G59" i="70"/>
  <c r="G13" i="70"/>
  <c r="G22" i="70"/>
  <c r="G18" i="70"/>
  <c r="G15" i="70"/>
  <c r="M19" i="70"/>
  <c r="G63" i="70"/>
  <c r="M18" i="70"/>
  <c r="M17" i="70"/>
  <c r="S17" i="70"/>
  <c r="M33" i="70"/>
  <c r="S30" i="70"/>
  <c r="S36" i="70"/>
  <c r="S16" i="70"/>
  <c r="M16" i="70"/>
  <c r="M36" i="70"/>
  <c r="M30" i="70"/>
  <c r="M12" i="70"/>
  <c r="G17" i="70"/>
  <c r="S12" i="70"/>
  <c r="G16" i="70"/>
  <c r="G12" i="70"/>
  <c r="S11" i="70"/>
  <c r="S10" i="70"/>
  <c r="M11" i="70"/>
  <c r="M10" i="70"/>
  <c r="G11" i="70"/>
</calcChain>
</file>

<file path=xl/sharedStrings.xml><?xml version="1.0" encoding="utf-8"?>
<sst xmlns="http://schemas.openxmlformats.org/spreadsheetml/2006/main" count="19219" uniqueCount="2523">
  <si>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</si>
  <si>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</si>
  <si>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</si>
  <si>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</si>
  <si>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</si>
  <si>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</si>
  <si>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</si>
  <si>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</si>
  <si>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</si>
  <si>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</si>
  <si>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</si>
  <si>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</si>
  <si>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</si>
  <si>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</si>
  <si>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</si>
  <si>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</si>
  <si>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</si>
  <si>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</si>
  <si>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</si>
  <si>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</si>
  <si>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</si>
  <si>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</si>
  <si>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</si>
  <si>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</si>
  <si>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</si>
  <si>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</si>
  <si>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</si>
  <si>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</si>
  <si>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</si>
  <si>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</si>
  <si>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</si>
  <si>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</si>
  <si>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</si>
  <si>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</si>
  <si>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</si>
  <si>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</si>
  <si>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</si>
  <si>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</si>
  <si>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</si>
  <si>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</si>
  <si>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</si>
  <si>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</si>
  <si>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</si>
  <si>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</si>
  <si>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</si>
  <si>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</si>
  <si>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</si>
  <si>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</si>
  <si>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</si>
  <si>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</si>
  <si>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</si>
  <si>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</si>
  <si>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</si>
  <si>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</si>
  <si>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</si>
  <si>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</si>
  <si>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</si>
  <si>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</si>
  <si>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</si>
  <si>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</si>
  <si>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</si>
  <si>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Year</t>
  </si>
  <si>
    <t>(Sheet 1 of 1)</t>
  </si>
  <si>
    <t>Country</t>
  </si>
  <si>
    <t>Back to Index</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</si>
  <si>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</si>
  <si>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</si>
  <si>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</si>
  <si>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</si>
  <si>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</si>
  <si>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</si>
  <si>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</si>
  <si>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X</t>
    </r>
    <r>
      <rPr>
        <b/>
        <sz val="9"/>
        <rFont val="Times New Roman"/>
        <family val="1"/>
      </rPr>
      <t xml:space="preserve">        </t>
    </r>
  </si>
  <si>
    <t>(kt)</t>
  </si>
  <si>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</si>
  <si>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</si>
  <si>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</si>
  <si>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</si>
  <si>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</si>
  <si>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</si>
  <si>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</si>
  <si>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</si>
  <si>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</si>
  <si>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</si>
  <si>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</si>
  <si>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</si>
  <si>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</si>
  <si>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</si>
  <si>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</si>
  <si>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</si>
  <si>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</si>
  <si>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</si>
  <si>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</si>
  <si>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</si>
  <si>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</si>
  <si>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</si>
  <si>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</si>
  <si>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1.A.5.a. Stationary</t>
  </si>
  <si>
    <t>1.A.5.b. Mobile</t>
  </si>
  <si>
    <t>1.B. Fugitive emissions from fuels</t>
  </si>
  <si>
    <t>1.B.1. Solid fuels</t>
  </si>
  <si>
    <t>1.B.1.a. Coal mining and handling</t>
  </si>
  <si>
    <t>1.B.2. Oil and natural gas and other emissions from energy production</t>
  </si>
  <si>
    <t>1.B.2.a. Oil</t>
  </si>
  <si>
    <t>1.B.2.b. Natural gas</t>
  </si>
  <si>
    <t>1.B.2.c. Venting and flaring</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</si>
  <si>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</si>
  <si>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</si>
  <si>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</si>
  <si>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</si>
  <si>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t>1.D.1. International bunkers</t>
  </si>
  <si>
    <t>1.D.1.a. Aviation</t>
  </si>
  <si>
    <t>1.D.1.b.Navigation</t>
  </si>
  <si>
    <t>1.D.2. Multilateral operations</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</si>
  <si>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</si>
  <si>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</si>
  <si>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</si>
  <si>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</si>
  <si>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</si>
  <si>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</si>
  <si>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</si>
  <si>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</si>
  <si>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</si>
  <si>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</si>
  <si>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</si>
  <si>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</si>
  <si>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 xml:space="preserve"> CO</t>
    </r>
    <r>
      <rPr>
        <b/>
        <vertAlign val="subscript"/>
        <sz val="9"/>
        <rFont val="Times New Roman"/>
        <family val="1"/>
      </rPr>
      <t>2</t>
    </r>
    <r>
      <rPr>
        <vertAlign val="superscript"/>
        <sz val="9"/>
        <rFont val="Times New Roman"/>
        <family val="1"/>
      </rPr>
      <t xml:space="preserve"> (1)</t>
    </r>
  </si>
  <si>
    <t>(TJ)</t>
  </si>
  <si>
    <r>
      <t>NCV/GCV</t>
    </r>
    <r>
      <rPr>
        <vertAlign val="superscript"/>
        <sz val="9"/>
        <rFont val="Times New Roman"/>
        <family val="1"/>
      </rPr>
      <t xml:space="preserve"> (5)</t>
    </r>
  </si>
  <si>
    <t>(t/TJ)</t>
  </si>
  <si>
    <t>(kg/TJ)</t>
  </si>
  <si>
    <t>1.A. Fuel combustion</t>
  </si>
  <si>
    <t>Liquid fuels</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</si>
  <si>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</si>
  <si>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</si>
  <si>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</si>
  <si>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</si>
  <si>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</si>
  <si>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</si>
  <si>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</si>
  <si>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</si>
  <si>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</si>
  <si>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</si>
  <si>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</si>
  <si>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</si>
  <si>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</si>
  <si>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</si>
  <si>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</si>
  <si>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</si>
  <si>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</si>
  <si>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t>1.A.2 Manufacturing industries and construction</t>
  </si>
  <si>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</si>
  <si>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</si>
  <si>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</si>
  <si>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</si>
  <si>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</si>
  <si>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</si>
  <si>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r>
      <rPr>
        <vertAlign val="superscript"/>
        <sz val="9"/>
        <rFont val="Times New Roman"/>
        <family val="1"/>
      </rPr>
      <t xml:space="preserve"> (11)</t>
    </r>
  </si>
  <si>
    <t>Dropdown list</t>
  </si>
  <si>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</si>
  <si>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</si>
  <si>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</si>
  <si>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</si>
  <si>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</si>
  <si>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</si>
  <si>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</si>
  <si>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</si>
  <si>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</si>
  <si>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</si>
  <si>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</si>
  <si>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</si>
  <si>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</si>
  <si>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</si>
  <si>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</si>
  <si>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</si>
  <si>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</si>
  <si>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</si>
  <si>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</si>
  <si>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</si>
  <si>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</si>
  <si>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</si>
  <si>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r>
      <t xml:space="preserve">Other fossil fuels </t>
    </r>
    <r>
      <rPr>
        <i/>
        <sz val="9"/>
        <rFont val="Times New Roman"/>
        <family val="1"/>
      </rPr>
      <t>(please specify)</t>
    </r>
    <r>
      <rPr>
        <vertAlign val="superscript"/>
        <sz val="9"/>
        <rFont val="Times New Roman"/>
        <family val="1"/>
      </rPr>
      <t xml:space="preserve"> (7)</t>
    </r>
  </si>
  <si>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</si>
  <si>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</si>
  <si>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</si>
  <si>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</si>
  <si>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</si>
  <si>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t>1.A.3.b.v.  Other (please specify)</t>
  </si>
  <si>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</si>
  <si>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</si>
  <si>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</si>
  <si>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</si>
  <si>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</si>
  <si>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r>
      <t xml:space="preserve">1.A.3.e.  Other transportation </t>
    </r>
    <r>
      <rPr>
        <i/>
        <sz val="9"/>
        <rFont val="Times New Roman"/>
        <family val="1"/>
      </rPr>
      <t>(please specify)</t>
    </r>
  </si>
  <si>
    <t>1.A.3.e.i. Pipeline transport</t>
  </si>
  <si>
    <r>
      <t>1.A.3.e.ii. Other</t>
    </r>
    <r>
      <rPr>
        <i/>
        <sz val="9"/>
        <rFont val="Times New Roman"/>
        <family val="1"/>
      </rPr>
      <t xml:space="preserve"> (please specify)</t>
    </r>
  </si>
  <si>
    <t>(Sheet 4 of 4)</t>
  </si>
  <si>
    <t>1.A.4  Other sectors</t>
  </si>
  <si>
    <r>
      <t>Other fossil fuels</t>
    </r>
    <r>
      <rPr>
        <vertAlign val="superscript"/>
        <sz val="9"/>
        <rFont val="Times New Roman"/>
        <family val="1"/>
      </rPr>
      <t>(7)</t>
    </r>
  </si>
  <si>
    <r>
      <t>Biomass</t>
    </r>
    <r>
      <rPr>
        <vertAlign val="superscript"/>
        <sz val="9"/>
        <rFont val="Times New Roman"/>
        <family val="1"/>
      </rPr>
      <t>(3)</t>
    </r>
  </si>
  <si>
    <t>Drop-down list:</t>
  </si>
  <si>
    <t>1.A.4.a.i.  Stationary combustion</t>
  </si>
  <si>
    <t xml:space="preserve">1.A.4.a.ii.   Off-road vehicles and other machinery </t>
  </si>
  <si>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</si>
  <si>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</si>
  <si>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</si>
  <si>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</si>
  <si>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</si>
  <si>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</si>
  <si>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</si>
  <si>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</si>
  <si>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</si>
  <si>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 xml:space="preserve">1.A.5.a. Stationary </t>
    </r>
    <r>
      <rPr>
        <b/>
        <i/>
        <sz val="9"/>
        <rFont val="Times New Roman"/>
        <family val="1"/>
      </rPr>
      <t>(please specify)</t>
    </r>
  </si>
  <si>
    <r>
      <t xml:space="preserve">1.A.5.b. Mobile </t>
    </r>
    <r>
      <rPr>
        <b/>
        <i/>
        <sz val="9"/>
        <rFont val="Times New Roman"/>
        <family val="1"/>
      </rPr>
      <t>(please specify)</t>
    </r>
  </si>
  <si>
    <t>Waste incineration with energy recovery included as:</t>
  </si>
  <si>
    <t>Documentation Box</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</si>
  <si>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</si>
  <si>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</si>
  <si>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</si>
  <si>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</si>
  <si>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</si>
  <si>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</si>
  <si>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</si>
  <si>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</si>
  <si>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</si>
  <si>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</si>
  <si>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</si>
  <si>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</si>
  <si>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</si>
  <si>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</si>
  <si>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</si>
  <si>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</si>
  <si>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</si>
  <si>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</si>
  <si>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</si>
  <si>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</si>
  <si>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</si>
  <si>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</si>
  <si>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</si>
  <si>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</si>
  <si>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</si>
  <si>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</si>
  <si>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</si>
  <si>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Orimulsion</t>
  </si>
  <si>
    <t>Natural gas liquids</t>
  </si>
  <si>
    <t xml:space="preserve">Secondary </t>
  </si>
  <si>
    <t xml:space="preserve">fuels </t>
  </si>
  <si>
    <t>Other kerosene</t>
  </si>
  <si>
    <t>Shale oil</t>
  </si>
  <si>
    <t>Ethane</t>
  </si>
  <si>
    <t>Naphtha</t>
  </si>
  <si>
    <t>Bitumen</t>
  </si>
  <si>
    <t>Lubricants</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</si>
  <si>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</si>
  <si>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</si>
  <si>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</si>
  <si>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</si>
  <si>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</si>
  <si>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</si>
  <si>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</si>
  <si>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</si>
  <si>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</si>
  <si>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</si>
  <si>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</si>
  <si>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</si>
  <si>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</si>
  <si>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</si>
  <si>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</si>
  <si>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</si>
  <si>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</si>
  <si>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</si>
  <si>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</si>
  <si>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</si>
  <si>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</si>
  <si>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</si>
  <si>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t>Other fossil fuels</t>
  </si>
  <si>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</si>
  <si>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</si>
  <si>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</si>
  <si>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</si>
  <si>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</si>
  <si>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</si>
  <si>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</si>
  <si>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</si>
  <si>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</si>
  <si>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</si>
  <si>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</si>
  <si>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</si>
  <si>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</si>
  <si>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</si>
  <si>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</si>
  <si>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</si>
  <si>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</si>
  <si>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</si>
  <si>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</si>
  <si>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</si>
  <si>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</si>
  <si>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</si>
  <si>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</si>
  <si>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</si>
  <si>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</si>
  <si>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Peat</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</si>
  <si>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</si>
  <si>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</si>
  <si>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</si>
  <si>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</si>
  <si>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</si>
  <si>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</si>
  <si>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</si>
  <si>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</si>
  <si>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</si>
  <si>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</si>
  <si>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</si>
  <si>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</si>
  <si>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</si>
  <si>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</si>
  <si>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</si>
  <si>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</si>
  <si>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t>Solid</t>
  </si>
  <si>
    <t>Anthracite</t>
  </si>
  <si>
    <t>Sub-bituminous Coal</t>
  </si>
  <si>
    <t>BKB and patent fuel</t>
  </si>
  <si>
    <t>Gaseous fossil</t>
  </si>
  <si>
    <t xml:space="preserve">Other fossil fuels </t>
  </si>
  <si>
    <r>
      <t>Documentation box:</t>
    </r>
    <r>
      <rPr>
        <sz val="9"/>
        <color indexed="8"/>
        <rFont val="Times New Roman"/>
        <family val="1"/>
      </rPr>
      <t xml:space="preserve">       </t>
    </r>
  </si>
  <si>
    <t>TABLE 1.B.1 SECTORAL BACKGROUND DATA FOR ENERGY</t>
  </si>
  <si>
    <t xml:space="preserve">GREENHOUSE GAS SOURCE AND </t>
  </si>
  <si>
    <t>ACTIVITY  DATA</t>
  </si>
  <si>
    <t>SINK CATEGORIES</t>
  </si>
  <si>
    <t>Amount of fuel produced</t>
  </si>
  <si>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</si>
  <si>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</si>
  <si>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</si>
  <si>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</si>
  <si>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</si>
  <si>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</si>
  <si>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</si>
  <si>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</si>
  <si>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</si>
  <si>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</si>
  <si>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</si>
  <si>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</si>
  <si>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</si>
  <si>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</si>
  <si>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</si>
  <si>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</si>
  <si>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</si>
  <si>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</si>
  <si>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</si>
  <si>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</si>
  <si>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</si>
  <si>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</si>
  <si>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</si>
  <si>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</si>
  <si>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</si>
  <si>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</si>
  <si>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</si>
  <si>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</si>
  <si>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</si>
  <si>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</si>
  <si>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</si>
  <si>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r>
      <t>CH</t>
    </r>
    <r>
      <rPr>
        <b/>
        <vertAlign val="subscript"/>
        <sz val="9"/>
        <rFont val="Times New Roman"/>
        <family val="1"/>
      </rPr>
      <t xml:space="preserve">4 </t>
    </r>
    <r>
      <rPr>
        <vertAlign val="superscript"/>
        <sz val="9"/>
        <rFont val="Times New Roman"/>
        <family val="1"/>
      </rPr>
      <t xml:space="preserve">(5) </t>
    </r>
  </si>
  <si>
    <r>
      <t>1.B.2.a. Oil</t>
    </r>
    <r>
      <rPr>
        <vertAlign val="superscript"/>
        <sz val="9"/>
        <rFont val="Times New Roman"/>
        <family val="1"/>
      </rPr>
      <t xml:space="preserve"> (7)</t>
    </r>
  </si>
  <si>
    <t>1.B.2.a.i.   Exploration</t>
  </si>
  <si>
    <r>
      <t xml:space="preserve">1.B.2.a.ii.   Production and upgrading </t>
    </r>
    <r>
      <rPr>
        <vertAlign val="superscript"/>
        <sz val="9"/>
        <rFont val="Times New Roman"/>
        <family val="1"/>
      </rPr>
      <t>(8)</t>
    </r>
  </si>
  <si>
    <t>1.B.2.a.iii.  Transport</t>
  </si>
  <si>
    <t>1.B.2.a.iv.  Refining/storage</t>
  </si>
  <si>
    <t>1.B.2.a.v.   Distribution of oil products</t>
  </si>
  <si>
    <t>1.B.2.a.vi.  Other</t>
  </si>
  <si>
    <t>1.B.2.a.vi.1.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</si>
  <si>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</si>
  <si>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</si>
  <si>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</si>
  <si>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1.B.2.b.iii.  Processing</t>
  </si>
  <si>
    <t>1.B.2.b.iv.  Transmission and storage</t>
  </si>
  <si>
    <t>1.B.2.b.v.  Distribution</t>
  </si>
  <si>
    <t>1.B.2.b.vi.   Other</t>
  </si>
  <si>
    <t>1.B.2.b.vi.1.  Gas post-meter</t>
  </si>
  <si>
    <t>1.B.2.b.vi.2.  Abandoned wells</t>
  </si>
  <si>
    <r>
      <t xml:space="preserve">1.B.2.b.vi.3.  Other  </t>
    </r>
    <r>
      <rPr>
        <i/>
        <sz val="9"/>
        <rFont val="Times New Roman"/>
        <family val="1"/>
      </rPr>
      <t>(please specify)</t>
    </r>
    <r>
      <rPr>
        <sz val="9"/>
        <rFont val="Times New Roman"/>
        <family val="1"/>
      </rPr>
      <t xml:space="preserve"> </t>
    </r>
  </si>
  <si>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</si>
  <si>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</si>
  <si>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</si>
  <si>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</si>
  <si>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</si>
  <si>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r>
      <t>1.B.2.c.ii. Flaring</t>
    </r>
    <r>
      <rPr>
        <b/>
        <vertAlign val="superscript"/>
        <sz val="9"/>
        <rFont val="Times New Roman"/>
        <family val="1"/>
      </rPr>
      <t xml:space="preserve"> </t>
    </r>
    <r>
      <rPr>
        <vertAlign val="superscript"/>
        <sz val="9"/>
        <rFont val="Times New Roman"/>
        <family val="1"/>
      </rPr>
      <t>(9)</t>
    </r>
  </si>
  <si>
    <t>1.B.2.c.ii.1.    Oil</t>
  </si>
  <si>
    <t>1.B.2.c.ii.2.   Gas</t>
  </si>
  <si>
    <t>1.B.2.c.ii.3.  Combined</t>
  </si>
  <si>
    <t xml:space="preserve"> </t>
  </si>
  <si>
    <t>Documentation box:</t>
  </si>
  <si>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</si>
  <si>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</si>
  <si>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</si>
  <si>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</si>
  <si>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</si>
  <si>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</si>
  <si>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</si>
  <si>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</si>
  <si>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vertAlign val="superscript"/>
        <sz val="9"/>
        <rFont val="Times New Roman"/>
        <family val="1"/>
      </rPr>
      <t xml:space="preserve"> (3)</t>
    </r>
  </si>
  <si>
    <t>1.C.2.a.  Injection</t>
  </si>
  <si>
    <t>1.C.2.b.  Storage</t>
  </si>
  <si>
    <r>
      <t xml:space="preserve">1.C.3.   Other </t>
    </r>
    <r>
      <rPr>
        <i/>
        <sz val="9"/>
        <rFont val="Times New Roman"/>
        <family val="1"/>
      </rPr>
      <t>(please specify)</t>
    </r>
    <r>
      <rPr>
        <sz val="9"/>
        <rFont val="Times New Roman"/>
        <family val="1"/>
      </rPr>
      <t xml:space="preserve"> </t>
    </r>
  </si>
  <si>
    <r>
      <t xml:space="preserve">Information item </t>
    </r>
    <r>
      <rPr>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</si>
  <si>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</si>
  <si>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</si>
  <si>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</si>
  <si>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</si>
  <si>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</si>
  <si>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</si>
  <si>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</si>
  <si>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</si>
  <si>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</si>
  <si>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</si>
  <si>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</si>
  <si>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</si>
  <si>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</si>
  <si>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</si>
  <si>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</si>
  <si>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</si>
  <si>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</si>
  <si>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</si>
  <si>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</si>
  <si>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</si>
  <si>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</si>
  <si>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</si>
  <si>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</si>
  <si>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</si>
  <si>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</si>
  <si>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</si>
  <si>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</si>
  <si>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</si>
  <si>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</si>
  <si>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</si>
  <si>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</si>
  <si>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</si>
  <si>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</si>
  <si>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</si>
  <si>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</si>
  <si>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</si>
  <si>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</si>
  <si>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</si>
  <si>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</si>
  <si>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</si>
  <si>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</si>
  <si>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</si>
  <si>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</si>
  <si>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</si>
  <si>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</si>
  <si>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</si>
  <si>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</si>
  <si>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</si>
  <si>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</si>
  <si>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</si>
  <si>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</si>
  <si>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</si>
  <si>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</si>
  <si>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</si>
  <si>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</si>
  <si>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  Metal industry</t>
  </si>
  <si>
    <t>2.C.1.  Iron and steel production</t>
  </si>
  <si>
    <t>2.C.2.  Ferroalloys production</t>
  </si>
  <si>
    <t>2.C.3.  Aluminium production</t>
  </si>
  <si>
    <t>2.C.4.  Magnesium production</t>
  </si>
  <si>
    <t>2.C.5.  Lead production</t>
  </si>
  <si>
    <t>2.C.6.  Zinc production</t>
  </si>
  <si>
    <t>2.D.1.  Lubricant use</t>
  </si>
  <si>
    <t>2.D.2.  Paraffin wax use</t>
  </si>
  <si>
    <t xml:space="preserve">2.D.3.  Other </t>
  </si>
  <si>
    <t>2.E.  Electronics industry</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</si>
  <si>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</si>
  <si>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</si>
  <si>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</si>
  <si>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</si>
  <si>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</si>
  <si>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</si>
  <si>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</si>
  <si>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</si>
  <si>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</si>
  <si>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</si>
  <si>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</si>
  <si>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</si>
  <si>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</si>
  <si>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</si>
  <si>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</si>
  <si>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</si>
  <si>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</si>
  <si>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t>Production/Consumption quantity</t>
  </si>
  <si>
    <r>
      <t>CO</t>
    </r>
    <r>
      <rPr>
        <b/>
        <vertAlign val="subscript"/>
        <sz val="9"/>
        <rFont val="Times New Roman"/>
        <family val="1"/>
      </rPr>
      <t>2</t>
    </r>
    <r>
      <rPr>
        <b/>
        <sz val="9"/>
        <rFont val="Times New Roman"/>
        <family val="1"/>
      </rPr>
      <t xml:space="preserve"> 
fossil</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</si>
  <si>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</si>
  <si>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</si>
  <si>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</si>
  <si>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</si>
  <si>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</si>
  <si>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</si>
  <si>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</si>
  <si>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</si>
  <si>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</si>
  <si>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</si>
  <si>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</si>
  <si>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</si>
  <si>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</si>
  <si>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</si>
  <si>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</si>
  <si>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</si>
  <si>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</si>
  <si>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</si>
  <si>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</si>
  <si>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</si>
  <si>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</si>
  <si>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</si>
  <si>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</si>
  <si>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</si>
  <si>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</si>
  <si>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</si>
  <si>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</si>
  <si>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</si>
  <si>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</si>
  <si>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</si>
  <si>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</si>
  <si>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2.B.10.  Other</t>
  </si>
  <si>
    <t>2.B.10.a.  Hydrogen production</t>
  </si>
  <si>
    <r>
      <t>2.B.10.b.  Other</t>
    </r>
    <r>
      <rPr>
        <i/>
        <sz val="9"/>
        <rFont val="Times New Roman"/>
        <family val="1"/>
      </rPr>
      <t xml:space="preserve"> (please specify)</t>
    </r>
  </si>
  <si>
    <t>2.C. Metal industry</t>
  </si>
  <si>
    <t>2.C.1. Iron and steel production</t>
  </si>
  <si>
    <t>2.C.1.a. Steel</t>
  </si>
  <si>
    <t xml:space="preserve">2.C.1.b. Pig iron </t>
  </si>
  <si>
    <t>2.C.1.c. Direct reduced iron</t>
  </si>
  <si>
    <t>2.C.1.d. Sinter</t>
  </si>
  <si>
    <t xml:space="preserve">2.C.1.e. Pellet </t>
  </si>
  <si>
    <r>
      <t>2.C.1.f. Other</t>
    </r>
    <r>
      <rPr>
        <i/>
        <sz val="9"/>
        <rFont val="Times New Roman"/>
        <family val="1"/>
      </rPr>
      <t xml:space="preserve"> (please specify)</t>
    </r>
  </si>
  <si>
    <t>2.C.2. Ferroalloys production</t>
  </si>
  <si>
    <t>2.C.3. Aluminium production</t>
  </si>
  <si>
    <t>2.C.4. Magnesium production</t>
  </si>
  <si>
    <t>2.C.5. Lead production</t>
  </si>
  <si>
    <t>2.C.6. Zinc production</t>
  </si>
  <si>
    <t>2.C.7. Other</t>
  </si>
  <si>
    <t>2.C.7.a. Rare earths production</t>
  </si>
  <si>
    <r>
      <t>2.C.7.b.Other</t>
    </r>
    <r>
      <rPr>
        <i/>
        <sz val="9"/>
        <rFont val="Times New Roman"/>
        <family val="1"/>
      </rPr>
      <t xml:space="preserve"> (please specify)</t>
    </r>
  </si>
  <si>
    <t>2.D.1. Lubricant 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</si>
  <si>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</si>
  <si>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</si>
  <si>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</si>
  <si>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2.D.3.b. Road paving with asphalt</t>
  </si>
  <si>
    <t>2.D.3.c. Asphalt roofing</t>
  </si>
  <si>
    <r>
      <t xml:space="preserve">2.D.3.d. Other </t>
    </r>
    <r>
      <rPr>
        <i/>
        <sz val="9"/>
        <rFont val="Times New Roman"/>
        <family val="1"/>
      </rPr>
      <t>(please specify)</t>
    </r>
  </si>
  <si>
    <r>
      <t>2.E. Electronics industry</t>
    </r>
    <r>
      <rPr>
        <b/>
        <vertAlign val="superscript"/>
        <sz val="9"/>
        <rFont val="Times New Roman"/>
        <family val="1"/>
      </rPr>
      <t xml:space="preserve"> </t>
    </r>
    <r>
      <rPr>
        <vertAlign val="superscript"/>
        <sz val="9"/>
        <rFont val="Times New Roman"/>
        <family val="1"/>
      </rPr>
      <t>(11)</t>
    </r>
  </si>
  <si>
    <t>2.E.1. Integrated circuit or semiconductor</t>
  </si>
  <si>
    <t>2.E.2. TFT flat panel display</t>
  </si>
  <si>
    <t>2.G. Other product manufacture and use</t>
  </si>
  <si>
    <r>
      <t>2.G.3. N</t>
    </r>
    <r>
      <rPr>
        <vertAlign val="subscript"/>
        <sz val="9"/>
        <rFont val="Times New Roman"/>
        <family val="1"/>
      </rPr>
      <t>2</t>
    </r>
    <r>
      <rPr>
        <sz val="9"/>
        <rFont val="Times New Roman"/>
        <family val="1"/>
      </rPr>
      <t>O from product uses</t>
    </r>
  </si>
  <si>
    <t>2.G.3.a. Medical applications</t>
  </si>
  <si>
    <t>2.G.3.b.i. Propellant for pressure and aerosol products</t>
  </si>
  <si>
    <r>
      <t xml:space="preserve">2.G.3.b.ii.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</si>
  <si>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</si>
  <si>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</si>
  <si>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</si>
  <si>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</si>
  <si>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</si>
  <si>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</si>
  <si>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</si>
  <si>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</si>
  <si>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</si>
  <si>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</si>
  <si>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</si>
  <si>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</si>
  <si>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</si>
  <si>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</si>
  <si>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</si>
  <si>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</si>
  <si>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</si>
  <si>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</si>
  <si>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</si>
  <si>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</si>
  <si>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</si>
  <si>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</si>
  <si>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</si>
  <si>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</si>
  <si>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</si>
  <si>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</si>
  <si>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</si>
  <si>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</si>
  <si>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</si>
  <si>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</si>
  <si>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</si>
  <si>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</si>
  <si>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</si>
  <si>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</si>
  <si>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</si>
  <si>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</si>
  <si>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</si>
  <si>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</si>
  <si>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</si>
  <si>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</si>
  <si>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</si>
  <si>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t>2.B. Chemical industry</t>
  </si>
  <si>
    <t>2.B.9. Fluorochemical production</t>
  </si>
  <si>
    <t>2.B.9.a. By-product emissions</t>
  </si>
  <si>
    <t>2.B.9.b. Fugitive emissions</t>
  </si>
  <si>
    <t>2.B.10. Other</t>
  </si>
  <si>
    <t>2.E. Electronics industry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</si>
  <si>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</si>
  <si>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</si>
  <si>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</si>
  <si>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</si>
  <si>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</si>
  <si>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</si>
  <si>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</si>
  <si>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</si>
  <si>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</si>
  <si>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r>
      <t>2.G.2. SF</t>
    </r>
    <r>
      <rPr>
        <vertAlign val="subscript"/>
        <sz val="9"/>
        <rFont val="Times New Roman"/>
        <family val="1"/>
      </rPr>
      <t>6</t>
    </r>
    <r>
      <rPr>
        <sz val="9"/>
        <rFont val="Times New Roman"/>
        <family val="1"/>
      </rPr>
      <t xml:space="preserve"> and PFCs from other product use</t>
    </r>
  </si>
  <si>
    <t>2.C. Metal production</t>
  </si>
  <si>
    <t>2.F. Product uses as substitutes for ODS</t>
  </si>
  <si>
    <t xml:space="preserve">2.H. Other </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</si>
  <si>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</si>
  <si>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</si>
  <si>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</si>
  <si>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</si>
  <si>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</si>
  <si>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t>Description</t>
  </si>
  <si>
    <t>(kg/t)</t>
  </si>
  <si>
    <t>2.B.  Chemical industry</t>
  </si>
  <si>
    <t>2.B.9.a.i. Production of HCFC-22</t>
  </si>
  <si>
    <t>e.g. HFC-23</t>
  </si>
  <si>
    <t>Production of HCFC-22</t>
  </si>
  <si>
    <r>
      <t xml:space="preserve">2.B.9.a.ii. Other </t>
    </r>
    <r>
      <rPr>
        <i/>
        <sz val="9"/>
        <rFont val="Times New Roman"/>
        <family val="1"/>
      </rPr>
      <t>(please specify - one row per substance)</t>
    </r>
  </si>
  <si>
    <r>
      <t xml:space="preserve">2.B.9.b.Fugitive emissions </t>
    </r>
    <r>
      <rPr>
        <vertAlign val="superscript"/>
        <sz val="9"/>
        <rFont val="Times New Roman"/>
        <family val="1"/>
      </rPr>
      <t xml:space="preserve">(5) </t>
    </r>
    <r>
      <rPr>
        <sz val="9"/>
        <rFont val="Times New Roman"/>
        <family val="1"/>
      </rPr>
      <t xml:space="preserve"> </t>
    </r>
  </si>
  <si>
    <t>2.B.9.b.i. Production of HFC-134a</t>
  </si>
  <si>
    <t>e.g. HFC-134a</t>
  </si>
  <si>
    <t>Production of that substance</t>
  </si>
  <si>
    <r>
      <t>2.B.9.b.ii.Production of SF</t>
    </r>
    <r>
      <rPr>
        <vertAlign val="subscript"/>
        <sz val="9"/>
        <rFont val="Times New Roman"/>
        <family val="1"/>
      </rPr>
      <t>6</t>
    </r>
  </si>
  <si>
    <r>
      <t>e.g. SF</t>
    </r>
    <r>
      <rPr>
        <vertAlign val="subscript"/>
        <sz val="10"/>
        <rFont val="Times New Roman"/>
        <family val="1"/>
      </rPr>
      <t>6</t>
    </r>
  </si>
  <si>
    <r>
      <t>2.B.9.b.iii.Production of NF</t>
    </r>
    <r>
      <rPr>
        <vertAlign val="subscript"/>
        <sz val="9"/>
        <rFont val="Times New Roman"/>
        <family val="1"/>
      </rPr>
      <t>3</t>
    </r>
  </si>
  <si>
    <t>e.g. NF3</t>
  </si>
  <si>
    <r>
      <t xml:space="preserve">2.B.9.b.iv. Other </t>
    </r>
    <r>
      <rPr>
        <i/>
        <sz val="9"/>
        <rFont val="Times New Roman"/>
        <family val="1"/>
      </rPr>
      <t>(please specify - one row per substance)</t>
    </r>
  </si>
  <si>
    <t xml:space="preserve">2.C.  Metal production </t>
  </si>
  <si>
    <t>2.C.3. Alminium production</t>
  </si>
  <si>
    <t>2.C.3.a. By-product emissions</t>
  </si>
  <si>
    <t>Production of primary aluminium</t>
  </si>
  <si>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</si>
  <si>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</si>
  <si>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</si>
  <si>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</si>
  <si>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r>
      <rPr>
        <sz val="10"/>
        <rFont val="Times New Roman"/>
        <family val="1"/>
      </rPr>
      <t>, CHF</t>
    </r>
    <r>
      <rPr>
        <vertAlign val="subscript"/>
        <sz val="10"/>
        <rFont val="Times New Roman"/>
        <family val="1"/>
      </rPr>
      <t>3</t>
    </r>
    <r>
      <rPr>
        <sz val="10"/>
        <rFont val="Times New Roman"/>
        <family val="1"/>
      </rPr>
      <t>, C</t>
    </r>
    <r>
      <rPr>
        <vertAlign val="subscript"/>
        <sz val="10"/>
        <rFont val="Times New Roman"/>
        <family val="1"/>
      </rPr>
      <t>3</t>
    </r>
    <r>
      <rPr>
        <sz val="10"/>
        <rFont val="Times New Roman"/>
        <family val="1"/>
      </rPr>
      <t>F</t>
    </r>
    <r>
      <rPr>
        <vertAlign val="subscript"/>
        <sz val="10"/>
        <rFont val="Times New Roman"/>
        <family val="1"/>
      </rPr>
      <t>8</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</si>
  <si>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t>Consumption per substance</t>
  </si>
  <si>
    <r>
      <t>e.g. CF</t>
    </r>
    <r>
      <rPr>
        <vertAlign val="subscript"/>
        <sz val="10"/>
        <rFont val="Times New Roman"/>
        <family val="1"/>
      </rPr>
      <t>4</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</si>
  <si>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r>
      <t>e.g. C</t>
    </r>
    <r>
      <rPr>
        <vertAlign val="subscript"/>
        <sz val="10"/>
        <rFont val="Times New Roman"/>
        <family val="1"/>
      </rPr>
      <t>6</t>
    </r>
    <r>
      <rPr>
        <sz val="10"/>
        <rFont val="Times New Roman"/>
        <family val="1"/>
      </rPr>
      <t>F</t>
    </r>
    <r>
      <rPr>
        <vertAlign val="subscript"/>
        <sz val="10"/>
        <rFont val="Times New Roman"/>
        <family val="1"/>
      </rPr>
      <t>14</t>
    </r>
  </si>
  <si>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</si>
  <si>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</si>
  <si>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</si>
  <si>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</si>
  <si>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</si>
  <si>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</si>
  <si>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</si>
  <si>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r>
      <t xml:space="preserve">EMISSIONS </t>
    </r>
    <r>
      <rPr>
        <vertAlign val="superscript"/>
        <sz val="9"/>
        <rFont val="Times New Roman"/>
        <family val="1"/>
      </rPr>
      <t>(2)</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</si>
  <si>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</si>
  <si>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</si>
  <si>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</si>
  <si>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</si>
  <si>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</si>
  <si>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</si>
  <si>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</si>
  <si>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</si>
  <si>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</si>
  <si>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</si>
  <si>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</si>
  <si>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 xml:space="preserve">2.F.  Product uses as substitutes for ODS </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</si>
  <si>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</si>
  <si>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</si>
  <si>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</si>
  <si>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</si>
  <si>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</si>
  <si>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</si>
  <si>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</si>
  <si>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</si>
  <si>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</si>
  <si>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</si>
  <si>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</si>
  <si>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</si>
  <si>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</si>
  <si>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</si>
  <si>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</si>
  <si>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</si>
  <si>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</si>
  <si>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</si>
  <si>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</si>
  <si>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</si>
  <si>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</si>
  <si>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</si>
  <si>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</si>
  <si>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 xml:space="preserve">2.H.   Other </t>
    </r>
    <r>
      <rPr>
        <i/>
        <sz val="9"/>
        <rFont val="Times New Roman"/>
        <family val="1"/>
      </rPr>
      <t>(please specify) (one row per activity/substance)</t>
    </r>
  </si>
  <si>
    <t>TABLE 3 SECTORAL REPORT FOR AGRICULTURE</t>
  </si>
  <si>
    <t>SOx</t>
  </si>
  <si>
    <t>3. Total agriculture</t>
  </si>
  <si>
    <t>3.A. Enteric fermentation</t>
  </si>
  <si>
    <t>Option A:</t>
  </si>
  <si>
    <t>3.A.1.a. Dairy cattle</t>
  </si>
  <si>
    <t>3.A.1.b. Non-dairy cattle</t>
  </si>
  <si>
    <t>Option B (country-specific):</t>
  </si>
  <si>
    <t>3.A.2. Sheep</t>
  </si>
  <si>
    <t>3.A.3. Swine</t>
  </si>
  <si>
    <t>3.A.4. Other livestock</t>
  </si>
  <si>
    <t>3.B. Manure management</t>
  </si>
  <si>
    <t>3.B.1.a. Dairy cattle</t>
  </si>
  <si>
    <t>3.B.1.b. Non-dairy cattle</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</si>
  <si>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</si>
  <si>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</si>
  <si>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</si>
  <si>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</si>
  <si>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</si>
  <si>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</si>
  <si>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</si>
  <si>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</si>
  <si>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</si>
  <si>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</si>
  <si>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</si>
  <si>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</si>
  <si>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</si>
  <si>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</si>
  <si>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</si>
  <si>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</si>
  <si>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</si>
  <si>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</si>
  <si>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</si>
  <si>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</si>
  <si>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</si>
  <si>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</si>
  <si>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</si>
  <si>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</si>
  <si>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</si>
  <si>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</si>
  <si>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</si>
  <si>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</si>
  <si>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</si>
  <si>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</si>
  <si>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</si>
  <si>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</si>
  <si>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</si>
  <si>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</si>
  <si>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</si>
  <si>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</si>
  <si>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</si>
  <si>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</si>
  <si>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</si>
  <si>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</si>
  <si>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</si>
  <si>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</si>
  <si>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</si>
  <si>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</si>
  <si>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</si>
  <si>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</si>
  <si>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</si>
  <si>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t>3.A.1.a.iv. Other (please specify)</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</si>
  <si>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</si>
  <si>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</si>
  <si>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</si>
  <si>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</si>
  <si>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i/>
        <sz val="9"/>
        <rFont val="Times New Roman"/>
        <family val="1"/>
      </rPr>
      <t>(please specify)</t>
    </r>
    <r>
      <rPr>
        <sz val="9"/>
        <rFont val="Times New Roman"/>
        <family val="1"/>
      </rPr>
      <t xml:space="preserve">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</si>
  <si>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</si>
  <si>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</si>
  <si>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</si>
  <si>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</si>
  <si>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</si>
  <si>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</si>
  <si>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</si>
  <si>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r>
      <t xml:space="preserve">3.A.4.h. Other </t>
    </r>
    <r>
      <rPr>
        <i/>
        <sz val="9"/>
        <rFont val="Times New Roman"/>
        <family val="1"/>
      </rPr>
      <t>(please specify)</t>
    </r>
  </si>
  <si>
    <t>3.A.4.h.i. Rabbit</t>
  </si>
  <si>
    <t>3.A.4.h.ii. Reindeer</t>
  </si>
  <si>
    <t>3.A.4.h.iii. Ostrich</t>
  </si>
  <si>
    <r>
      <t xml:space="preserve">3.A.4.h.iv. Fur-bearing animals </t>
    </r>
    <r>
      <rPr>
        <vertAlign val="superscript"/>
        <sz val="9"/>
        <rFont val="Times New Roman"/>
        <family val="1"/>
      </rPr>
      <t>(5)</t>
    </r>
  </si>
  <si>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</si>
  <si>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</si>
  <si>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GREENHOUSE GAS SOURCE</t>
  </si>
  <si>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</si>
  <si>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</si>
  <si>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</si>
  <si>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</si>
  <si>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</si>
  <si>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</si>
  <si>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</si>
  <si>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</si>
  <si>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</si>
  <si>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</si>
  <si>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</si>
  <si>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</si>
  <si>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</si>
  <si>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</si>
  <si>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</si>
  <si>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</si>
  <si>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</si>
  <si>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</si>
  <si>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</si>
  <si>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</si>
  <si>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</si>
  <si>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</si>
  <si>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</si>
  <si>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</si>
  <si>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</si>
  <si>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</si>
  <si>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</si>
  <si>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</si>
  <si>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</si>
  <si>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</si>
  <si>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</si>
  <si>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</si>
  <si>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t>3.B.1.a. Other</t>
  </si>
  <si>
    <t>Non-dairy</t>
  </si>
  <si>
    <t>3.B.1.a.i. Mature dairy cattle</t>
  </si>
  <si>
    <t>3.B.1.a.ii. Other mature cattle</t>
  </si>
  <si>
    <t>3.B.1.a.iii. Growing cattle</t>
  </si>
  <si>
    <t>3.B.1.a.iv. Other (please specify)</t>
  </si>
  <si>
    <t>3.B.2. Sheep</t>
  </si>
  <si>
    <r>
      <t xml:space="preserve">3.B.2.a. Other </t>
    </r>
    <r>
      <rPr>
        <i/>
        <sz val="9"/>
        <rFont val="Times New Roman"/>
        <family val="1"/>
      </rPr>
      <t>(please specify)</t>
    </r>
  </si>
  <si>
    <t>B</t>
  </si>
  <si>
    <t>3.B.3. Swine</t>
  </si>
  <si>
    <r>
      <t xml:space="preserve">3.B.3.a. Other </t>
    </r>
    <r>
      <rPr>
        <i/>
        <sz val="9"/>
        <rFont val="Times New Roman"/>
        <family val="1"/>
      </rPr>
      <t>(please specify)</t>
    </r>
  </si>
  <si>
    <r>
      <t xml:space="preserve">3.B.4. Other livestock </t>
    </r>
    <r>
      <rPr>
        <vertAlign val="superscript"/>
        <sz val="9"/>
        <rFont val="Times New Roman"/>
        <family val="1"/>
      </rPr>
      <t>(4)</t>
    </r>
  </si>
  <si>
    <t>Swine</t>
  </si>
  <si>
    <t>3.B.4.a. Buffalo</t>
  </si>
  <si>
    <t>3.B.4.b. Camels</t>
  </si>
  <si>
    <t>3.B.4.c. Deer</t>
  </si>
  <si>
    <t>3.B.4.d. Goats</t>
  </si>
  <si>
    <t>3.B.4.e. Horses</t>
  </si>
  <si>
    <t xml:space="preserve">3.B.4.f. Mules and Asses </t>
  </si>
  <si>
    <t>3.B.4.g. Poultry</t>
  </si>
  <si>
    <r>
      <t xml:space="preserve">3.B.4.h. Other </t>
    </r>
    <r>
      <rPr>
        <i/>
        <sz val="9"/>
        <rFont val="Times New Roman"/>
        <family val="1"/>
      </rPr>
      <t>(please specify)</t>
    </r>
  </si>
  <si>
    <t>3.B.4.h.i. Rabbit</t>
  </si>
  <si>
    <t>3.B.4.h.ii. Reindeer</t>
  </si>
  <si>
    <t>3.B.4.h.iii. Ostrich</t>
  </si>
  <si>
    <r>
      <t xml:space="preserve">3.B.4.h.iv. Fur-bearing animals </t>
    </r>
    <r>
      <rPr>
        <vertAlign val="superscript"/>
        <sz val="9"/>
        <rFont val="Times New Roman"/>
        <family val="1"/>
      </rPr>
      <t>(5)</t>
    </r>
  </si>
  <si>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</si>
  <si>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</si>
  <si>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</si>
  <si>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</si>
  <si>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</si>
  <si>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</si>
  <si>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</si>
  <si>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</si>
  <si>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</si>
  <si>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</si>
  <si>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</si>
  <si>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</si>
  <si>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</si>
  <si>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</si>
  <si>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</si>
  <si>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</si>
  <si>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</si>
  <si>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animal)</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</si>
  <si>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</si>
  <si>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</si>
  <si>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</si>
  <si>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</si>
  <si>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</si>
  <si>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</si>
  <si>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</si>
  <si>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</si>
  <si>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</si>
  <si>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</si>
  <si>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</si>
  <si>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</si>
  <si>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</si>
  <si>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</si>
  <si>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</si>
  <si>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</si>
  <si>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</si>
  <si>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</si>
  <si>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</si>
  <si>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</si>
  <si>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</si>
  <si>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</si>
  <si>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</si>
  <si>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</si>
  <si>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</si>
  <si>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</si>
  <si>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</si>
  <si>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</si>
  <si>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</si>
  <si>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</si>
  <si>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</si>
  <si>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</si>
  <si>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</si>
  <si>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</si>
  <si>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</si>
  <si>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</si>
  <si>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</si>
  <si>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</si>
  <si>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t>3.C.4. Other (please specify)</t>
  </si>
  <si>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</si>
  <si>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</si>
  <si>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</si>
  <si>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</si>
  <si>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</si>
  <si>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</si>
  <si>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</si>
  <si>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</si>
  <si>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</si>
  <si>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</si>
  <si>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</si>
  <si>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</si>
  <si>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</si>
  <si>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</si>
  <si>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</si>
  <si>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</si>
  <si>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</si>
  <si>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</si>
  <si>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</si>
  <si>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r>
      <t>(a)</t>
    </r>
    <r>
      <rPr>
        <sz val="9"/>
        <rFont val="Times New Roman"/>
        <family val="1"/>
      </rPr>
      <t xml:space="preserve"> Use the definitions for fractions as specified in the 2006 IPCC Guidelines</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</si>
  <si>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</si>
  <si>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</si>
  <si>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</si>
  <si>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</si>
  <si>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</si>
  <si>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</si>
  <si>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</si>
  <si>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</si>
  <si>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t xml:space="preserve">N in mineral soils that is mineralized/immobilized in association with loss of soil C </t>
  </si>
  <si>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</si>
  <si>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</si>
  <si>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</si>
  <si>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t>Volatilized N from agricultural inputs of N</t>
  </si>
  <si>
    <t>3.D.2.b.   Nitrogen leaching and run-off</t>
  </si>
  <si>
    <t xml:space="preserve">N from fertilizers and other agricultural inputs that is lost through leaching and run-off </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</si>
  <si>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</si>
  <si>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</si>
  <si>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</si>
  <si>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</si>
  <si>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</si>
  <si>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</si>
  <si>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</si>
  <si>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</si>
  <si>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</si>
  <si>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</si>
  <si>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</si>
  <si>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</si>
  <si>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t xml:space="preserve">TABLE 3.F SECTORAL BACKGROUND DATA FOR AGRICULTURE </t>
  </si>
  <si>
    <t>Field burning of agricultural residues</t>
  </si>
  <si>
    <t xml:space="preserve">   ACTIVITY DATA AND OTHER RELATED INFORMATION</t>
  </si>
  <si>
    <t>Wheat</t>
  </si>
  <si>
    <t>Barley</t>
  </si>
  <si>
    <t>Maize</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</si>
  <si>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</si>
  <si>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</si>
  <si>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</si>
  <si>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</si>
  <si>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</si>
  <si>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</si>
  <si>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</si>
  <si>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</si>
  <si>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</si>
  <si>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</si>
  <si>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</si>
  <si>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</si>
  <si>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</si>
  <si>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</si>
  <si>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</si>
  <si>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</si>
  <si>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t xml:space="preserve">Note: Parties are encouraged to supply the additional information regardless of </t>
  </si>
  <si>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</si>
  <si>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</si>
  <si>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</si>
  <si>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</si>
  <si>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</si>
  <si>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</si>
  <si>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</si>
  <si>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</si>
  <si>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</si>
  <si>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</si>
  <si>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</si>
  <si>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</si>
  <si>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</si>
  <si>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</si>
  <si>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</si>
  <si>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</si>
  <si>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</si>
  <si>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</si>
  <si>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</si>
  <si>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t>TABLE 4 SECTORAL REPORT FOR LAND USE, LAND-USE CHANGE AND FORESTRY</t>
  </si>
  <si>
    <r>
      <t>CH</t>
    </r>
    <r>
      <rPr>
        <b/>
        <vertAlign val="subscript"/>
        <sz val="9"/>
        <rFont val="Times New Roman"/>
        <family val="1"/>
      </rPr>
      <t>4</t>
    </r>
    <r>
      <rPr>
        <vertAlign val="superscript"/>
        <sz val="9"/>
        <rFont val="Times New Roman"/>
        <family val="1"/>
      </rPr>
      <t>(2)</t>
    </r>
  </si>
  <si>
    <r>
      <t>N</t>
    </r>
    <r>
      <rPr>
        <b/>
        <vertAlign val="subscript"/>
        <sz val="9"/>
        <rFont val="Times New Roman"/>
        <family val="1"/>
      </rPr>
      <t>2</t>
    </r>
    <r>
      <rPr>
        <b/>
        <sz val="9"/>
        <rFont val="Times New Roman"/>
        <family val="1"/>
      </rPr>
      <t>O</t>
    </r>
    <r>
      <rPr>
        <vertAlign val="superscript"/>
        <sz val="9"/>
        <rFont val="Times New Roman"/>
        <family val="1"/>
      </rPr>
      <t>(2)</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</si>
  <si>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</si>
  <si>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</si>
  <si>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</si>
  <si>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</si>
  <si>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</si>
  <si>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</si>
  <si>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</si>
  <si>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</si>
  <si>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</si>
  <si>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</si>
  <si>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</si>
  <si>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t>4.D.1. Wetlands remaining wetlands</t>
  </si>
  <si>
    <t>4.D.2. Land converted to wetlands</t>
  </si>
  <si>
    <t>4.E. Settlements</t>
  </si>
  <si>
    <t>4.E.1. Settlements remaining settlements</t>
  </si>
  <si>
    <t>4.E.2. Land converted to settlements</t>
  </si>
  <si>
    <t>4.F.1. Other land remaining other land</t>
  </si>
  <si>
    <t>4.F.2. Land converted to other land</t>
  </si>
  <si>
    <t xml:space="preserve">Memo item: </t>
  </si>
  <si>
    <t>Table 4.1  LAND TRANSITION MATRIX</t>
  </si>
  <si>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</si>
  <si>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</si>
  <si>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</si>
  <si>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</si>
  <si>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</si>
  <si>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</si>
  <si>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</si>
  <si>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</si>
  <si>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</si>
  <si>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</si>
  <si>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</si>
  <si>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</si>
  <si>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</si>
  <si>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</si>
  <si>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t>Final area</t>
  </si>
  <si>
    <t>TABLE 4.A   SECTORAL BACKGROUND DATA FOR LAND USE, LAND-USE CHANGE AND FORESTRY</t>
  </si>
  <si>
    <t>Forest land</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</si>
  <si>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</si>
  <si>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</si>
  <si>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</si>
  <si>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</si>
  <si>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</si>
  <si>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</si>
  <si>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</si>
  <si>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t>Net carbon stock change in dead wood per area</t>
  </si>
  <si>
    <t>Net carbon stock change in litter  per area</t>
  </si>
  <si>
    <t>Net carbon stock change in soils per area</t>
  </si>
  <si>
    <t>Net carbon stock change in dead wood</t>
  </si>
  <si>
    <t>Net carbon stock change in litter</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</si>
  <si>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</si>
  <si>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</si>
  <si>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</si>
  <si>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</si>
  <si>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</si>
  <si>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</si>
  <si>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</si>
  <si>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</si>
  <si>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</si>
  <si>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</si>
  <si>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</si>
  <si>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</si>
  <si>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</si>
  <si>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r>
      <t xml:space="preserve">4.A.2. Land converted to forest land </t>
    </r>
    <r>
      <rPr>
        <vertAlign val="superscript"/>
        <sz val="9"/>
        <rFont val="Times New Roman"/>
        <family val="1"/>
      </rPr>
      <t>(10)</t>
    </r>
  </si>
  <si>
    <t>4.A.2.a. Cropland converted to forest land</t>
  </si>
  <si>
    <t>4.A.2.b. Grassland converted to forest land</t>
  </si>
  <si>
    <t>4.A.2.c. Wetlands converted to forest land</t>
  </si>
  <si>
    <t>4.A.2.d. Settlements converted to forest land</t>
  </si>
  <si>
    <t>4.A.2.e. Other land converted to forest land</t>
  </si>
  <si>
    <t>TABLE 4.B  SECTORAL BACKGROUND DATA FOR LAND USE, LAND-USE CHANGE AND FORESTRY</t>
  </si>
  <si>
    <t>Cropland</t>
  </si>
  <si>
    <t>Additional Information</t>
  </si>
  <si>
    <t>Net carbon stock change in dead organic matter per area</t>
  </si>
  <si>
    <r>
      <t>Net carbon stock change in dead organic matter</t>
    </r>
    <r>
      <rPr>
        <vertAlign val="superscript"/>
        <sz val="9"/>
        <rFont val="Times New Roman"/>
        <family val="1"/>
      </rPr>
      <t xml:space="preserve"> (8)</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</si>
  <si>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</si>
  <si>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</si>
  <si>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</si>
  <si>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</si>
  <si>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</si>
  <si>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</si>
  <si>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</si>
  <si>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</si>
  <si>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TABLE 4.C   SECTORAL BACKGROUND DATA FOR LAND USE, LAND-USE CHANGE AND FORESTRY</t>
  </si>
  <si>
    <t>Grassland</t>
  </si>
  <si>
    <r>
      <t>Net carbon stock change in dead organic matter</t>
    </r>
    <r>
      <rPr>
        <vertAlign val="superscript"/>
        <sz val="9"/>
        <rFont val="Times New Roman"/>
        <family val="1"/>
      </rPr>
      <t xml:space="preserve"> (7)</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</si>
  <si>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</si>
  <si>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</si>
  <si>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</si>
  <si>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r>
      <t xml:space="preserve">4.C.2. Land converted to grassland </t>
    </r>
    <r>
      <rPr>
        <vertAlign val="superscript"/>
        <sz val="9"/>
        <rFont val="Times New Roman"/>
        <family val="1"/>
      </rPr>
      <t xml:space="preserve">(11) </t>
    </r>
  </si>
  <si>
    <t>4.C.2.a. Forest land converted to grassland</t>
  </si>
  <si>
    <t>4.C.2.b. Cropland converted to grassland</t>
  </si>
  <si>
    <t>4.C.2.c. Wetlands converted to grassland</t>
  </si>
  <si>
    <t>4.C.2.d. Settlements converted to grassland</t>
  </si>
  <si>
    <t>4.C.2.e. Other land converted to grassland</t>
  </si>
  <si>
    <t>TABLE 4.D   SECTORAL BACKGROUND DATA FOR LAND USE, LAND-USE CHANGE AND FORESTRY</t>
  </si>
  <si>
    <t>Wetlands</t>
  </si>
  <si>
    <t>Net carbon stock change in dead organic matter</t>
  </si>
  <si>
    <t>Net carbon stock change in soils</t>
  </si>
  <si>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</si>
  <si>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</si>
  <si>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</si>
  <si>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r>
      <t xml:space="preserve">4.D.1.c. Other wetlands remaining other wetlands </t>
    </r>
    <r>
      <rPr>
        <vertAlign val="superscript"/>
        <sz val="9"/>
        <rFont val="Times New Roman"/>
        <family val="1"/>
      </rPr>
      <t>(9)</t>
    </r>
    <r>
      <rPr>
        <sz val="9"/>
        <rFont val="Times New Roman"/>
        <family val="1"/>
      </rPr>
      <t xml:space="preserve"> </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</si>
  <si>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</si>
  <si>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</si>
  <si>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</si>
  <si>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</si>
  <si>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</si>
  <si>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</si>
  <si>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</si>
  <si>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</si>
  <si>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</si>
  <si>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</si>
  <si>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</si>
  <si>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</si>
  <si>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</si>
  <si>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</si>
  <si>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</si>
  <si>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</si>
  <si>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</si>
  <si>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</si>
  <si>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</si>
  <si>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</si>
  <si>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</si>
  <si>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</si>
  <si>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</si>
  <si>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</si>
  <si>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</si>
  <si>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</si>
  <si>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</si>
  <si>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</si>
  <si>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</si>
  <si>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</si>
  <si>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</si>
  <si>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</si>
  <si>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</si>
  <si>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</si>
  <si>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</si>
  <si>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</si>
  <si>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</si>
  <si>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</si>
  <si>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</si>
  <si>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</si>
  <si>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</si>
  <si>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</si>
  <si>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</si>
  <si>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</si>
  <si>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</si>
  <si>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</si>
  <si>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</si>
  <si>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</si>
  <si>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</si>
  <si>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</si>
  <si>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</si>
  <si>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</si>
  <si>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</si>
  <si>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</si>
  <si>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</si>
  <si>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t>4(I).A.1. Forest land remaining forest land</t>
  </si>
  <si>
    <t>4(I).A.2. Land converted to forest land</t>
  </si>
  <si>
    <t>4(I).D.1. Wetlands remaining wetlands</t>
  </si>
  <si>
    <t>4(I).D.2. Land converted to wetlands</t>
  </si>
  <si>
    <t>4(I).E.1. Settlements remaining settlements</t>
  </si>
  <si>
    <t>4(I).E.2. Land converted to Settlements</t>
  </si>
  <si>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</si>
  <si>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</si>
  <si>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</si>
  <si>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</si>
  <si>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</si>
  <si>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</si>
  <si>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</si>
  <si>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</si>
  <si>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</si>
  <si>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</si>
  <si>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</si>
  <si>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</si>
  <si>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</si>
  <si>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</si>
  <si>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</si>
  <si>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</si>
  <si>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</si>
  <si>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</si>
  <si>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</si>
  <si>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</si>
  <si>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</si>
  <si>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</si>
  <si>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</si>
  <si>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</si>
  <si>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</si>
  <si>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</si>
  <si>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</si>
  <si>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</si>
  <si>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</si>
  <si>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</si>
  <si>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</si>
  <si>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</si>
  <si>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</si>
  <si>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</si>
  <si>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</si>
  <si>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</si>
  <si>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</si>
  <si>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</si>
  <si>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</si>
  <si>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</si>
  <si>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</si>
  <si>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</si>
  <si>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</si>
  <si>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</si>
  <si>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</si>
  <si>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</si>
  <si>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</si>
  <si>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</si>
  <si>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</si>
  <si>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</si>
  <si>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</si>
  <si>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</si>
  <si>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</si>
  <si>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</si>
  <si>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</si>
  <si>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</si>
  <si>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</si>
  <si>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</si>
  <si>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</si>
  <si>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</si>
  <si>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</si>
  <si>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</si>
  <si>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</si>
  <si>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</si>
  <si>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</si>
  <si>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</si>
  <si>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</si>
  <si>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</si>
  <si>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</si>
  <si>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t>4(II).E.1 Settlements remaining settlements</t>
  </si>
  <si>
    <t>4(II).E.2 Land converted to settlements</t>
  </si>
  <si>
    <t>4(II).E.2.a. Forest land converted to settlements</t>
  </si>
  <si>
    <t>4(II).E.2.b. Cropland converted to settlements</t>
  </si>
  <si>
    <t>4(II).E.2.e. Other land converted to settlements</t>
  </si>
  <si>
    <t>4(II).F.2 Land converted to other land</t>
  </si>
  <si>
    <t>4(II).F.2.a. Forest land converted to other land</t>
  </si>
  <si>
    <t>4(II).F.2.b. Cropland converted to other land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</si>
  <si>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</si>
  <si>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</si>
  <si>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</si>
  <si>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</si>
  <si>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</si>
  <si>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</si>
  <si>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</si>
  <si>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</si>
  <si>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</si>
  <si>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</si>
  <si>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4(III).A.1. Forest land remaining forest land</t>
  </si>
  <si>
    <t>4(III).A.2.a. Cropland converted to forest land</t>
  </si>
  <si>
    <t>4(III).A.2.b. Grassland converted to forest land</t>
  </si>
  <si>
    <t>4(III).A.2.c. Wetlands converted to forest land</t>
  </si>
  <si>
    <t>4(III).A.2.d. Settlements converted to forest land</t>
  </si>
  <si>
    <t>4(III).A.2.e. Other land converted to forest land</t>
  </si>
  <si>
    <t>4(III).B.2.a. Forest land converted to cropland</t>
  </si>
  <si>
    <t>4(III).B.2.b. Grassland converted to cropland</t>
  </si>
  <si>
    <t>4(III).B.2.c. Wetlands converted to cropland</t>
  </si>
  <si>
    <t>4(III).B.2.d. Settlements  converted to cropland</t>
  </si>
  <si>
    <t>4(III).B.2.e. Other land converted to cropland</t>
  </si>
  <si>
    <t>4(III).C.1. Grasslands remaining grasslands</t>
  </si>
  <si>
    <t>4(III).C.2.a. Forest land converted to grasslands</t>
  </si>
  <si>
    <t>4(III).C.2.b. Cropland converted to grasslands</t>
  </si>
  <si>
    <t>4(III).C.2.c. Wetlands converted to grasslands</t>
  </si>
  <si>
    <t>4(III).C.2.d. Settlements converted to grasslands</t>
  </si>
  <si>
    <t>4(III).C.2.e. Other land converted to grasslands</t>
  </si>
  <si>
    <t>4(III).D.1. Wetlands remaining wetlands</t>
  </si>
  <si>
    <t>4(III).D.2.a. Forest land converted to wetlands</t>
  </si>
  <si>
    <t>4(III).D.2.b. Cropland converted to wetlands</t>
  </si>
  <si>
    <t>4(III).D.2.c. Grassland converted to wetlands</t>
  </si>
  <si>
    <t>4(III).D.2.d. Settlements converted to wetlands</t>
  </si>
  <si>
    <t>4(III).D.2.e. Other land converted to wetlands</t>
  </si>
  <si>
    <t>4(III).E.1. Settlements remaining settlements</t>
  </si>
  <si>
    <t>4(III).E.2.a. Forest land converted to settlements</t>
  </si>
  <si>
    <t>4(III).E.2.b. Cropland converted to settlements</t>
  </si>
  <si>
    <t>4(III).E.2.c. Grassland converted to settlements</t>
  </si>
  <si>
    <t>4(III).E.2.d. Wetlands converted to settlements</t>
  </si>
  <si>
    <t>4(III).E.2.e. Other land converted to settlements</t>
  </si>
  <si>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</si>
  <si>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</si>
  <si>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</si>
  <si>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</si>
  <si>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</si>
  <si>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</si>
  <si>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</si>
  <si>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</si>
  <si>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</si>
  <si>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</si>
  <si>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</si>
  <si>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</si>
  <si>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</si>
  <si>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 xml:space="preserve">4(IV).A.1.a. Controlled burning </t>
  </si>
  <si>
    <t>4(IV).A.1.b. Wildfires</t>
  </si>
  <si>
    <t>4(IV).A.2. Land converted to forest land</t>
  </si>
  <si>
    <t xml:space="preserve">4(IV).A.2.a. Controlled burning </t>
  </si>
  <si>
    <t>4(IV).A.2.b. Wildfires</t>
  </si>
  <si>
    <t xml:space="preserve">4(IV).B.1.a. Controlled burning </t>
  </si>
  <si>
    <t>4(IV).B.1.b. Wildfires</t>
  </si>
  <si>
    <t>4(IV).B.2. Land converted to cropland</t>
  </si>
  <si>
    <t xml:space="preserve">4(IV).B.2.a. Controlled burning </t>
  </si>
  <si>
    <t>4(IV).B.2.b. Wildfires</t>
  </si>
  <si>
    <t xml:space="preserve">4(IV).C.1.a. Controlled burning </t>
  </si>
  <si>
    <t>4(IV).C.1.b. Wildfires</t>
  </si>
  <si>
    <t>4(IV).C.2. Land converted to grassland</t>
  </si>
  <si>
    <t xml:space="preserve">4(IV).C.2.a. Controlled burning </t>
  </si>
  <si>
    <t>4(IV).C.2.b. Wildfires</t>
  </si>
  <si>
    <t>4(IV).D.1. Wetlands remaining wetlands</t>
  </si>
  <si>
    <t xml:space="preserve">4(IV).D.1.a. Controlled burning </t>
  </si>
  <si>
    <t>4(IV).D.1.b. Wildfires</t>
  </si>
  <si>
    <t>4(IV).D.2. Land converted to wetlands</t>
  </si>
  <si>
    <t xml:space="preserve">4(IV).D.2.a. Controlled burning </t>
  </si>
  <si>
    <t>4(IV).D.2.b. Wildfires</t>
  </si>
  <si>
    <t xml:space="preserve">4(IV).E.1.a. Controlled burning </t>
  </si>
  <si>
    <t>4(IV).E.1.b. Wildfires</t>
  </si>
  <si>
    <t>4(IV).E.2. Land converted to settlementss</t>
  </si>
  <si>
    <t xml:space="preserve">4(IV).E.2.a. Controlled burning </t>
  </si>
  <si>
    <t>4(IV).E.2.b. Wildfires</t>
  </si>
  <si>
    <t>4(IV).F.2. Land converted to other lands</t>
  </si>
  <si>
    <t xml:space="preserve">4(IV).F.2.a. Controlled burning </t>
  </si>
  <si>
    <t>4(IV).F.2.b. Wildfires</t>
  </si>
  <si>
    <t>4(IV).H. Other (please specify)</t>
  </si>
  <si>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</si>
  <si>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</si>
  <si>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</si>
  <si>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</si>
  <si>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</si>
  <si>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</si>
  <si>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</si>
  <si>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</si>
  <si>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</si>
  <si>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</si>
  <si>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</si>
  <si>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</si>
  <si>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</si>
  <si>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</si>
  <si>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</si>
  <si>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</si>
  <si>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</si>
  <si>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</si>
  <si>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</si>
  <si>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t>4.G.2.a. Other (please specify)</t>
  </si>
  <si>
    <r>
      <t xml:space="preserve">4.G.3. Other </t>
    </r>
    <r>
      <rPr>
        <i/>
        <sz val="9"/>
        <rFont val="Times New Roman"/>
        <family val="1"/>
      </rPr>
      <t>(please specify)</t>
    </r>
  </si>
  <si>
    <r>
      <t xml:space="preserve">APPROACH  B </t>
    </r>
    <r>
      <rPr>
        <vertAlign val="superscript"/>
        <sz val="10"/>
        <rFont val="Times New Roman"/>
        <family val="1"/>
      </rPr>
      <t>(8)</t>
    </r>
  </si>
  <si>
    <t>HWP in use from domestic harvest</t>
  </si>
  <si>
    <t>Annual Change in stock
(ΔC HWP  IU DH)</t>
  </si>
  <si>
    <t>(yr)</t>
  </si>
  <si>
    <t>4.G. TOTAL HWP                                                         from domestic harvest (ΔC HWP  IU DH)</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</si>
  <si>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</si>
  <si>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</si>
  <si>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</si>
  <si>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</si>
  <si>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</si>
  <si>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</si>
  <si>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</si>
  <si>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</si>
  <si>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</si>
  <si>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</si>
  <si>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</si>
  <si>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</si>
  <si>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</si>
  <si>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</si>
  <si>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</si>
  <si>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</si>
  <si>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</si>
  <si>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</si>
  <si>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</si>
  <si>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</si>
  <si>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</si>
  <si>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</si>
  <si>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</si>
  <si>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</si>
  <si>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</si>
  <si>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</si>
  <si>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</si>
  <si>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</si>
  <si>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</si>
  <si>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</si>
  <si>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</si>
  <si>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</si>
  <si>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</si>
  <si>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Drop down list</t>
  </si>
  <si>
    <t>year</t>
  </si>
  <si>
    <r>
      <t>(1000 m</t>
    </r>
    <r>
      <rPr>
        <b/>
        <vertAlign val="superscript"/>
        <sz val="9"/>
        <rFont val="Times New Roman"/>
        <family val="1"/>
      </rPr>
      <t>3</t>
    </r>
    <r>
      <rPr>
        <b/>
        <sz val="9"/>
        <rFont val="Times New Roman"/>
        <family val="1"/>
      </rPr>
      <t xml:space="preserve"> )</t>
    </r>
  </si>
  <si>
    <t>( kt )</t>
  </si>
  <si>
    <t>([Unit])</t>
  </si>
  <si>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</si>
  <si>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</si>
  <si>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</si>
  <si>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TABLE 5 SECTORAL REPORT FOR WASTE</t>
  </si>
  <si>
    <t>GREENHOUSE GAS SOURCE AND  SINK CATEGORIES</t>
  </si>
  <si>
    <r>
      <t>SO</t>
    </r>
    <r>
      <rPr>
        <b/>
        <vertAlign val="subscript"/>
        <sz val="9"/>
        <rFont val="Times New Roman"/>
        <family val="1"/>
      </rPr>
      <t>X</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</si>
  <si>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</si>
  <si>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</si>
  <si>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</si>
  <si>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</si>
  <si>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</si>
  <si>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</si>
  <si>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</si>
  <si>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</si>
  <si>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</si>
  <si>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</si>
  <si>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</si>
  <si>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</si>
  <si>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</si>
  <si>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</si>
  <si>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 xml:space="preserve">Documentation box:  </t>
  </si>
  <si>
    <t>TABLE 5.A  SECTORAL BACKGROUND DATA  FOR WASTE</t>
  </si>
  <si>
    <t xml:space="preserve">Solid waste disposal </t>
  </si>
  <si>
    <t>ACTIVITY  DATA  AND  OTHER  RELATED  INFORMATION</t>
  </si>
  <si>
    <t xml:space="preserve">Annual waste </t>
  </si>
  <si>
    <t xml:space="preserve">at the SWDS   </t>
  </si>
  <si>
    <t>MCF</t>
  </si>
  <si>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</si>
  <si>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</si>
  <si>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</si>
  <si>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</si>
  <si>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</si>
  <si>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</si>
  <si>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</si>
  <si>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</si>
  <si>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</si>
  <si>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</si>
  <si>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</si>
  <si>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</si>
  <si>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</si>
  <si>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</si>
  <si>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</si>
  <si>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</si>
  <si>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</si>
  <si>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</si>
  <si>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</si>
  <si>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</si>
  <si>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</si>
  <si>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(please specify)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</si>
  <si>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</si>
  <si>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</si>
  <si>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(please specify)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</si>
  <si>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</si>
  <si>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</si>
  <si>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</si>
  <si>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</si>
  <si>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</si>
  <si>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</si>
  <si>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</si>
  <si>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</si>
  <si>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</si>
  <si>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</si>
  <si>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</si>
  <si>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i/>
        <sz val="9"/>
        <rFont val="Times New Roman"/>
        <family val="1"/>
      </rPr>
      <t>(please specify)</t>
    </r>
    <r>
      <rPr>
        <vertAlign val="superscript"/>
        <sz val="9"/>
        <rFont val="Times New Roman"/>
        <family val="1"/>
      </rPr>
      <t>(2)</t>
    </r>
  </si>
  <si>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</si>
  <si>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</si>
  <si>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</si>
  <si>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</si>
  <si>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</si>
  <si>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</si>
  <si>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</si>
  <si>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i/>
        <sz val="9"/>
        <rFont val="Times New Roman"/>
        <family val="1"/>
      </rPr>
      <t>(please specify)</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</si>
  <si>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</si>
  <si>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</si>
  <si>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</si>
  <si>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</si>
  <si>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</si>
  <si>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</si>
  <si>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</si>
  <si>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</si>
  <si>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</si>
  <si>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</si>
  <si>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</si>
  <si>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</si>
  <si>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</si>
  <si>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</si>
  <si>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</si>
  <si>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</si>
  <si>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</si>
  <si>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</si>
  <si>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</si>
  <si>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</si>
  <si>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</si>
  <si>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</si>
  <si>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</si>
  <si>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</si>
  <si>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</si>
  <si>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</si>
  <si>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</si>
  <si>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</si>
  <si>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</si>
  <si>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</si>
  <si>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</si>
  <si>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</si>
  <si>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</si>
  <si>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</si>
  <si>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</si>
  <si>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</si>
  <si>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</si>
  <si>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</si>
  <si>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t xml:space="preserve">CO </t>
  </si>
  <si>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</si>
  <si>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</si>
  <si>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</si>
  <si>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</si>
  <si>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</si>
  <si>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</si>
  <si>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</si>
  <si>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</si>
  <si>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</si>
  <si>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</si>
  <si>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</si>
  <si>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</si>
  <si>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</si>
  <si>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</si>
  <si>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</si>
  <si>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</si>
  <si>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</si>
  <si>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</si>
  <si>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</si>
  <si>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</si>
  <si>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</si>
  <si>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</si>
  <si>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</si>
  <si>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</si>
  <si>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</si>
  <si>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t>5.  Waste</t>
  </si>
  <si>
    <t xml:space="preserve">5.B.  Biological treatment of solid waste </t>
  </si>
  <si>
    <t>5.D.  Wastewater treatment and discharge</t>
  </si>
  <si>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</si>
  <si>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</si>
  <si>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</si>
  <si>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</si>
  <si>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</si>
  <si>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</si>
  <si>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</si>
  <si>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</si>
  <si>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</si>
  <si>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</si>
  <si>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</si>
  <si>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t xml:space="preserve">Total </t>
  </si>
  <si>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</si>
  <si>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</si>
  <si>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</si>
  <si>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</si>
  <si>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</si>
  <si>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</si>
  <si>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</si>
  <si>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</si>
  <si>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</si>
  <si>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</si>
  <si>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</si>
  <si>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</si>
  <si>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</si>
  <si>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</si>
  <si>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</si>
  <si>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</si>
  <si>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</si>
  <si>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</si>
  <si>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</si>
  <si>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</si>
  <si>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</si>
  <si>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</si>
  <si>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</si>
  <si>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t xml:space="preserve">SUMMARY 3   SUMMARY REPORT FOR  METHODS AND EMISSION FACTORS USED </t>
  </si>
  <si>
    <t>HFCs</t>
  </si>
  <si>
    <t>CATEGORIES</t>
  </si>
  <si>
    <t>Method applied</t>
  </si>
  <si>
    <t>Emission factor</t>
  </si>
  <si>
    <t>2.  Industrial processes</t>
  </si>
  <si>
    <t>4.  Land use, land-use change and forestry</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</si>
  <si>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</si>
  <si>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GREENHOUSE GAS EMISSIONS AND REMOVALS</t>
  </si>
  <si>
    <t xml:space="preserve">SOURCE EMISSIONS </t>
  </si>
  <si>
    <t>INDIRECT EMISSIONS</t>
  </si>
  <si>
    <t xml:space="preserve"> NOx </t>
  </si>
  <si>
    <r>
      <t>NH</t>
    </r>
    <r>
      <rPr>
        <b/>
        <vertAlign val="subscript"/>
        <sz val="9"/>
        <color indexed="8"/>
        <rFont val="Times New Roman"/>
        <family val="1"/>
      </rPr>
      <t>3</t>
    </r>
  </si>
  <si>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</si>
  <si>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</si>
  <si>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</si>
  <si>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</si>
  <si>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t>Gas</t>
  </si>
  <si>
    <t>Criteria used for key source identification</t>
  </si>
  <si>
    <t>L</t>
  </si>
  <si>
    <t>T</t>
  </si>
  <si>
    <t>1.A.1 Fuel combustion - Energy Industries - Liquid Fuels</t>
  </si>
  <si>
    <r>
      <t>CO</t>
    </r>
    <r>
      <rPr>
        <vertAlign val="subscript"/>
        <sz val="9"/>
        <rFont val="Times New Roman"/>
        <family val="1"/>
      </rPr>
      <t>2</t>
    </r>
  </si>
  <si>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</si>
  <si>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</si>
  <si>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</si>
  <si>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</si>
  <si>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</si>
  <si>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</si>
  <si>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</si>
  <si>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</si>
  <si>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</si>
  <si>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</si>
  <si>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</si>
  <si>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</si>
  <si>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</si>
  <si>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</si>
  <si>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</si>
  <si>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</si>
  <si>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</si>
  <si>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</si>
  <si>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</si>
  <si>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</si>
  <si>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</si>
  <si>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</si>
  <si>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</si>
  <si>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</si>
  <si>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</si>
  <si>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</si>
  <si>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</si>
  <si>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</si>
  <si>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</si>
  <si>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</si>
  <si>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</si>
  <si>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</si>
  <si>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</si>
  <si>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</si>
  <si>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</si>
  <si>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</si>
  <si>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</si>
  <si>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</si>
  <si>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</si>
  <si>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</si>
  <si>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</si>
  <si>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</si>
  <si>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</si>
  <si>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</si>
  <si>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</si>
  <si>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</si>
  <si>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</si>
  <si>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</si>
  <si>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</si>
  <si>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</si>
  <si>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</si>
  <si>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</si>
  <si>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</si>
  <si>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</si>
  <si>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</si>
  <si>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</si>
  <si>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</si>
  <si>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</si>
  <si>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</si>
  <si>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</si>
  <si>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t>SF</t>
    </r>
    <r>
      <rPr>
        <vertAlign val="subscript"/>
        <sz val="9"/>
        <rFont val="Times New Roman"/>
        <family val="1"/>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</si>
  <si>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</si>
  <si>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</si>
  <si>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</si>
  <si>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</si>
  <si>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</si>
  <si>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</si>
  <si>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</si>
  <si>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</si>
  <si>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</si>
  <si>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</si>
  <si>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</si>
  <si>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</si>
  <si>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</si>
  <si>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</si>
  <si>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</si>
  <si>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</si>
  <si>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</si>
  <si>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</si>
  <si>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</si>
  <si>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</si>
  <si>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</si>
  <si>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</si>
  <si>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</si>
  <si>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</si>
  <si>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</si>
  <si>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</si>
  <si>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</si>
  <si>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</si>
  <si>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</si>
  <si>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</si>
  <si>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</si>
  <si>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</si>
  <si>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</si>
  <si>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</si>
  <si>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</si>
  <si>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</si>
  <si>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</si>
  <si>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</si>
  <si>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</si>
  <si>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</si>
  <si>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</si>
  <si>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</si>
  <si>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</si>
  <si>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t>4(II). Emissions and removals from drainage and rewetting and other management of organic and mineral soils</t>
  </si>
  <si>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</si>
  <si>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</si>
  <si>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</si>
  <si>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</si>
  <si>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</si>
  <si>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</si>
  <si>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</si>
  <si>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</si>
  <si>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</si>
  <si>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</si>
  <si>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</si>
  <si>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</si>
  <si>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</si>
  <si>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</si>
  <si>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</si>
  <si>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</si>
  <si>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</si>
  <si>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</si>
  <si>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</si>
  <si>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</si>
  <si>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r>
      <t>4.  Land use, land-use change and forestry (net)</t>
    </r>
    <r>
      <rPr>
        <vertAlign val="superscript"/>
        <sz val="10"/>
        <rFont val="Times New Roman"/>
        <family val="1"/>
      </rPr>
      <t xml:space="preserve"> (5)</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</si>
  <si>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</si>
  <si>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</si>
  <si>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</si>
  <si>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</si>
  <si>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</si>
  <si>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t>NF</t>
    </r>
    <r>
      <rPr>
        <b/>
        <vertAlign val="subscript"/>
        <sz val="10"/>
        <rFont val="Times New Roman"/>
        <family val="1"/>
      </rPr>
      <t>3</t>
    </r>
  </si>
  <si>
    <t>Total Actual Emissions</t>
  </si>
  <si>
    <t>2.B.9. Flurochemical production</t>
  </si>
  <si>
    <t xml:space="preserve">2.H.   Other </t>
  </si>
  <si>
    <t>TABLE 9  COMPLETENESS  - INFORMATION ON NOTATION KEYS</t>
  </si>
  <si>
    <t>GHG</t>
  </si>
  <si>
    <t>Explanation</t>
  </si>
  <si>
    <r>
      <t>CO</t>
    </r>
    <r>
      <rPr>
        <vertAlign val="subscript"/>
        <sz val="9"/>
        <color indexed="8"/>
        <rFont val="Times New Roman"/>
        <family val="1"/>
      </rPr>
      <t>2</t>
    </r>
  </si>
  <si>
    <r>
      <t>CH</t>
    </r>
    <r>
      <rPr>
        <vertAlign val="subscript"/>
        <sz val="9"/>
        <color indexed="8"/>
        <rFont val="Times New Roman"/>
        <family val="1"/>
      </rPr>
      <t>4</t>
    </r>
  </si>
  <si>
    <r>
      <t>N</t>
    </r>
    <r>
      <rPr>
        <vertAlign val="subscript"/>
        <sz val="9"/>
        <color indexed="8"/>
        <rFont val="Times New Roman"/>
        <family val="1"/>
      </rPr>
      <t>2</t>
    </r>
    <r>
      <rPr>
        <sz val="9"/>
        <color indexed="8"/>
        <rFont val="Times New Roman"/>
        <family val="1"/>
      </rPr>
      <t>O</t>
    </r>
  </si>
  <si>
    <r>
      <t>NF</t>
    </r>
    <r>
      <rPr>
        <vertAlign val="subscript"/>
        <sz val="9"/>
        <color indexed="8"/>
        <rFont val="Times New Roman"/>
        <family val="1"/>
      </rPr>
      <t>3</t>
    </r>
  </si>
  <si>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</si>
  <si>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</si>
  <si>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</si>
  <si>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</si>
  <si>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</si>
  <si>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</si>
  <si>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</si>
  <si>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</si>
  <si>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</si>
  <si>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</si>
  <si>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</si>
  <si>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</si>
  <si>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</si>
  <si>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</si>
  <si>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</si>
  <si>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</si>
  <si>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</si>
  <si>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</si>
  <si>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</si>
  <si>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</si>
  <si>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</si>
  <si>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</si>
  <si>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</si>
  <si>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</si>
  <si>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</si>
  <si>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</si>
  <si>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</si>
  <si>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</si>
  <si>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</si>
  <si>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</si>
  <si>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</si>
  <si>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</si>
  <si>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</si>
  <si>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</si>
  <si>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</si>
  <si>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</si>
  <si>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</si>
  <si>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</si>
  <si>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</si>
  <si>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</si>
  <si>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</si>
  <si>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</si>
  <si>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</si>
  <si>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</si>
  <si>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</si>
  <si>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</si>
  <si>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</si>
  <si>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</si>
  <si>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</si>
  <si>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</si>
  <si>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</si>
  <si>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NF</t>
    </r>
    <r>
      <rPr>
        <vertAlign val="sub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</si>
  <si>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</si>
  <si>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</si>
  <si>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</si>
  <si>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</si>
  <si>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</si>
  <si>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</si>
  <si>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</si>
  <si>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</si>
  <si>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</si>
  <si>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</si>
  <si>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</si>
  <si>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</si>
  <si>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</si>
  <si>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</si>
  <si>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</si>
  <si>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</si>
  <si>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</si>
  <si>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</si>
  <si>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</si>
  <si>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t>SUMMARY TABLE ON THE USE OF FLEXIBILITY PROVISIONS</t>
  </si>
  <si>
    <t>MPG flexibility provision</t>
  </si>
  <si>
    <t>Sector</t>
  </si>
  <si>
    <t>Category</t>
  </si>
  <si>
    <t xml:space="preserve">Gas </t>
  </si>
  <si>
    <t>Description of the application of flexibility</t>
  </si>
  <si>
    <t>Clarification of capacity constraint</t>
  </si>
  <si>
    <t>Timeframe for improvement</t>
  </si>
  <si>
    <t>Progress made in addressing areas of improvement</t>
  </si>
  <si>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</si>
  <si>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</si>
  <si>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</si>
  <si>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</si>
  <si>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</si>
  <si>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</si>
  <si>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</si>
  <si>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</si>
  <si>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r>
      <t>Other oil</t>
    </r>
    <r>
      <rPr>
        <vertAlign val="superscript"/>
        <sz val="9"/>
        <color indexed="8"/>
        <rFont val="Times New Roman"/>
        <family val="1"/>
      </rPr>
      <t xml:space="preserve"> (5)</t>
    </r>
  </si>
  <si>
    <r>
      <t>Coal tar</t>
    </r>
    <r>
      <rPr>
        <vertAlign val="superscript"/>
        <sz val="9"/>
        <color indexed="8"/>
        <rFont val="Times New Roman"/>
        <family val="1"/>
      </rPr>
      <t xml:space="preserve"> (6)</t>
    </r>
  </si>
  <si>
    <r>
      <t>Natural gas (dry)</t>
    </r>
    <r>
      <rPr>
        <vertAlign val="superscript"/>
        <sz val="9"/>
        <color indexed="8"/>
        <rFont val="Times New Roman"/>
        <family val="1"/>
      </rPr>
      <t xml:space="preserve"> (3,7)</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</si>
  <si>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</si>
  <si>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 xml:space="preserve">    (pp. 11.13</t>
    </r>
    <r>
      <rPr>
        <sz val="9"/>
        <rFont val="Arial"/>
        <family val="2"/>
      </rPr>
      <t>–</t>
    </r>
    <r>
      <rPr>
        <sz val="9"/>
        <rFont val="Times New Roman"/>
        <family val="1"/>
      </rPr>
      <t>11.22, chap. 11, vol. 4).</t>
    </r>
  </si>
  <si>
    <t>AD</t>
  </si>
  <si>
    <t>activity data</t>
  </si>
  <si>
    <t>BKB</t>
  </si>
  <si>
    <t>brown coal briquettes</t>
  </si>
  <si>
    <t>methane</t>
  </si>
  <si>
    <t>CMA</t>
  </si>
  <si>
    <t>Conference of the Parties serving as the meeting of the Parties to the Paris Agreement</t>
  </si>
  <si>
    <t>CNG</t>
  </si>
  <si>
    <t>compressed natural gas</t>
  </si>
  <si>
    <t>carbon monoxides</t>
  </si>
  <si>
    <t>carbon dioxide</t>
  </si>
  <si>
    <t>carbon dioxide equivalent</t>
  </si>
  <si>
    <t>CRT</t>
  </si>
  <si>
    <t>common reporting table</t>
  </si>
  <si>
    <t>EGR</t>
  </si>
  <si>
    <t>enhanced gas recovery</t>
  </si>
  <si>
    <t>EOR</t>
  </si>
  <si>
    <t>enhanced oil recovery</t>
  </si>
  <si>
    <t>GCV</t>
  </si>
  <si>
    <t>gross calorific values</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</si>
  <si>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</si>
  <si>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</si>
  <si>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</si>
  <si>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</si>
  <si>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</si>
  <si>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</si>
  <si>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</si>
  <si>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</si>
  <si>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</si>
  <si>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</si>
  <si>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</si>
  <si>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</si>
  <si>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</si>
  <si>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</si>
  <si>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</si>
  <si>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LULUCF</t>
  </si>
  <si>
    <t>land use, land-use change and forestry</t>
  </si>
  <si>
    <t>MPGs</t>
  </si>
  <si>
    <t>modalities, procedures and guidelines for the transparency framework for action and support referred to in Article 13 of the Paris Agreement</t>
  </si>
  <si>
    <t>nitrous oxide</t>
  </si>
  <si>
    <t>NCV</t>
  </si>
  <si>
    <t>net calorific values</t>
  </si>
  <si>
    <t>NEU</t>
  </si>
  <si>
    <t>non-energy use</t>
  </si>
  <si>
    <t>nitrogen trifluoride</t>
  </si>
  <si>
    <t>NID</t>
  </si>
  <si>
    <t>national inventory document</t>
  </si>
  <si>
    <t>non-methane volatile organic compounds</t>
  </si>
  <si>
    <t>nitrogen oxides</t>
  </si>
  <si>
    <t>PFC</t>
  </si>
  <si>
    <t>perfluorocarbon</t>
  </si>
  <si>
    <t>RA</t>
  </si>
  <si>
    <t>reference approach</t>
  </si>
  <si>
    <t>SA</t>
  </si>
  <si>
    <t>sectoral approach</t>
  </si>
  <si>
    <t>sulfur hexafluoride</t>
  </si>
  <si>
    <t>sulfur oxide</t>
  </si>
  <si>
    <t>Abbreviations and acronyms</t>
  </si>
  <si>
    <r>
      <t>CO</t>
    </r>
    <r>
      <rPr>
        <b/>
        <vertAlign val="subscript"/>
        <sz val="9"/>
        <rFont val="Times New Roman"/>
        <family val="1"/>
      </rPr>
      <t xml:space="preserve">2 </t>
    </r>
  </si>
  <si>
    <t>TABLE 3.G-J SECTORAL BACKGROUND DATA FOR AGRICULTURE</t>
  </si>
  <si>
    <t>SWDS</t>
  </si>
  <si>
    <t>solid waste disposal site</t>
  </si>
  <si>
    <t>methane correction factor</t>
  </si>
  <si>
    <t>DOC</t>
  </si>
  <si>
    <t>degradable organic carbon</t>
  </si>
  <si>
    <t>COD</t>
  </si>
  <si>
    <t>chemical oxygen demand</t>
  </si>
  <si>
    <t>BOD</t>
  </si>
  <si>
    <t>biochemical oxygen demand</t>
  </si>
  <si>
    <t xml:space="preserve">Fraction of non-consumed protein added to the wastewater </t>
  </si>
  <si>
    <t xml:space="preserve">Fraction of industrial and commercial co-discharged protein into the sewer system </t>
  </si>
  <si>
    <t>N</t>
  </si>
  <si>
    <t>nitrogen</t>
  </si>
  <si>
    <t>ODS</t>
  </si>
  <si>
    <t>ozone depleting substances</t>
  </si>
  <si>
    <r>
      <t>Total emissions</t>
    </r>
    <r>
      <rPr>
        <vertAlign val="superscript"/>
        <sz val="9"/>
        <rFont val="Times New Roman"/>
        <family val="1"/>
      </rPr>
      <t xml:space="preserve"> (3)</t>
    </r>
  </si>
  <si>
    <t>Mg</t>
  </si>
  <si>
    <t>magnesium</t>
  </si>
  <si>
    <t>LPG</t>
  </si>
  <si>
    <t>liquefied petroleum gas</t>
  </si>
  <si>
    <r>
      <t xml:space="preserve">4(IV).C.1. Grassland remaining grassland </t>
    </r>
    <r>
      <rPr>
        <vertAlign val="superscript"/>
        <sz val="9"/>
        <rFont val="Times New Roman"/>
        <family val="1"/>
      </rPr>
      <t>(6)</t>
    </r>
  </si>
  <si>
    <r>
      <t>CATEGORIES</t>
    </r>
    <r>
      <rPr>
        <vertAlign val="superscript"/>
        <sz val="9"/>
        <rFont val="Times New Roman"/>
        <family val="1"/>
      </rPr>
      <t>(3)</t>
    </r>
  </si>
  <si>
    <t>MMS</t>
  </si>
  <si>
    <t>manure management system</t>
  </si>
  <si>
    <t>4.G.2(II).a. Other (please specify)</t>
  </si>
  <si>
    <r>
      <t xml:space="preserve">Value </t>
    </r>
    <r>
      <rPr>
        <sz val="9"/>
        <rFont val="Times New Roman"/>
        <family val="1"/>
      </rPr>
      <t xml:space="preserve"> </t>
    </r>
  </si>
  <si>
    <r>
      <t xml:space="preserve">4(I).A. Forest land </t>
    </r>
    <r>
      <rPr>
        <vertAlign val="superscript"/>
        <sz val="9"/>
        <rFont val="Times New Roman"/>
        <family val="1"/>
      </rPr>
      <t xml:space="preserve">(6)(7) </t>
    </r>
  </si>
  <si>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</si>
  <si>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</si>
  <si>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</si>
  <si>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</si>
  <si>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</si>
  <si>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</si>
  <si>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</si>
  <si>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</si>
  <si>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</si>
  <si>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</si>
  <si>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</si>
  <si>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</si>
  <si>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</si>
  <si>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</si>
  <si>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</si>
  <si>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</si>
  <si>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</si>
  <si>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4(II).E. Settlements</t>
    </r>
    <r>
      <rPr>
        <vertAlign val="superscript"/>
        <sz val="9"/>
        <rFont val="Times New Roman"/>
        <family val="1"/>
      </rPr>
      <t>(5)</t>
    </r>
  </si>
  <si>
    <r>
      <t>4(III).A. Forest land</t>
    </r>
    <r>
      <rPr>
        <vertAlign val="superscript"/>
        <sz val="9"/>
        <rFont val="Times New Roman"/>
        <family val="1"/>
      </rPr>
      <t>(7)</t>
    </r>
  </si>
  <si>
    <r>
      <t xml:space="preserve">4(III).A.2. Lands converted to forest land </t>
    </r>
    <r>
      <rPr>
        <vertAlign val="superscript"/>
        <sz val="9"/>
        <rFont val="Times New Roman"/>
        <family val="1"/>
      </rPr>
      <t>(8)</t>
    </r>
  </si>
  <si>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</si>
  <si>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</si>
  <si>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r>
      <t>4(III).C. Grasslands</t>
    </r>
    <r>
      <rPr>
        <vertAlign val="superscript"/>
        <sz val="9"/>
        <rFont val="Times New Roman"/>
        <family val="1"/>
      </rPr>
      <t>(7)</t>
    </r>
  </si>
  <si>
    <r>
      <t xml:space="preserve">4(III).C.2. Lands converted to grasslands </t>
    </r>
    <r>
      <rPr>
        <vertAlign val="superscript"/>
        <sz val="9"/>
        <rFont val="Times New Roman"/>
        <family val="1"/>
      </rPr>
      <t>(8)</t>
    </r>
  </si>
  <si>
    <r>
      <t>4(III).D. Wetlands</t>
    </r>
    <r>
      <rPr>
        <vertAlign val="superscript"/>
        <sz val="9"/>
        <rFont val="Times New Roman"/>
        <family val="1"/>
      </rPr>
      <t>(7)</t>
    </r>
    <r>
      <rPr>
        <b/>
        <sz val="9"/>
        <rFont val="Times New Roman"/>
        <family val="1"/>
      </rPr>
      <t xml:space="preserve"> </t>
    </r>
  </si>
  <si>
    <r>
      <t xml:space="preserve">4(III).D.2. Lands converted to wetlands </t>
    </r>
    <r>
      <rPr>
        <vertAlign val="superscript"/>
        <sz val="9"/>
        <rFont val="Times New Roman"/>
        <family val="1"/>
      </rPr>
      <t>(8)</t>
    </r>
  </si>
  <si>
    <r>
      <t>4(III).E. Settlements</t>
    </r>
    <r>
      <rPr>
        <vertAlign val="superscript"/>
        <sz val="9"/>
        <rFont val="Times New Roman"/>
        <family val="1"/>
      </rPr>
      <t>(7)</t>
    </r>
    <r>
      <rPr>
        <i/>
        <sz val="9"/>
        <rFont val="Times New Roman"/>
        <family val="1"/>
      </rPr>
      <t xml:space="preserve"> </t>
    </r>
  </si>
  <si>
    <r>
      <t xml:space="preserve">4(III).E.2. Lands converted to settlements </t>
    </r>
    <r>
      <rPr>
        <vertAlign val="superscript"/>
        <sz val="9"/>
        <rFont val="Times New Roman"/>
        <family val="1"/>
      </rPr>
      <t>(8)</t>
    </r>
  </si>
  <si>
    <r>
      <t xml:space="preserve">4(III).F.2. Lands converted to other land </t>
    </r>
    <r>
      <rPr>
        <vertAlign val="superscript"/>
        <sz val="9"/>
        <rFont val="Times New Roman"/>
        <family val="1"/>
      </rPr>
      <t>(8)</t>
    </r>
  </si>
  <si>
    <r>
      <t xml:space="preserve">4(IV).A.1. Forest land remaining forest land </t>
    </r>
    <r>
      <rPr>
        <vertAlign val="superscript"/>
        <sz val="9"/>
        <rFont val="Times New Roman"/>
        <family val="1"/>
      </rPr>
      <t>(8)</t>
    </r>
  </si>
  <si>
    <r>
      <t xml:space="preserve">4(IV).B.1.  Cropland remaining cropland </t>
    </r>
    <r>
      <rPr>
        <vertAlign val="superscript"/>
        <sz val="9"/>
        <rFont val="Times New Roman"/>
        <family val="1"/>
      </rPr>
      <t>(9)</t>
    </r>
  </si>
  <si>
    <r>
      <t>4(I). Direct and indirect N</t>
    </r>
    <r>
      <rPr>
        <vertAlign val="subscript"/>
        <sz val="9"/>
        <rFont val="Times New Roman"/>
        <family val="1"/>
      </rPr>
      <t>2</t>
    </r>
    <r>
      <rPr>
        <sz val="9"/>
        <rFont val="Times New Roman"/>
        <family val="1"/>
      </rPr>
      <t>O emissions from N inputs to managed soils</t>
    </r>
  </si>
  <si>
    <r>
      <t>4(III).Direct and indirect N</t>
    </r>
    <r>
      <rPr>
        <vertAlign val="subscript"/>
        <sz val="9"/>
        <rFont val="Times New Roman"/>
        <family val="1"/>
      </rPr>
      <t>2</t>
    </r>
    <r>
      <rPr>
        <sz val="9"/>
        <rFont val="Times New Roman"/>
        <family val="1"/>
      </rPr>
      <t>O emissions from N mineralization/immobilization</t>
    </r>
  </si>
  <si>
    <t>EF</t>
  </si>
  <si>
    <t>emission factor</t>
  </si>
  <si>
    <t>MSW</t>
  </si>
  <si>
    <t>municipal solid waste</t>
  </si>
  <si>
    <t>NDC</t>
  </si>
  <si>
    <t>nationally determined contributions</t>
  </si>
  <si>
    <t>TABLE 7   SUMMARY OVERVIEW FOR KEY CATEGORIES</t>
  </si>
  <si>
    <r>
      <t>CH</t>
    </r>
    <r>
      <rPr>
        <vertAlign val="subscript"/>
        <sz val="12"/>
        <rFont val="Times New Roman"/>
        <family val="1"/>
      </rPr>
      <t xml:space="preserve">4 </t>
    </r>
  </si>
  <si>
    <r>
      <t>CO</t>
    </r>
    <r>
      <rPr>
        <vertAlign val="subscript"/>
        <sz val="12"/>
        <rFont val="Times New Roman"/>
        <family val="1"/>
      </rPr>
      <t>2</t>
    </r>
  </si>
  <si>
    <r>
      <t>CO</t>
    </r>
    <r>
      <rPr>
        <vertAlign val="subscript"/>
        <sz val="12"/>
        <rFont val="Times New Roman"/>
        <family val="1"/>
      </rPr>
      <t>2</t>
    </r>
    <r>
      <rPr>
        <sz val="12"/>
        <rFont val="Times New Roman"/>
        <family val="1"/>
      </rPr>
      <t xml:space="preserve"> eq</t>
    </r>
  </si>
  <si>
    <r>
      <t>F</t>
    </r>
    <r>
      <rPr>
        <vertAlign val="subscript"/>
        <sz val="12"/>
        <color rgb="FF000000"/>
        <rFont val="Times New Roman"/>
        <family val="1"/>
      </rPr>
      <t>NON-CON</t>
    </r>
  </si>
  <si>
    <r>
      <t>F</t>
    </r>
    <r>
      <rPr>
        <vertAlign val="subscript"/>
        <sz val="12"/>
        <color rgb="FF000000"/>
        <rFont val="Times New Roman"/>
        <family val="1"/>
      </rPr>
      <t>IND-COM</t>
    </r>
  </si>
  <si>
    <r>
      <t>N</t>
    </r>
    <r>
      <rPr>
        <vertAlign val="subscript"/>
        <sz val="12"/>
        <rFont val="Times New Roman"/>
        <family val="1"/>
      </rPr>
      <t>2</t>
    </r>
    <r>
      <rPr>
        <sz val="12"/>
        <rFont val="Times New Roman"/>
        <family val="1"/>
      </rPr>
      <t>O</t>
    </r>
  </si>
  <si>
    <r>
      <t>NF</t>
    </r>
    <r>
      <rPr>
        <vertAlign val="subscript"/>
        <sz val="12"/>
        <rFont val="Times New Roman"/>
        <family val="1"/>
      </rPr>
      <t>3</t>
    </r>
  </si>
  <si>
    <r>
      <t>NO</t>
    </r>
    <r>
      <rPr>
        <vertAlign val="subscript"/>
        <sz val="12"/>
        <rFont val="Times New Roman"/>
        <family val="1"/>
      </rPr>
      <t>X</t>
    </r>
  </si>
  <si>
    <r>
      <t>SF</t>
    </r>
    <r>
      <rPr>
        <vertAlign val="subscript"/>
        <sz val="12"/>
        <rFont val="Times New Roman"/>
        <family val="1"/>
      </rPr>
      <t>6</t>
    </r>
  </si>
  <si>
    <r>
      <t>SO</t>
    </r>
    <r>
      <rPr>
        <vertAlign val="subscript"/>
        <sz val="12"/>
        <rFont val="Times New Roman"/>
        <family val="1"/>
      </rPr>
      <t>X</t>
    </r>
  </si>
  <si>
    <t>\</t>
  </si>
  <si>
    <r>
      <rPr>
        <b/>
        <sz val="10"/>
        <rFont val="Times New Roman"/>
        <family val="1"/>
      </rPr>
      <t>Note:</t>
    </r>
    <r>
      <rPr>
        <sz val="10"/>
        <rFont val="Times New Roman"/>
        <family val="1"/>
      </rPr>
      <t xml:space="preserve"> All footnotes for this table are given at the end of the table on sheet 2.</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</si>
  <si>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</si>
  <si>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t>Table3.G-J</t>
  </si>
  <si>
    <r>
      <t>NCV/ GCV</t>
    </r>
    <r>
      <rPr>
        <b/>
        <vertAlign val="superscript"/>
        <sz val="9"/>
        <color indexed="8"/>
        <rFont val="Times New Roman"/>
        <family val="1"/>
      </rPr>
      <t xml:space="preserve"> </t>
    </r>
    <r>
      <rPr>
        <vertAlign val="superscript"/>
        <sz val="9"/>
        <color rgb="FF000000"/>
        <rFont val="Times New Roman"/>
        <family val="1"/>
      </rPr>
      <t>(2)</t>
    </r>
  </si>
  <si>
    <r>
      <t>CO</t>
    </r>
    <r>
      <rPr>
        <b/>
        <vertAlign val="subscript"/>
        <sz val="9"/>
        <rFont val="Times New Roman"/>
        <family val="1"/>
      </rPr>
      <t xml:space="preserve">2 </t>
    </r>
    <r>
      <rPr>
        <vertAlign val="superscript"/>
        <sz val="9"/>
        <rFont val="Times New Roman"/>
        <family val="1"/>
      </rPr>
      <t>(4)</t>
    </r>
  </si>
  <si>
    <r>
      <t xml:space="preserve">(TJ/Unit) </t>
    </r>
    <r>
      <rPr>
        <vertAlign val="superscript"/>
        <sz val="9"/>
        <color rgb="FF000000"/>
        <rFont val="Times New Roman"/>
        <family val="1"/>
      </rPr>
      <t>(1)</t>
    </r>
    <r>
      <rPr>
        <b/>
        <vertAlign val="superscript"/>
        <sz val="9"/>
        <color indexed="8"/>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</si>
  <si>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(1)</t>
    </r>
  </si>
  <si>
    <r>
      <t xml:space="preserve">Peat </t>
    </r>
    <r>
      <rPr>
        <vertAlign val="superscript"/>
        <sz val="9"/>
        <rFont val="Times New Roman"/>
        <family val="1"/>
      </rPr>
      <t>(8)</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</si>
  <si>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</si>
  <si>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</si>
  <si>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r>
      <t xml:space="preserve">1.A.4.b.  Residential </t>
    </r>
    <r>
      <rPr>
        <vertAlign val="superscript"/>
        <sz val="9"/>
        <rFont val="Times New Roman"/>
        <family val="1"/>
      </rPr>
      <t>(14)</t>
    </r>
  </si>
  <si>
    <r>
      <t xml:space="preserve">Information item: </t>
    </r>
    <r>
      <rPr>
        <vertAlign val="superscript"/>
        <sz val="9"/>
        <rFont val="Times New Roman"/>
        <family val="1"/>
      </rPr>
      <t>(16)</t>
    </r>
    <r>
      <rPr>
        <b/>
        <vertAlign val="superscript"/>
        <sz val="9"/>
        <rFont val="Times New Roman"/>
        <family val="1"/>
      </rPr>
      <t xml:space="preserve"> </t>
    </r>
  </si>
  <si>
    <r>
      <t xml:space="preserve">Fossil fuels </t>
    </r>
    <r>
      <rPr>
        <vertAlign val="superscript"/>
        <sz val="9"/>
        <rFont val="Times New Roman"/>
        <family val="1"/>
      </rPr>
      <t>(7)</t>
    </r>
  </si>
  <si>
    <r>
      <t xml:space="preserve">NCV/GCV </t>
    </r>
    <r>
      <rPr>
        <vertAlign val="superscript"/>
        <sz val="9"/>
        <rFont val="Times New Roman"/>
        <family val="1"/>
      </rPr>
      <t>(5)</t>
    </r>
  </si>
  <si>
    <r>
      <t xml:space="preserve">Peat </t>
    </r>
    <r>
      <rPr>
        <vertAlign val="superscript"/>
        <sz val="9"/>
        <color indexed="8"/>
        <rFont val="Times New Roman"/>
        <family val="1"/>
      </rPr>
      <t>(8,9)</t>
    </r>
  </si>
  <si>
    <r>
      <t xml:space="preserve">3.D.1.a.  Inorganic N fertilizers </t>
    </r>
    <r>
      <rPr>
        <vertAlign val="superscript"/>
        <sz val="9"/>
        <rFont val="Times New Roman"/>
        <family val="1"/>
      </rPr>
      <t>(3)</t>
    </r>
  </si>
  <si>
    <r>
      <t xml:space="preserve">3.D.1.b.   Organic N fertilizers </t>
    </r>
    <r>
      <rPr>
        <vertAlign val="superscript"/>
        <sz val="9"/>
        <rFont val="Times New Roman"/>
        <family val="1"/>
      </rPr>
      <t>(3)</t>
    </r>
  </si>
  <si>
    <r>
      <t xml:space="preserve">3.D.1.e.   Mineralization/immobilization associated with loss/gain of soil organic matter </t>
    </r>
    <r>
      <rPr>
        <vertAlign val="superscript"/>
        <sz val="9"/>
        <rFont val="Times New Roman"/>
        <family val="1"/>
      </rPr>
      <t>(4,5)</t>
    </r>
  </si>
  <si>
    <r>
      <t xml:space="preserve">3.D.1.f.   Cultivation of organic soils (i.e. histosols) </t>
    </r>
    <r>
      <rPr>
        <vertAlign val="superscript"/>
        <sz val="9"/>
        <rFont val="Times New Roman"/>
        <family val="1"/>
      </rPr>
      <t>(2)</t>
    </r>
  </si>
  <si>
    <r>
      <t xml:space="preserve">3.D.2.a.   Atmospheric deposition </t>
    </r>
    <r>
      <rPr>
        <vertAlign val="superscript"/>
        <sz val="9"/>
        <rFont val="Times New Roman"/>
        <family val="1"/>
      </rPr>
      <t>(6)</t>
    </r>
  </si>
  <si>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</si>
  <si>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 xml:space="preserve">Fraction </t>
    </r>
    <r>
      <rPr>
        <vertAlign val="superscript"/>
        <sz val="9"/>
        <rFont val="Times New Roman"/>
        <family val="1"/>
      </rPr>
      <t>(a)</t>
    </r>
    <r>
      <rPr>
        <b/>
        <sz val="9"/>
        <rFont val="Times New Roman"/>
        <family val="1"/>
      </rPr>
      <t xml:space="preserve"> </t>
    </r>
  </si>
  <si>
    <r>
      <t>Net CO</t>
    </r>
    <r>
      <rPr>
        <b/>
        <vertAlign val="subscript"/>
        <sz val="9"/>
        <rFont val="Times New Roman"/>
        <family val="1"/>
      </rPr>
      <t>2</t>
    </r>
    <r>
      <rPr>
        <b/>
        <sz val="9"/>
        <rFont val="Times New Roman"/>
        <family val="1"/>
      </rPr>
      <t xml:space="preserve"> emissions/removals </t>
    </r>
    <r>
      <rPr>
        <vertAlign val="superscript"/>
        <sz val="9"/>
        <rFont val="Times New Roman"/>
        <family val="1"/>
      </rPr>
      <t>(1,2)</t>
    </r>
  </si>
  <si>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</si>
  <si>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</si>
  <si>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</si>
  <si>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</si>
  <si>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</si>
  <si>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</si>
  <si>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</si>
  <si>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</si>
  <si>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</si>
  <si>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</si>
  <si>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</si>
  <si>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r>
      <t xml:space="preserve">Net change </t>
    </r>
    <r>
      <rPr>
        <vertAlign val="superscript"/>
        <sz val="9"/>
        <rFont val="Times New Roman"/>
        <family val="1"/>
      </rPr>
      <t>(4)</t>
    </r>
    <r>
      <rPr>
        <b/>
        <vertAlign val="superscript"/>
        <sz val="9"/>
        <rFont val="Times New Roman"/>
        <family val="1"/>
      </rPr>
      <t xml:space="preserve"> </t>
    </r>
  </si>
  <si>
    <r>
      <t xml:space="preserve">Carbon stock change in living biomass per area </t>
    </r>
    <r>
      <rPr>
        <vertAlign val="superscript"/>
        <sz val="9"/>
        <rFont val="Times New Roman"/>
        <family val="1"/>
      </rPr>
      <t>(4,5)</t>
    </r>
  </si>
  <si>
    <r>
      <t xml:space="preserve">Carbon stock change in living biomass </t>
    </r>
    <r>
      <rPr>
        <vertAlign val="superscript"/>
        <sz val="9"/>
        <rFont val="Times New Roman"/>
        <family val="1"/>
      </rPr>
      <t xml:space="preserve">(4,5) </t>
    </r>
  </si>
  <si>
    <r>
      <t>Net carbon stock change in soils</t>
    </r>
    <r>
      <rPr>
        <vertAlign val="superscript"/>
        <sz val="9"/>
        <rFont val="Times New Roman"/>
        <family val="1"/>
      </rPr>
      <t xml:space="preserve"> (7,8)</t>
    </r>
  </si>
  <si>
    <r>
      <t xml:space="preserve">Carbon stock change in living 
biomass </t>
    </r>
    <r>
      <rPr>
        <vertAlign val="superscript"/>
        <sz val="9"/>
        <rFont val="Times New Roman"/>
        <family val="1"/>
      </rPr>
      <t>(4,5,6)</t>
    </r>
  </si>
  <si>
    <r>
      <t>Net carbon stock change in soils</t>
    </r>
    <r>
      <rPr>
        <b/>
        <vertAlign val="superscript"/>
        <sz val="9"/>
        <rFont val="Times New Roman"/>
        <family val="1"/>
      </rPr>
      <t xml:space="preserve"> </t>
    </r>
    <r>
      <rPr>
        <vertAlign val="superscript"/>
        <sz val="9"/>
        <rFont val="Times New Roman"/>
        <family val="1"/>
      </rPr>
      <t xml:space="preserve">(9.10) </t>
    </r>
  </si>
  <si>
    <r>
      <t xml:space="preserve">Carbon stock change in living biomass </t>
    </r>
    <r>
      <rPr>
        <vertAlign val="superscript"/>
        <sz val="9"/>
        <rFont val="Times New Roman"/>
        <family val="1"/>
      </rPr>
      <t>(4,5)</t>
    </r>
  </si>
  <si>
    <r>
      <t>Net carbon stock change in soils</t>
    </r>
    <r>
      <rPr>
        <b/>
        <vertAlign val="superscript"/>
        <sz val="9"/>
        <rFont val="Times New Roman"/>
        <family val="1"/>
      </rPr>
      <t xml:space="preserve"> </t>
    </r>
    <r>
      <rPr>
        <vertAlign val="superscript"/>
        <sz val="9"/>
        <rFont val="Times New Roman"/>
        <family val="1"/>
      </rPr>
      <t xml:space="preserve">(8,9) </t>
    </r>
  </si>
  <si>
    <r>
      <t xml:space="preserve">4.D.2. Land converted to wetlands </t>
    </r>
    <r>
      <rPr>
        <vertAlign val="superscript"/>
        <sz val="9"/>
        <rFont val="Times New Roman"/>
        <family val="1"/>
      </rPr>
      <t>(12)</t>
    </r>
  </si>
  <si>
    <r>
      <t xml:space="preserve">4.D.1.c.i. Coastal wetlands </t>
    </r>
    <r>
      <rPr>
        <vertAlign val="superscript"/>
        <sz val="9"/>
        <rFont val="Times New Roman"/>
        <family val="1"/>
      </rPr>
      <t>(10,11)</t>
    </r>
    <r>
      <rPr>
        <sz val="9"/>
        <rFont val="Times New Roman"/>
        <family val="1"/>
      </rPr>
      <t xml:space="preserve"> </t>
    </r>
  </si>
  <si>
    <r>
      <t xml:space="preserve">Indirect Emissions </t>
    </r>
    <r>
      <rPr>
        <vertAlign val="superscript"/>
        <sz val="9"/>
        <rFont val="Times New Roman"/>
        <family val="1"/>
      </rPr>
      <t>(3,4)</t>
    </r>
  </si>
  <si>
    <r>
      <t>4(II).B. Cropland</t>
    </r>
    <r>
      <rPr>
        <sz val="9"/>
        <rFont val="Times New Roman"/>
        <family val="1"/>
      </rPr>
      <t xml:space="preserve"> </t>
    </r>
    <r>
      <rPr>
        <vertAlign val="superscript"/>
        <sz val="9"/>
        <rFont val="Times New Roman"/>
        <family val="1"/>
      </rPr>
      <t>(5,6)</t>
    </r>
  </si>
  <si>
    <r>
      <t xml:space="preserve">4(II).F. Other land </t>
    </r>
    <r>
      <rPr>
        <vertAlign val="superscript"/>
        <sz val="9"/>
        <rFont val="Times New Roman"/>
        <family val="1"/>
      </rPr>
      <t>(5)</t>
    </r>
  </si>
  <si>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</si>
  <si>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r>
      <t xml:space="preserve">Indirect Emissions </t>
    </r>
    <r>
      <rPr>
        <vertAlign val="superscript"/>
        <sz val="9"/>
        <rFont val="Times New Roman"/>
        <family val="1"/>
      </rPr>
      <t>(4,6)</t>
    </r>
  </si>
  <si>
    <r>
      <t xml:space="preserve">4(III).F. Other land </t>
    </r>
    <r>
      <rPr>
        <vertAlign val="superscript"/>
        <sz val="9"/>
        <rFont val="Times New Roman"/>
        <family val="1"/>
      </rPr>
      <t>(7)</t>
    </r>
  </si>
  <si>
    <r>
      <t>CO</t>
    </r>
    <r>
      <rPr>
        <b/>
        <vertAlign val="subscript"/>
        <sz val="9"/>
        <rFont val="Times New Roman"/>
        <family val="1"/>
      </rPr>
      <t xml:space="preserve">2 </t>
    </r>
    <r>
      <rPr>
        <vertAlign val="superscript"/>
        <sz val="9"/>
        <rFont val="Times New Roman"/>
        <family val="1"/>
      </rPr>
      <t>(5,6)</t>
    </r>
  </si>
  <si>
    <r>
      <t xml:space="preserve">4(IV).A. Forest land </t>
    </r>
    <r>
      <rPr>
        <vertAlign val="superscript"/>
        <sz val="9"/>
        <rFont val="Times New Roman"/>
        <family val="1"/>
      </rPr>
      <t>(7)</t>
    </r>
  </si>
  <si>
    <r>
      <t xml:space="preserve">4(IV).B. Cropland </t>
    </r>
    <r>
      <rPr>
        <vertAlign val="superscript"/>
        <sz val="9"/>
        <rFont val="Times New Roman"/>
        <family val="1"/>
      </rPr>
      <t>(7)</t>
    </r>
  </si>
  <si>
    <r>
      <t xml:space="preserve">4(IV).C. Grassland </t>
    </r>
    <r>
      <rPr>
        <vertAlign val="superscript"/>
        <sz val="9"/>
        <rFont val="Times New Roman"/>
        <family val="1"/>
      </rPr>
      <t>(7)</t>
    </r>
  </si>
  <si>
    <r>
      <t xml:space="preserve">4(IV).D. Wetlands </t>
    </r>
    <r>
      <rPr>
        <vertAlign val="superscript"/>
        <sz val="9"/>
        <rFont val="Times New Roman"/>
        <family val="1"/>
      </rPr>
      <t>(7)</t>
    </r>
  </si>
  <si>
    <r>
      <t xml:space="preserve">4(IV).E.  Settlements </t>
    </r>
    <r>
      <rPr>
        <vertAlign val="superscript"/>
        <sz val="9"/>
        <rFont val="Times New Roman"/>
        <family val="1"/>
      </rPr>
      <t>(7)</t>
    </r>
  </si>
  <si>
    <r>
      <t xml:space="preserve">4(IV).F. Other land </t>
    </r>
    <r>
      <rPr>
        <vertAlign val="superscript"/>
        <sz val="9"/>
        <rFont val="Times New Roman"/>
        <family val="1"/>
      </rPr>
      <t>(7)</t>
    </r>
  </si>
  <si>
    <r>
      <t xml:space="preserve">1. Solid wood </t>
    </r>
    <r>
      <rPr>
        <vertAlign val="superscript"/>
        <sz val="9"/>
        <rFont val="Times New Roman"/>
        <family val="1"/>
      </rPr>
      <t>(a)</t>
    </r>
  </si>
  <si>
    <r>
      <t xml:space="preserve">2. Paper and paperboard </t>
    </r>
    <r>
      <rPr>
        <vertAlign val="superscript"/>
        <sz val="9"/>
        <rFont val="Times New Roman"/>
        <family val="1"/>
      </rPr>
      <t>(a)</t>
    </r>
  </si>
  <si>
    <r>
      <t xml:space="preserve">5.C.2.a. Biogenic </t>
    </r>
    <r>
      <rPr>
        <vertAlign val="superscript"/>
        <sz val="9"/>
        <rFont val="Times New Roman"/>
        <family val="1"/>
      </rPr>
      <t>(1)</t>
    </r>
    <r>
      <rPr>
        <b/>
        <sz val="9"/>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</si>
  <si>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</si>
  <si>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</si>
  <si>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</si>
  <si>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</si>
  <si>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</si>
  <si>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</si>
  <si>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</si>
  <si>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 xml:space="preserve">Difference </t>
    </r>
    <r>
      <rPr>
        <vertAlign val="superscript"/>
        <sz val="10"/>
        <rFont val="Times New Roman"/>
        <family val="1"/>
      </rPr>
      <t>(1)</t>
    </r>
    <r>
      <rPr>
        <b/>
        <vertAlign val="superscript"/>
        <sz val="10"/>
        <rFont val="Times New Roman"/>
        <family val="1"/>
      </rPr>
      <t xml:space="preserve"> </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</si>
  <si>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</si>
  <si>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</si>
  <si>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r>
      <t xml:space="preserve">Sources and sinks not estimated ("NE") </t>
    </r>
    <r>
      <rPr>
        <vertAlign val="superscript"/>
        <sz val="9"/>
        <rFont val="Times New Roman"/>
        <family val="1"/>
      </rPr>
      <t>(1,2)</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</si>
  <si>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</si>
  <si>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</si>
  <si>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1.B.1.b. Fuel transformation</t>
  </si>
  <si>
    <r>
      <t>1.D. Memo items:</t>
    </r>
    <r>
      <rPr>
        <vertAlign val="superscript"/>
        <sz val="9"/>
        <rFont val="Times New Roman"/>
        <family val="1"/>
      </rPr>
      <t xml:space="preserve"> (3)</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</si>
  <si>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</si>
  <si>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</si>
  <si>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</si>
  <si>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CO</t>
    </r>
    <r>
      <rPr>
        <b/>
        <vertAlign val="subscript"/>
        <sz val="9"/>
        <rFont val="Times New Roman"/>
        <family val="1"/>
      </rPr>
      <t xml:space="preserve">2 </t>
    </r>
    <r>
      <rPr>
        <vertAlign val="superscript"/>
        <sz val="9"/>
        <rFont val="Times New Roman"/>
        <family val="1"/>
      </rPr>
      <t>(3)</t>
    </r>
  </si>
  <si>
    <r>
      <t xml:space="preserve">(kg/unit) </t>
    </r>
    <r>
      <rPr>
        <vertAlign val="superscript"/>
        <sz val="9"/>
        <rFont val="Times New Roman"/>
        <family val="1"/>
      </rPr>
      <t>(6)</t>
    </r>
  </si>
  <si>
    <r>
      <t xml:space="preserve">2.D.  Non-energy products from fuels and solvent use </t>
    </r>
    <r>
      <rPr>
        <vertAlign val="superscript"/>
        <sz val="9"/>
        <rFont val="Times New Roman"/>
        <family val="1"/>
      </rPr>
      <t>(4)</t>
    </r>
    <r>
      <rPr>
        <sz val="9"/>
        <rFont val="Times New Roman"/>
        <family val="1"/>
      </rPr>
      <t xml:space="preserve"> </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</si>
  <si>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</si>
  <si>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</si>
  <si>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IMPLIED EMISSION FACTORS</t>
    </r>
    <r>
      <rPr>
        <b/>
        <vertAlign val="superscript"/>
        <sz val="9"/>
        <rFont val="Times New Roman"/>
        <family val="1"/>
      </rPr>
      <t xml:space="preserve"> </t>
    </r>
    <r>
      <rPr>
        <vertAlign val="superscript"/>
        <sz val="9"/>
        <rFont val="Times New Roman"/>
        <family val="1"/>
      </rPr>
      <t>(1)</t>
    </r>
  </si>
  <si>
    <r>
      <t>Description</t>
    </r>
    <r>
      <rPr>
        <vertAlign val="superscript"/>
        <sz val="9"/>
        <rFont val="Times New Roman"/>
        <family val="1"/>
      </rPr>
      <t xml:space="preserve"> (5)</t>
    </r>
  </si>
  <si>
    <r>
      <t>3.B.1. Cattle</t>
    </r>
    <r>
      <rPr>
        <vertAlign val="superscript"/>
        <sz val="9"/>
        <rFont val="Times New Roman"/>
        <family val="1"/>
      </rPr>
      <t>(3)</t>
    </r>
  </si>
  <si>
    <r>
      <t>3.D. Agricultural soils</t>
    </r>
    <r>
      <rPr>
        <vertAlign val="superscript"/>
        <sz val="9"/>
        <rFont val="Times New Roman"/>
        <family val="1"/>
      </rPr>
      <t>(4,5)</t>
    </r>
  </si>
  <si>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</si>
  <si>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</si>
  <si>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</si>
  <si>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r>
      <t xml:space="preserve">Manure Management Systems </t>
    </r>
    <r>
      <rPr>
        <vertAlign val="superscript"/>
        <sz val="9"/>
        <rFont val="Times New Roman"/>
        <family val="1"/>
      </rPr>
      <t>(b)</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</si>
  <si>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</si>
  <si>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r>
      <t xml:space="preserve">MCF </t>
    </r>
    <r>
      <rPr>
        <vertAlign val="superscript"/>
        <sz val="9"/>
        <rFont val="Times New Roman"/>
        <family val="1"/>
      </rPr>
      <t>(c)</t>
    </r>
  </si>
  <si>
    <r>
      <t xml:space="preserve">4.D. Wetlands </t>
    </r>
    <r>
      <rPr>
        <vertAlign val="superscript"/>
        <sz val="9"/>
        <rFont val="Times New Roman"/>
        <family val="1"/>
      </rPr>
      <t>(5)</t>
    </r>
    <r>
      <rPr>
        <b/>
        <sz val="9"/>
        <rFont val="Times New Roman"/>
        <family val="1"/>
      </rPr>
      <t xml:space="preserve"> </t>
    </r>
  </si>
  <si>
    <r>
      <t xml:space="preserve">4.F. Other land </t>
    </r>
    <r>
      <rPr>
        <vertAlign val="superscript"/>
        <sz val="9"/>
        <rFont val="Times New Roman"/>
        <family val="1"/>
      </rPr>
      <t>(6)</t>
    </r>
    <r>
      <rPr>
        <b/>
        <vertAlign val="superscript"/>
        <sz val="9"/>
        <rFont val="Times New Roman"/>
        <family val="1"/>
      </rPr>
      <t xml:space="preserve"> </t>
    </r>
  </si>
  <si>
    <r>
      <t xml:space="preserve">4.G. Harvested wood products </t>
    </r>
    <r>
      <rPr>
        <vertAlign val="superscript"/>
        <sz val="9"/>
        <rFont val="Times New Roman"/>
        <family val="1"/>
      </rPr>
      <t>(7)</t>
    </r>
    <r>
      <rPr>
        <b/>
        <sz val="9"/>
        <rFont val="Times New Roman"/>
        <family val="1"/>
      </rPr>
      <t xml:space="preserve"> </t>
    </r>
  </si>
  <si>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</si>
  <si>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 xml:space="preserve">Total GHG 
emissions/removals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</si>
  <si>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(4)</t>
    </r>
  </si>
  <si>
    <t>4(IV). Total for all land-use categories</t>
  </si>
  <si>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</si>
  <si>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r>
      <t xml:space="preserve">Memo item: </t>
    </r>
    <r>
      <rPr>
        <vertAlign val="superscript"/>
        <sz val="9"/>
        <rFont val="Times New Roman"/>
        <family val="1"/>
      </rPr>
      <t>(3)</t>
    </r>
  </si>
  <si>
    <r>
      <t xml:space="preserve">RECOVERY </t>
    </r>
    <r>
      <rPr>
        <vertAlign val="superscript"/>
        <sz val="9"/>
        <rFont val="Times New Roman"/>
        <family val="1"/>
      </rPr>
      <t>(1)</t>
    </r>
    <r>
      <rPr>
        <sz val="9"/>
        <rFont val="Times New Roman"/>
        <family val="1"/>
      </rPr>
      <t xml:space="preserve"> </t>
    </r>
  </si>
  <si>
    <r>
      <t>CH</t>
    </r>
    <r>
      <rPr>
        <b/>
        <vertAlign val="subscript"/>
        <sz val="9"/>
        <rFont val="Times New Roman"/>
        <family val="1"/>
      </rPr>
      <t xml:space="preserve">4 </t>
    </r>
    <r>
      <rPr>
        <vertAlign val="superscript"/>
        <sz val="9"/>
        <rFont val="Times New Roman"/>
        <family val="1"/>
      </rPr>
      <t>(2)</t>
    </r>
  </si>
  <si>
    <r>
      <t xml:space="preserve">Emissions </t>
    </r>
    <r>
      <rPr>
        <vertAlign val="superscript"/>
        <sz val="9"/>
        <rFont val="Times New Roman"/>
        <family val="1"/>
      </rPr>
      <t>(3)</t>
    </r>
  </si>
  <si>
    <r>
      <t>CH</t>
    </r>
    <r>
      <rPr>
        <b/>
        <vertAlign val="subscript"/>
        <sz val="9"/>
        <rFont val="Times New Roman"/>
        <family val="1"/>
      </rPr>
      <t xml:space="preserve">4 </t>
    </r>
    <r>
      <rPr>
        <vertAlign val="superscript"/>
        <sz val="9"/>
        <rFont val="Times New Roman"/>
        <family val="1"/>
      </rPr>
      <t>(3)</t>
    </r>
  </si>
  <si>
    <r>
      <t xml:space="preserve">2.H.  Other </t>
    </r>
    <r>
      <rPr>
        <vertAlign val="superscript"/>
        <sz val="9"/>
        <rFont val="Times New Roman"/>
        <family val="1"/>
      </rPr>
      <t>(4)</t>
    </r>
  </si>
  <si>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</si>
  <si>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</si>
  <si>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</si>
  <si>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</si>
  <si>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</si>
  <si>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</si>
  <si>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</si>
  <si>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</si>
  <si>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</si>
  <si>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r>
      <t xml:space="preserve">5.A.  Solid waste disposal </t>
    </r>
    <r>
      <rPr>
        <vertAlign val="superscript"/>
        <sz val="9"/>
        <rFont val="Times New Roman"/>
        <family val="1"/>
      </rPr>
      <t>(6)</t>
    </r>
  </si>
  <si>
    <r>
      <t xml:space="preserve">5.C.  Incineration and open burning of waste </t>
    </r>
    <r>
      <rPr>
        <vertAlign val="superscript"/>
        <sz val="9"/>
        <rFont val="Times New Roman"/>
        <family val="1"/>
      </rPr>
      <t>(6)</t>
    </r>
  </si>
  <si>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</si>
  <si>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</si>
  <si>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</si>
  <si>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</si>
  <si>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</si>
  <si>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</si>
  <si>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</si>
  <si>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t>2.E.  Electronics Industry</t>
  </si>
  <si>
    <r>
      <t xml:space="preserve">2.H.3. Other </t>
    </r>
    <r>
      <rPr>
        <i/>
        <sz val="9"/>
        <rFont val="Times New Roman"/>
        <family val="1"/>
      </rPr>
      <t>(please specify)</t>
    </r>
    <r>
      <rPr>
        <sz val="9"/>
        <rFont val="Times New Roman"/>
        <family val="1"/>
      </rPr>
      <t xml:space="preserve"> </t>
    </r>
  </si>
  <si>
    <t>2.C.7. Other (pls)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</si>
  <si>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</si>
  <si>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r>
      <t xml:space="preserve">4.H. Other </t>
    </r>
    <r>
      <rPr>
        <i/>
        <sz val="9"/>
        <rFont val="Times New Roman"/>
        <family val="1"/>
      </rPr>
      <t>(please specify)</t>
    </r>
  </si>
  <si>
    <r>
      <t xml:space="preserve">5.E. Other </t>
    </r>
    <r>
      <rPr>
        <i/>
        <sz val="9"/>
        <rFont val="Times New Roman"/>
        <family val="1"/>
      </rPr>
      <t>(please specify)</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</si>
  <si>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</si>
  <si>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</si>
  <si>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 xml:space="preserve">2.G.4. Other </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</si>
  <si>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</si>
  <si>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r>
      <t xml:space="preserve">6.  Other </t>
    </r>
    <r>
      <rPr>
        <i/>
        <sz val="9"/>
        <rFont val="Times New Roman"/>
        <family val="1"/>
      </rPr>
      <t>(as specified in summary 1)</t>
    </r>
    <r>
      <rPr>
        <b/>
        <i/>
        <sz val="9"/>
        <rFont val="Times New Roman"/>
        <family val="1"/>
      </rPr>
      <t xml:space="preserve"> </t>
    </r>
  </si>
  <si>
    <t xml:space="preserve">Key category excluding </t>
  </si>
  <si>
    <t xml:space="preserve">Key category including </t>
  </si>
  <si>
    <r>
      <t xml:space="preserve">3.J. Other </t>
    </r>
    <r>
      <rPr>
        <i/>
        <sz val="9"/>
        <rFont val="Times New Roman"/>
        <family val="1"/>
      </rPr>
      <t>(please specify)</t>
    </r>
    <r>
      <rPr>
        <b/>
        <i/>
        <sz val="9"/>
        <rFont val="Times New Roman"/>
        <family val="1"/>
      </rPr>
      <t xml:space="preserve"> </t>
    </r>
  </si>
  <si>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</si>
  <si>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r>
      <t xml:space="preserve">6.  Other </t>
    </r>
    <r>
      <rPr>
        <i/>
        <sz val="9"/>
        <rFont val="Times New Roman"/>
        <family val="1"/>
      </rPr>
      <t>(as specified in summary 1)</t>
    </r>
  </si>
  <si>
    <r>
      <t xml:space="preserve">6.  Other </t>
    </r>
    <r>
      <rPr>
        <i/>
        <sz val="9"/>
        <rFont val="Times New Roman"/>
        <family val="1"/>
      </rPr>
      <t>(as specified in summary 1)</t>
    </r>
    <r>
      <rPr>
        <b/>
        <sz val="9"/>
        <rFont val="Times New Roman"/>
        <family val="1"/>
      </rPr>
      <t xml:space="preserve"> </t>
    </r>
  </si>
  <si>
    <t>2.E.5.  Other</t>
  </si>
  <si>
    <r>
      <t>CO</t>
    </r>
    <r>
      <rPr>
        <b/>
        <vertAlign val="subscript"/>
        <sz val="10"/>
        <rFont val="Times New Roman"/>
        <family val="1"/>
      </rPr>
      <t>2</t>
    </r>
    <r>
      <rPr>
        <b/>
        <sz val="10"/>
        <rFont val="Times New Roman"/>
        <family val="1"/>
      </rPr>
      <t xml:space="preserve"> equivalents (kt)</t>
    </r>
  </si>
  <si>
    <r>
      <t xml:space="preserve">6.  Other </t>
    </r>
    <r>
      <rPr>
        <i/>
        <sz val="10"/>
        <rFont val="Times New Roman"/>
        <family val="1"/>
      </rPr>
      <t>(as specified in summary 1)</t>
    </r>
    <r>
      <rPr>
        <b/>
        <sz val="10"/>
        <rFont val="Times New Roman"/>
        <family val="1"/>
      </rPr>
      <t xml:space="preserve"> </t>
    </r>
  </si>
  <si>
    <t>5.D.3. Other</t>
  </si>
  <si>
    <t>5.F.1. Long-term storage of C in waste disposal sites</t>
  </si>
  <si>
    <t xml:space="preserve">5.F.1.a. Annual change in total long-term C storage </t>
  </si>
  <si>
    <r>
      <t xml:space="preserve">5.F.1.b. Annual change in total long-term C storage in HWP waste </t>
    </r>
    <r>
      <rPr>
        <vertAlign val="superscript"/>
        <sz val="9"/>
        <rFont val="Times New Roman"/>
        <family val="1"/>
      </rPr>
      <t>(4)</t>
    </r>
  </si>
  <si>
    <t>Factors used to convert from product units to carbon (kt C)</t>
  </si>
  <si>
    <t xml:space="preserve">4(III). Total for all land-use categories </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</si>
  <si>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</si>
  <si>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</si>
  <si>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</si>
  <si>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</si>
  <si>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</si>
  <si>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r>
      <t xml:space="preserve">3.B.4.h.iv Fur-bearing animals </t>
    </r>
    <r>
      <rPr>
        <vertAlign val="superscript"/>
        <sz val="9"/>
        <rFont val="Times New Roman"/>
        <family val="1"/>
      </rPr>
      <t>(7)</t>
    </r>
    <r>
      <rPr>
        <sz val="9"/>
        <rFont val="Times New Roman"/>
        <family val="1"/>
      </rPr>
      <t xml:space="preserve"> </t>
    </r>
  </si>
  <si>
    <r>
      <t xml:space="preserve">3.B.4.h.v. Other </t>
    </r>
    <r>
      <rPr>
        <i/>
        <sz val="9"/>
        <rFont val="Times New Roman"/>
        <family val="1"/>
      </rPr>
      <t>(please specity)</t>
    </r>
    <r>
      <rPr>
        <sz val="9"/>
        <rFont val="Times New Roman"/>
        <family val="1"/>
      </rPr>
      <t xml:space="preserve"> </t>
    </r>
  </si>
  <si>
    <t>IMPLIED EMISSION 
FACTORS</t>
  </si>
  <si>
    <r>
      <t xml:space="preserve">3.A.4.h.v. Other </t>
    </r>
    <r>
      <rPr>
        <i/>
        <sz val="9"/>
        <rFont val="Times New Roman"/>
        <family val="1"/>
      </rPr>
      <t>(please specity)</t>
    </r>
    <r>
      <rPr>
        <sz val="9"/>
        <rFont val="Times New Roman"/>
        <family val="1"/>
      </rPr>
      <t xml:space="preserve"> </t>
    </r>
  </si>
  <si>
    <t xml:space="preserve">3.A.1.a. Other  </t>
  </si>
  <si>
    <t xml:space="preserve">3.B.1.a. Other  </t>
  </si>
  <si>
    <r>
      <t xml:space="preserve">2.G.4.  Other </t>
    </r>
    <r>
      <rPr>
        <i/>
        <sz val="10"/>
        <rFont val="Times New Roman"/>
        <family val="1"/>
      </rPr>
      <t>(please specify - one row per substance)</t>
    </r>
    <r>
      <rPr>
        <sz val="10"/>
        <rFont val="Times New Roman"/>
        <family val="1"/>
      </rPr>
      <t xml:space="preserve"> </t>
    </r>
  </si>
  <si>
    <r>
      <t xml:space="preserve">RECOVERY </t>
    </r>
    <r>
      <rPr>
        <vertAlign val="superscript"/>
        <sz val="9"/>
        <rFont val="Times New Roman"/>
        <family val="1"/>
      </rPr>
      <t>(3,4)</t>
    </r>
  </si>
  <si>
    <r>
      <t>e.g. CF</t>
    </r>
    <r>
      <rPr>
        <vertAlign val="subscript"/>
        <sz val="10"/>
        <rFont val="Times New Roman"/>
        <family val="1"/>
      </rPr>
      <t>4</t>
    </r>
    <r>
      <rPr>
        <sz val="10"/>
        <rFont val="Times New Roman"/>
        <family val="1"/>
      </rPr>
      <t xml:space="preserve"> , C</t>
    </r>
    <r>
      <rPr>
        <vertAlign val="subscript"/>
        <sz val="10"/>
        <rFont val="Times New Roman"/>
        <family val="1"/>
      </rPr>
      <t>2</t>
    </r>
    <r>
      <rPr>
        <sz val="10"/>
        <rFont val="Times New Roman"/>
        <family val="1"/>
      </rPr>
      <t>F</t>
    </r>
    <r>
      <rPr>
        <vertAlign val="subscript"/>
        <sz val="10"/>
        <rFont val="Times New Roman"/>
        <family val="1"/>
      </rPr>
      <t>6</t>
    </r>
  </si>
  <si>
    <t>2.E.5. Other</t>
  </si>
  <si>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</si>
  <si>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r>
      <t xml:space="preserve">RECOVERY/CAPTURE </t>
    </r>
    <r>
      <rPr>
        <vertAlign val="superscript"/>
        <sz val="9"/>
        <rFont val="Times New Roman"/>
        <family val="1"/>
      </rPr>
      <t>(3,4)</t>
    </r>
  </si>
  <si>
    <r>
      <t xml:space="preserve">2.A.4.d. Other </t>
    </r>
    <r>
      <rPr>
        <i/>
        <sz val="9"/>
        <rFont val="Times New Roman"/>
        <family val="1"/>
      </rPr>
      <t>(please specity)</t>
    </r>
    <r>
      <rPr>
        <sz val="9"/>
        <rFont val="Times New Roman"/>
        <family val="1"/>
      </rPr>
      <t xml:space="preserve"> </t>
    </r>
  </si>
  <si>
    <r>
      <t xml:space="preserve">2.G.3.b. Other </t>
    </r>
    <r>
      <rPr>
        <i/>
        <sz val="9"/>
        <rFont val="Times New Roman"/>
        <family val="1"/>
      </rPr>
      <t>(please specify)</t>
    </r>
    <r>
      <rPr>
        <vertAlign val="superscript"/>
        <sz val="9"/>
        <rFont val="Times New Roman"/>
        <family val="1"/>
      </rPr>
      <t xml:space="preserve"> (12)</t>
    </r>
  </si>
  <si>
    <r>
      <t xml:space="preserve">2.G.4. Other </t>
    </r>
    <r>
      <rPr>
        <i/>
        <sz val="9"/>
        <rFont val="Times New Roman"/>
        <family val="1"/>
      </rPr>
      <t>(please specify)</t>
    </r>
  </si>
  <si>
    <t>2.D. Non-energy products from fuels and solvent use</t>
  </si>
  <si>
    <r>
      <t xml:space="preserve">2.E.5. Other </t>
    </r>
    <r>
      <rPr>
        <i/>
        <sz val="9"/>
        <rFont val="Times New Roman"/>
        <family val="1"/>
      </rPr>
      <t>(please specify)</t>
    </r>
  </si>
  <si>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</si>
  <si>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 xml:space="preserve">2.E.5.  Other </t>
  </si>
  <si>
    <t xml:space="preserve">2.C.7.  Other </t>
  </si>
  <si>
    <t xml:space="preserve">2.B.10.  Other </t>
  </si>
  <si>
    <r>
      <t xml:space="preserve">RECOVERY </t>
    </r>
    <r>
      <rPr>
        <vertAlign val="superscript"/>
        <sz val="9"/>
        <rFont val="Times New Roman"/>
        <family val="1"/>
      </rPr>
      <t>(2)</t>
    </r>
  </si>
  <si>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</si>
  <si>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</si>
  <si>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r>
      <t>AMOUNT CAPTURED</t>
    </r>
    <r>
      <rPr>
        <vertAlign val="superscript"/>
        <sz val="9"/>
        <rFont val="Times New Roman"/>
        <family val="1"/>
      </rPr>
      <t xml:space="preserve"> (4)</t>
    </r>
    <r>
      <rPr>
        <sz val="9"/>
        <rFont val="Times New Roman"/>
        <family val="1"/>
      </rPr>
      <t xml:space="preserve"> </t>
    </r>
  </si>
  <si>
    <t xml:space="preserve">1.A.2.g. Other </t>
  </si>
  <si>
    <t>1.A.5. Other</t>
  </si>
  <si>
    <t>1.B.1.c. Other</t>
  </si>
  <si>
    <t>1.B.2.d. Other</t>
  </si>
  <si>
    <t xml:space="preserve">Unspecified mix of </t>
  </si>
  <si>
    <t>HFCs and PFCs</t>
  </si>
  <si>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</si>
  <si>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</si>
  <si>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</si>
  <si>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</si>
  <si>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r>
      <t>SF</t>
    </r>
    <r>
      <rPr>
        <b/>
        <vertAlign val="subscript"/>
        <sz val="10"/>
        <rFont val="Times New Roman"/>
        <family val="1"/>
      </rPr>
      <t>6</t>
    </r>
  </si>
  <si>
    <r>
      <t xml:space="preserve">Sources and sinks reported elsewhere ("IE")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</si>
  <si>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</si>
  <si>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</si>
  <si>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</si>
  <si>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</si>
  <si>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</si>
  <si>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</si>
  <si>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</si>
  <si>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</si>
  <si>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</si>
  <si>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</si>
  <si>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t xml:space="preserve">Approach - Carbon transferred to  HWP </t>
  </si>
  <si>
    <t xml:space="preserve">Simple Decay </t>
  </si>
  <si>
    <r>
      <t xml:space="preserve">Total (with LULUCF) </t>
    </r>
    <r>
      <rPr>
        <vertAlign val="superscript"/>
        <sz val="9"/>
        <rFont val="Times New Roman"/>
        <family val="1"/>
      </rPr>
      <t>(8)</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</si>
  <si>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</si>
  <si>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</si>
  <si>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</si>
  <si>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</si>
  <si>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t>AUSTRALIA</t>
  </si>
  <si>
    <t>GCV,NO</t>
  </si>
  <si>
    <t>NO</t>
  </si>
  <si>
    <t>NA</t>
  </si>
  <si>
    <t>Off-road vehicles</t>
  </si>
  <si>
    <t>Military Transport</t>
  </si>
  <si>
    <t>TJ</t>
  </si>
  <si>
    <t>Metal Industry</t>
  </si>
  <si>
    <t>Chemical Industry</t>
  </si>
  <si>
    <t>IE</t>
  </si>
  <si>
    <t>NE</t>
  </si>
  <si>
    <t>Number of wells</t>
  </si>
  <si>
    <t>Number of abandoned wells</t>
  </si>
  <si>
    <t>IE,NO</t>
  </si>
  <si>
    <t>1.B.1.a Coal Mining and Handling: Run-of-mine data used 
1.B.1.B Solid Fuel Transformation: Fugitive emissions associated with Coke production are included in the CH4 emission factor for integrated iron and steel plants (2.C Industrial Processes: Iron and Steel Production)</t>
  </si>
  <si>
    <t>Quantity of Oil Flared</t>
  </si>
  <si>
    <t>Crude Oil and ORF Produced</t>
  </si>
  <si>
    <t>PJ</t>
  </si>
  <si>
    <t>Crude oil transport domestic</t>
  </si>
  <si>
    <t>Crude Oil refined and stored</t>
  </si>
  <si>
    <t>Number of Wells Drilled</t>
  </si>
  <si>
    <t>Natural gas produced</t>
  </si>
  <si>
    <t>Utility sales</t>
  </si>
  <si>
    <t>Appliance count and PJs</t>
  </si>
  <si>
    <t>Natural gas, crude oil and ORF produced</t>
  </si>
  <si>
    <t>Quantity of Oil and Gas Flared</t>
  </si>
  <si>
    <t>kt</t>
  </si>
  <si>
    <t>km</t>
  </si>
  <si>
    <t>Number of facilities</t>
  </si>
  <si>
    <t>LNG Terminals</t>
  </si>
  <si>
    <t>LNG Storage</t>
  </si>
  <si>
    <t>Natural Gas Storage</t>
  </si>
  <si>
    <t>1.B.2.b.i (Natural gas exploration) includes well completion and workovers, exploration flaring and drilling mud leakage.  
N20 from 1.B.2.c.i.2 (Venting, Gas) and 1.B.2.b.i (Natural gas exploration) is included in reporting of 1.B.2.c.ii.2 (Flaring, Gas).
Due to differing sources of activity data for 1.B.2.b.4 (Natural gas transmission and storage), emissions associated with liquefied natural gas (LNG) terminals and LNG and natural gas storage are reported here under 1.B.2.b.vi.3 (Other) to support transparency. They continue to be included in reporting of Transmission and Storage in the NIR.</t>
  </si>
  <si>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</si>
  <si>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</si>
  <si>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Please refer to Tables 1.A to 1.D for more detailed notes.</t>
  </si>
  <si>
    <t>2.H.2. Food and Beverages Industry</t>
  </si>
  <si>
    <t>Clinker Production</t>
  </si>
  <si>
    <t>Lime production</t>
  </si>
  <si>
    <t>Use</t>
  </si>
  <si>
    <t>C</t>
  </si>
  <si>
    <t>Ferroalloys and other metals production</t>
  </si>
  <si>
    <t>Pulverised Coal</t>
  </si>
  <si>
    <t>Coke</t>
  </si>
  <si>
    <t>SF6 use</t>
  </si>
  <si>
    <t>Consumption</t>
  </si>
  <si>
    <t>Pulverised Coal consumed</t>
  </si>
  <si>
    <t>Crude steel (BF/BOS)</t>
  </si>
  <si>
    <t>Electrical equipment</t>
  </si>
  <si>
    <r>
      <t>SF</t>
    </r>
    <r>
      <rPr>
        <vertAlign val="subscript"/>
        <sz val="10"/>
        <rFont val="Times New Roman"/>
        <family val="1"/>
      </rPr>
      <t>6</t>
    </r>
  </si>
  <si>
    <r>
      <t>Miscelaneous uses of SF</t>
    </r>
    <r>
      <rPr>
        <vertAlign val="subscript"/>
        <sz val="10"/>
        <rFont val="Times New Roman"/>
        <family val="1"/>
      </rPr>
      <t>6</t>
    </r>
  </si>
  <si>
    <t>2.H.2 Food and Beverages Industry</t>
  </si>
  <si>
    <t>Dairy Cattle</t>
  </si>
  <si>
    <t>Beef Cattle - Pasture</t>
  </si>
  <si>
    <t>Beef Cattle - Feedlot</t>
  </si>
  <si>
    <t>Alpacas</t>
  </si>
  <si>
    <t>Ostrich includes Emus</t>
  </si>
  <si>
    <t>Sheep</t>
  </si>
  <si>
    <t>Pasture</t>
  </si>
  <si>
    <t>Stall-fed</t>
  </si>
  <si>
    <t>Sheep, Alpacas, Ostriches and Emus</t>
  </si>
  <si>
    <t>All other livestock</t>
  </si>
  <si>
    <t>Poultry</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</si>
  <si>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</si>
  <si>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The reported N excretion per MMS is greater than the actual total N excreted for Beef Cattle in feedlots, Swine and Poultry due to the application of the tier 3 mass flow approach to estimating emissions.</t>
  </si>
  <si>
    <t>The methodology for Agricultural Soils is described in section 5.6 of the NIR.  This section and related appendix tables include a full list of assumptions and fractions used.</t>
  </si>
  <si>
    <t>Sorghum</t>
  </si>
  <si>
    <t>Oats</t>
  </si>
  <si>
    <t>Rice</t>
  </si>
  <si>
    <t>Triticale</t>
  </si>
  <si>
    <t>Pulses</t>
  </si>
  <si>
    <t>Peanuts</t>
  </si>
  <si>
    <t>Oilseeds</t>
  </si>
  <si>
    <t>As Australia does not apply the IPCC default method, estimates are not made of the area burned, biomass available, or the combustion factors. Section 5.8 of the NIR provides full details of the parameters used to derive the total biomass burned.</t>
  </si>
  <si>
    <t>Aquaculture</t>
  </si>
  <si>
    <t>Seagrass</t>
  </si>
  <si>
    <t>Harvested native forests</t>
  </si>
  <si>
    <t>Plantations</t>
  </si>
  <si>
    <t>Other native forests</t>
  </si>
  <si>
    <t>Regrowth on Previously Cleared Lands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</si>
  <si>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</si>
  <si>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Grassland converted to Cropland is included in Cropland remaining Cropland.</t>
  </si>
  <si>
    <t>Sparse woody vegetation</t>
  </si>
  <si>
    <t>Grassland management</t>
  </si>
  <si>
    <t>Forest Conversions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</si>
  <si>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</si>
  <si>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Reservoirs</t>
  </si>
  <si>
    <t>Sparse Woody Vegetation</t>
  </si>
  <si>
    <t>Other constructed water bodies</t>
  </si>
  <si>
    <t>Savannah Fires</t>
  </si>
  <si>
    <t>All other inland wetlands</t>
  </si>
  <si>
    <t>Mangroves converted</t>
  </si>
  <si>
    <t>Conventional forests converted</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</si>
  <si>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</si>
  <si>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IE,NE</t>
  </si>
  <si>
    <t>4(II).E.2.c. Grassland converted to settlements</t>
  </si>
  <si>
    <t>4(II).E.2.d. Wetland converted to settlements</t>
  </si>
  <si>
    <t>4(II).F.2.c. Grassland converted to other land</t>
  </si>
  <si>
    <t>4(II).F.2.d. Wetland converted to other land</t>
  </si>
  <si>
    <t>4(II).F.2.e. Settlements converted to other land</t>
  </si>
  <si>
    <t>New Reservoirs</t>
  </si>
  <si>
    <t>Other Constructed Water Bodies</t>
  </si>
  <si>
    <t>Established Reservoirs</t>
  </si>
  <si>
    <t>Prescribed burning (fuel reduction fires)</t>
  </si>
  <si>
    <t>Slash burning (harvesting)</t>
  </si>
  <si>
    <t>Temperate Wildfires</t>
  </si>
  <si>
    <t>ha</t>
  </si>
  <si>
    <t>Plantation Fires</t>
  </si>
  <si>
    <t>Slash burning (clearing)</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</si>
  <si>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</si>
  <si>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HWP in SWDS</t>
  </si>
  <si>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</si>
  <si>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NA,NE</t>
  </si>
  <si>
    <t>Solvents</t>
  </si>
  <si>
    <t>Accidential fires at Solid Waste Disposal Sites</t>
  </si>
  <si>
    <t>All Other Manufacturing</t>
  </si>
  <si>
    <t>Coal</t>
  </si>
  <si>
    <t>Zinc production is from sulphide ores, which results in SO2 emissions, but not CO2 emissions. These are reported in Table 2(I). Emissions from associated carbonate use is reported under 2.A.
In 2.E, NF3 is destroyed in the electronic components manufacturing process.</t>
  </si>
  <si>
    <t>Aerosols, consumer cleaning products and other domestic applications</t>
  </si>
  <si>
    <t>Savanna Fires</t>
  </si>
  <si>
    <t>Non-metallurgical magnesium, ferroalloys, and zinc production</t>
  </si>
  <si>
    <t>Iron and steel Production</t>
  </si>
  <si>
    <t>Unspecified limestone and dolomite use</t>
  </si>
  <si>
    <t>Carbonate Use</t>
  </si>
  <si>
    <t>Total petrochemical and carbon black production</t>
  </si>
  <si>
    <t>Calcium carbide and soda ash production (confidentialised)</t>
  </si>
  <si>
    <t>Various</t>
  </si>
  <si>
    <t>Other Cereals</t>
  </si>
  <si>
    <t>Sugarcane</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</si>
  <si>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</si>
  <si>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Chemical Industry, Metal Industry</t>
  </si>
  <si>
    <t>t</t>
  </si>
  <si>
    <t>Pipeline Length</t>
  </si>
  <si>
    <r>
      <t xml:space="preserve">2.F.4.b. Other </t>
    </r>
    <r>
      <rPr>
        <i/>
        <sz val="10"/>
        <rFont val="Times New Roman"/>
        <family val="1"/>
      </rPr>
      <t>(other aerosols)</t>
    </r>
  </si>
  <si>
    <t>Sawn Softwood</t>
  </si>
  <si>
    <t>Sawn Hardwood</t>
  </si>
  <si>
    <t>Preserved treated softwood</t>
  </si>
  <si>
    <t>Cypress Pine</t>
  </si>
  <si>
    <t>Softwood logs</t>
  </si>
  <si>
    <t>Hardwood logs</t>
  </si>
  <si>
    <t>Hardwood poles, sleepers &amp; miscellaneous</t>
  </si>
  <si>
    <t>Plywood</t>
  </si>
  <si>
    <t>Particle board</t>
  </si>
  <si>
    <t>Medium Density Fibreboard</t>
  </si>
  <si>
    <t>Hardboard</t>
  </si>
  <si>
    <t>Softboard</t>
  </si>
  <si>
    <t>Emissions for HWP in Solid Waste Disposal Sites are derived from activity data and emissions estimation in the Waste Sector.
Factors used to convert from product units to carbon are presented in units of kg C per cubic meter.</t>
  </si>
  <si>
    <t>Plantations and Natural Forest Regeneration</t>
  </si>
  <si>
    <r>
      <t>SF</t>
    </r>
    <r>
      <rPr>
        <vertAlign val="subscript"/>
        <sz val="10"/>
        <rFont val="Times New Roman"/>
        <family val="1"/>
      </rPr>
      <t>6</t>
    </r>
    <r>
      <rPr>
        <sz val="10"/>
        <rFont val="Times New Roman"/>
        <family val="1"/>
      </rPr>
      <t xml:space="preserve"> used</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</si>
  <si>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</si>
  <si>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</si>
  <si>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T2</t>
  </si>
  <si>
    <t>CS,PS</t>
  </si>
  <si>
    <t>CS</t>
  </si>
  <si>
    <t>T1,T2</t>
  </si>
  <si>
    <t>D,CS</t>
  </si>
  <si>
    <t>T1,T2,T3</t>
  </si>
  <si>
    <t>D,CS,PS</t>
  </si>
  <si>
    <t>T2,T3</t>
  </si>
  <si>
    <t>T3</t>
  </si>
  <si>
    <t>PS</t>
  </si>
  <si>
    <t>T1</t>
  </si>
  <si>
    <t>D</t>
  </si>
  <si>
    <t>CS,M</t>
  </si>
  <si>
    <t>D,CS,M</t>
  </si>
  <si>
    <t>M</t>
  </si>
  <si>
    <t>X</t>
  </si>
  <si>
    <t>Due to the need to populate the CRTs manually for this submission, this table could not be populated using the automated tools. The identified key categories are based on the Key Category Analysis in Annex I of the NIR.</t>
  </si>
  <si>
    <t>NE,NO</t>
  </si>
  <si>
    <t>IE,NE,NO</t>
  </si>
  <si>
    <t>Change from 1990 to latest reported year</t>
  </si>
  <si>
    <t>Carbonate Use and Barick Production</t>
  </si>
  <si>
    <t>Use of Soda Ash</t>
  </si>
  <si>
    <t>Energy</t>
  </si>
  <si>
    <t>No data or IPCC methodology available</t>
  </si>
  <si>
    <t>1.B.1.a.1.ii  Post-Mining Activities</t>
  </si>
  <si>
    <t>1.B.1.a.2.ii  Post-Mining Activities</t>
  </si>
  <si>
    <t>1.A.3.c Railways \ Solid fuels</t>
  </si>
  <si>
    <t>1.A.3.e.ii Off-road vehicles \ Other fossil fuels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</si>
  <si>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</si>
  <si>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</si>
  <si>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</si>
  <si>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</si>
  <si>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</si>
  <si>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Off-road vehciles and other machinery cannot be disaggregated from stationary energy in Commercial/institutional operations.</t>
  </si>
  <si>
    <t>1.A.2.g.ii.  Manufacturing of transport equipment \ Liquid, Solid and Gaseous fuels and Biomass</t>
  </si>
  <si>
    <t>1.A.4.a.ii Off-road Vehicles and Other Machinery \ Liquid fuels and Biomass</t>
  </si>
  <si>
    <t>1.A.4.a.i. Stationary \ Liquid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</si>
  <si>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</si>
  <si>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</si>
  <si>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</si>
  <si>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</si>
  <si>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Manufacturing's use of off-road vehciles and other machinery and cannot be disaggregated from Other Manufacturing.</t>
  </si>
  <si>
    <t>1.A.2.g.vii. Off-road vehicles and other machinery \ All fuels</t>
  </si>
  <si>
    <t>1.A.2.g.viii. All Other Manufacturing \ All fuels</t>
  </si>
  <si>
    <t>Post-mining emissions are accounted for within the surface mining activities emission factor.</t>
  </si>
  <si>
    <t>1.B.1.b.ii. Coke production</t>
  </si>
  <si>
    <t>1.B.1.b.i. Charcoal and biochar production</t>
  </si>
  <si>
    <t>2.C.7.b Ferroalloys and other metals production</t>
  </si>
  <si>
    <t>Fugitive emissions associated with Coke production are included in the CH4 emission factor for integrated iron and steel plants.</t>
  </si>
  <si>
    <t>Fugitive emission of CO2 are included in the estimates of CO2 from the reductant use of coke in iron and steel production.</t>
  </si>
  <si>
    <t>The methodology for this voluntary reporting category comes from the 2019 refinement, and has not been implemented into the inventory.</t>
  </si>
  <si>
    <t>2.B.8.a Methanol</t>
  </si>
  <si>
    <t>2.B.8.b Ethylene</t>
  </si>
  <si>
    <t>2.B.8.f Carbon Black</t>
  </si>
  <si>
    <t>2.C  Metal Industry/2.C.2  Ferroalloys Production</t>
  </si>
  <si>
    <t>2.C  Metal Industry/2.C.5  Lead Production</t>
  </si>
  <si>
    <t>2.B.2 Nitric Acid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</si>
  <si>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</si>
  <si>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</si>
  <si>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</si>
  <si>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2.B.10.b Calcium carbide and soda ash production (confidentialised)</t>
  </si>
  <si>
    <t>Emissions and AD associated with acetylene production are confidential, and therefore aggregated with soda ash production.</t>
  </si>
  <si>
    <t>2.B.5.b Calcium Carbide</t>
  </si>
  <si>
    <t>Emissions and AD associated with Soda ash production are confidential, and therefore aggregated with acetylene production.</t>
  </si>
  <si>
    <t xml:space="preserve">2.B.8.g Total petrochemical and carbon black production </t>
  </si>
  <si>
    <t>Emissions and AD associated with methanol production are confidential and therefore aggregated with other production activity.</t>
  </si>
  <si>
    <t>Emissions and AD associated with ethylene production are confidential and therefore aggregated with other production activity.</t>
  </si>
  <si>
    <t>Emissions and AD associated with carbon black production are confidential and therefore aggregated with other production activity.</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</si>
  <si>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</si>
  <si>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</si>
  <si>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</si>
  <si>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Emissions and AD from ferroalloys production are confidential and aggregated with other metals production.</t>
  </si>
  <si>
    <t>Emissions and AD from lead production are confidential and aggregated with other metals production.</t>
  </si>
  <si>
    <t>2.G.3 N2O from Product Uses</t>
  </si>
  <si>
    <t>Emissions and AD in this category are confidential and included with nitric acid production.</t>
  </si>
  <si>
    <t>Refridgeration in industrial settings cannot be disaggregated from commercial settings.</t>
  </si>
  <si>
    <t>Foam blowing agents cannot be disaggregated between open cells and closed cells.</t>
  </si>
  <si>
    <t>Agriculture</t>
  </si>
  <si>
    <t>3.I  Other Carbon-containing Fertilizers</t>
  </si>
  <si>
    <t>Emissions from forest and grassland fires are reported under category 4(IV) in accordance with the 2006 IPCC Guidelines and footnote 2.</t>
  </si>
  <si>
    <t>3.A.4.g Poultry</t>
  </si>
  <si>
    <t>No methods or default EFs are provided in the 2006 IPCC Guidelines to estimate methane emissions from agricultural soils.</t>
  </si>
  <si>
    <t>No methods or default EFs are provided in the 2006 IPCC Guidelines to estimate enteric fermentation from poultry.</t>
  </si>
  <si>
    <t>3.D.1.b.iii  Other Organic Fertilizers Applied to Soils</t>
  </si>
  <si>
    <t>Emissions have been assessed as insignificant with an absolute estimate of 0.6kt CO2-e.  See NIR Chapter 1.7.3.</t>
  </si>
  <si>
    <t>No methods or default EFs are provided in the 2006 IPCC Guidelines to estimate emissions from other carbon-containing fertilisers.</t>
  </si>
  <si>
    <t>Waste</t>
  </si>
  <si>
    <t>5.E  Other (please specify)/Accidental Fires at SWDS</t>
  </si>
  <si>
    <t>5.C.1.b.ii Clinical Waste and Solvents</t>
  </si>
  <si>
    <t>5.D.2 Industrial Wastewater \ Amount of CH4 flared</t>
  </si>
  <si>
    <t>5.D.2 Industrial Wastewater \ Amount of CH4 for energy recovery</t>
  </si>
  <si>
    <t>5.D.2 Industrial Wastewater</t>
  </si>
  <si>
    <t>All N2O associated with with domestic and industrial wastewater cannot be disaggregated into commercial and industrial sources or between plant and effluent sources.</t>
  </si>
  <si>
    <t>5.D.1 Domestic wastewater \ N2O from Plants</t>
  </si>
  <si>
    <t>5.D.1 Domestic wastewater \ N2O from Effluent</t>
  </si>
  <si>
    <t>Use in paints, inks and dry cleaning (various substances)</t>
  </si>
  <si>
    <t>4(II) Drainage, Rewetting and Other Management of Mineral and Organic Soils</t>
  </si>
  <si>
    <t>With the exception of methane produced in reservoirs and other constructed water bodies, Australia does not estimate and report emissions for this voluntary reporting category.</t>
  </si>
  <si>
    <t>With the exception of carbon dioxide produced in new reservoirs, Australia does not estimate and report emissions for this voluntary reporting category.</t>
  </si>
  <si>
    <t>Australia does not estimate and report emissions for this voluntary reporting category.</t>
  </si>
  <si>
    <t>4(II).D.2.b.i Forest converted to flooded land \ Reservoirs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</si>
  <si>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</si>
  <si>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</si>
  <si>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</si>
  <si>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</si>
  <si>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4(I) Direct and indirect N2O emissions from N inputs to managed soils other than cropland and grassland</t>
  </si>
  <si>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</si>
  <si>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N inputs applied cannot be separated into land-use categories, and all N2O emissions from N inputs to managed soils are reported under the agriculture sector</t>
  </si>
  <si>
    <t>4.A-E Carbon Stock Changes</t>
  </si>
  <si>
    <t>4.A-E Carbon Stock Changes \ Living biomass Gains and Losses</t>
  </si>
  <si>
    <t>4.A-E Carbon Stock Changes \ Living biomass Losses and Gains</t>
  </si>
  <si>
    <t>CO2 emissions are included in carbon stock changes to prevent double-counting.</t>
  </si>
  <si>
    <t>4(IV).E.1. Settlements remaining settlements</t>
  </si>
  <si>
    <t xml:space="preserve">4(IV).E.1.a. Settlements remaining Settlements \ Controlled burning </t>
  </si>
  <si>
    <t>4(IV).B.1/2.b. Cropland \ Wildfires</t>
  </si>
  <si>
    <t xml:space="preserve">4(IV).C.1.a. Grassland remaining Grassland \ Controlled burning </t>
  </si>
  <si>
    <t>4(IV).C.1/2.b. Grassland \ Wildfires</t>
  </si>
  <si>
    <t>Australia does not have a method to appropriately disaggregate wildfire on croplands from savanna fires on grasslands.  They are reported with savanna fires to avoid double-counting.</t>
  </si>
  <si>
    <t>Australia has been unable to discern a method with which to distinguish controlled from uncontrolled fires on savanna grasslands, so all fire activity has been included in controlled burning.</t>
  </si>
  <si>
    <t>Where CH4 and N2O emissions are reported for a category, CO2 emissions are included in carbon stock changes in that category to prevent double-counting.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</si>
  <si>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</si>
  <si>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</si>
  <si>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</si>
  <si>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</si>
  <si>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3.D Direct and indirect N2O emissions from agricultural soils</t>
  </si>
  <si>
    <t>Direct and indirect N2O emissions associated with apparent transitions to and from croplands are included in estimates of the agriculture sector, and are not reported here to avoid double-counting.</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</si>
  <si>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</si>
  <si>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</si>
  <si>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4(IV).A.1.b. Forest land remaining forest land \ Wildfires</t>
  </si>
  <si>
    <t>4(IV).A.1.a. Forest land remaining forest land \ Controlled burning \ Prescribed burning (fuel reduction)</t>
  </si>
  <si>
    <t>Wildfires in settlements generally occur as a result of the encroachment of wildfires in forests. Identification of areas affected by wildfire does not allow disaggregation of settlement-affected areas that are not forest land.</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</si>
  <si>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</si>
  <si>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Emissions for the previous submission are presented on an AR5 basis and using the new CRT reporting structures.</t>
  </si>
  <si>
    <t>1.A.3.d Domestic Navigation \ Other fossil fuels \ Lubricants</t>
  </si>
  <si>
    <t>1.A.3.b.iv Motorcycles \ Other fossil fuels \ Lubricants</t>
  </si>
  <si>
    <t>5.A.1.a Managed Waste Disposal Sites</t>
  </si>
  <si>
    <t>5.A.1.a Managed Waste Disposal Sites \ Less decomposable wastes</t>
  </si>
  <si>
    <t>5.A.1.a Managed Waste Disposal Sites \ Moderately decomposable wastes</t>
  </si>
  <si>
    <t>5.A.1.a Managed Waste Disposal Sites \ Highly decomposable waste</t>
  </si>
  <si>
    <t>3. Agriculture (external territories)</t>
  </si>
  <si>
    <t>As described in NIR 2021,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Australia plans to estimate the likely emissions from this source in its next submission to improve completeness.</t>
  </si>
  <si>
    <t>4. Land use, land use change and forestry (external territories)</t>
  </si>
  <si>
    <t>3.F Field burning of agricultural residues (cotton)</t>
  </si>
  <si>
    <t>Emissions have been assessed as insignificant with an absolute estimate of 24.3kt CO₂-e.  See NIR Chapter 1.7.3.</t>
  </si>
  <si>
    <t>Emissions have been assessed as insignificant with an absolute estimate of 0.7 kt CO₂-e.  See NIR Chapter 1.7.3.</t>
  </si>
  <si>
    <t>Emissions have been assessed as insignificant with an absolute estimate of 17. 2kt CO₂-e.  See NIR Chapter 1.7.3.</t>
  </si>
  <si>
    <t>Emissions have been assessed as insignificant with an absolute estimate of 24.3 kt CO₂-e.  See NIR Chapter 1.7.3.</t>
  </si>
  <si>
    <t>Emissions have been assessed as insignificant with an absolute estimate of 4.0 kt CO₂-e.  See NIR Chapter 1.7.3.</t>
  </si>
  <si>
    <t>Emissions have been assessed as insignificant with an absolute estimate of 17.2 kt CO₂-e.  See NIR Chapter 1.7.3.</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</si>
  <si>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</si>
  <si>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</si>
  <si>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</si>
  <si>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</si>
  <si>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2.C.7.b Feroalloys and other metals production</t>
  </si>
  <si>
    <t>Emissions and AD from iron and steel production are confidential and aggregated with other metals production.</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</si>
  <si>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</si>
  <si>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</si>
  <si>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2.C.1.b Pig iron</t>
  </si>
  <si>
    <t>2.C.1.a Steel</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</si>
  <si>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</si>
  <si>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</si>
  <si>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</si>
  <si>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</si>
  <si>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</si>
  <si>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</si>
  <si>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</si>
  <si>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</si>
  <si>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 xml:space="preserve">CRT format does not allow IEF to be calculated for sub-categories as recovery is greyed out. Aggregated IEFs for the subsectors are included in 5.A.1.a. </t>
  </si>
  <si>
    <t>5.D.1. Domestic wastewater \ Amount of CH4 for energy recovery</t>
  </si>
  <si>
    <t>Energy - Fuel Combustion (sectoral approach)</t>
  </si>
  <si>
    <t>Energy - Fuel Combustion (reference approach)</t>
  </si>
  <si>
    <t>Energy - Fuel Combustion (comparison of sectoral and reference approaches)</t>
  </si>
  <si>
    <t>Energy - Feedstocks, reductants and other non-energy use of fuels</t>
  </si>
  <si>
    <t>Energy - summary</t>
  </si>
  <si>
    <t>Energy - Fugitive emissions from solid fuels</t>
  </si>
  <si>
    <t>Energy - Fugitive emissions from oil and natural gas</t>
  </si>
  <si>
    <t>Energy - CO2 Transport and storage</t>
  </si>
  <si>
    <t>IPPU - Summary</t>
  </si>
  <si>
    <t>IPPU - Summary (synthetic gases)</t>
  </si>
  <si>
    <t>IPPU - Emissions of CO2, CH4 and N2O</t>
  </si>
  <si>
    <t>IPPU - Sources of fluorinated substances (1 of 2)</t>
  </si>
  <si>
    <t>IPPU - Sources of fluorinated substances (2 of 2)</t>
  </si>
  <si>
    <t>Agriculture - summary</t>
  </si>
  <si>
    <t>Agriculture - Enteric fermentation</t>
  </si>
  <si>
    <t>Agriculture - CH4 Emissions from Manure Management</t>
  </si>
  <si>
    <t>Agriculture - N2O Emissions from Manure Management</t>
  </si>
  <si>
    <t>TABLE DESCRIPTIONS</t>
  </si>
  <si>
    <t>Agriculture - Rice cultivation</t>
  </si>
  <si>
    <t>Agriculture - Direct and indirect N2O emissions from agricultural soils</t>
  </si>
  <si>
    <t>Agriculture - Prescribed burning of savannahs</t>
  </si>
  <si>
    <t>Agriculture - Field burning of agricultural residues</t>
  </si>
  <si>
    <t>Agriculture - CO2 emissions from liming, urea application and  other carbon-containing fertilizers</t>
  </si>
  <si>
    <t>LULUCF - summary</t>
  </si>
  <si>
    <t>LULUCF - Land transition matrix</t>
  </si>
  <si>
    <t>LULUCF - Forest land</t>
  </si>
  <si>
    <t>LULUCF - Cropland</t>
  </si>
  <si>
    <t>LULUCF - Grassland</t>
  </si>
  <si>
    <t>LULUCF - Wetlands</t>
  </si>
  <si>
    <t>LULUCF - Settlements</t>
  </si>
  <si>
    <t>LULUCF - Other land</t>
  </si>
  <si>
    <t>LULUCF - Direct and indirect nitrous oxide (N2O) emissions from nitrogen (N) inputs (1) to managed soils</t>
  </si>
  <si>
    <t xml:space="preserve">LULUCF - Emissions and removals from drainage and rewetting and other management of organic and mineral soils </t>
  </si>
  <si>
    <t>LULUCF - Direct and indirect nitrous oxide (N2O) emissions from nitrogen (N) mineralization/immobilization associated with loss/gain of soil organic matter</t>
  </si>
  <si>
    <t>LULUCF - Biomass burning</t>
  </si>
  <si>
    <t>LULUCF - Harvested wood products (HWP) (1 of 2)</t>
  </si>
  <si>
    <t>LULUCF - Harvested wood products (HWP) (2 of 2)</t>
  </si>
  <si>
    <t>Waste - Solid waste disposal</t>
  </si>
  <si>
    <t>Waste - Summary</t>
  </si>
  <si>
    <t>Waste - Biological Treatment of Solid Waste</t>
  </si>
  <si>
    <t>Waste - Incineration and open burning of waste</t>
  </si>
  <si>
    <t>Waste - Wastewater treatment and discharge</t>
  </si>
  <si>
    <t>Summary - All sectors and gases</t>
  </si>
  <si>
    <t>Summary - All sectors and gases (CO2-e)</t>
  </si>
  <si>
    <t>Summary - All sectors, EFs and methods used</t>
  </si>
  <si>
    <t>Summary - Key category analysis</t>
  </si>
  <si>
    <t>Cross-sectoral report - Indirect emissions of N2O and CO2</t>
  </si>
  <si>
    <t>Recalculations (1 of 2)</t>
  </si>
  <si>
    <t>Recalculations (2 of 2)</t>
  </si>
  <si>
    <t>Completeness - Notation key explanations ("NE" and "IE")</t>
  </si>
  <si>
    <t>Emissions trends (all years, CO2-e)</t>
  </si>
  <si>
    <t>Emissions trends (all years, CO2)</t>
  </si>
  <si>
    <t>Emissions trends (all years, CH4)</t>
  </si>
  <si>
    <t>Emissions trends (all years, N2O)</t>
  </si>
  <si>
    <t>Emissions trends (all years, synthetic gases)</t>
  </si>
  <si>
    <t>Emissions trends (all years, with and without LULUCF)</t>
  </si>
  <si>
    <t>Summary table on use of flexibility provisions</t>
  </si>
  <si>
    <t>Inventory 2006</t>
  </si>
  <si>
    <t>Submission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</si>
</sst>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
    <numFmt numFmtId="166" formatCode="#,##0.00000"/>
    <numFmt numFmtId="167" formatCode="#,##0.0000"/>
    <numFmt numFmtId="168" formatCode="0.0"/>
    <numFmt numFmtId="169" formatCode="#,##0.0"/>
    <numFmt numFmtId="170" formatCode="0.000"/>
  </numFmts>
  <fonts count="11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03">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3" fillId="0" borderId="0"/>
    <xf numFmtId="0" fontId="2" fillId="0" borderId="0"/>
    <xf numFmtId="0" fontId="1" fillId="0" borderId="0"/>
    <xf numFmtId="9" fontId="17" fillId="0" borderId="0" applyFont="0" applyFill="0" applyBorder="0" applyAlignment="0" applyProtection="0"/>
  </cellStyleXfs>
  <cellXfs count="4543">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3" fontId="19" fillId="6" borderId="13" xfId="38" applyNumberFormat="1" applyFont="1" applyBorder="1" applyAlignment="1" applyProtection="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6" borderId="23" xfId="42" applyBorder="1"/>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4" fontId="19" fillId="4" borderId="3" xfId="50" applyFill="1" applyBorder="1" applyAlignment="1">
      <alignment vertical="center" wrapText="1"/>
    </xf>
    <xf numFmtId="4" fontId="19" fillId="0" borderId="49" xfId="50" applyBorder="1" applyAlignment="1">
      <alignment vertical="center" wrapText="1"/>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8" borderId="26" xfId="38" applyFont="1" applyFill="1" applyBorder="1" applyAlignment="1">
      <alignment horizontal="right" vertical="center"/>
    </xf>
    <xf numFmtId="0" fontId="19" fillId="8" borderId="13" xfId="38" applyFont="1" applyFill="1" applyBorder="1" applyAlignment="1">
      <alignment horizontal="right" vertical="center"/>
    </xf>
    <xf numFmtId="0" fontId="19" fillId="8" borderId="61" xfId="38" applyFon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 xfId="52" applyFont="1" applyFill="1" applyBorder="1" applyAlignment="1">
      <alignment horizontal="center" vertical="center" wrapText="1"/>
    </xf>
    <xf numFmtId="0" fontId="29" fillId="3" borderId="95" xfId="52" applyFont="1" applyFill="1" applyBorder="1" applyAlignment="1">
      <alignment horizontal="center" vertical="center" wrapText="1"/>
    </xf>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19" fillId="6" borderId="5" xfId="42" applyBorder="1"/>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19" fillId="0" borderId="29" xfId="73" applyBorder="1">
      <alignment horizontal="right" vertical="center"/>
    </xf>
    <xf numFmtId="0" fontId="19" fillId="0" borderId="2" xfId="73">
      <alignment horizontal="right" vertical="center"/>
    </xf>
    <xf numFmtId="0" fontId="29" fillId="4" borderId="112" xfId="65" applyFont="1" applyBorder="1" applyAlignment="1">
      <alignment horizontal="left" vertical="center"/>
    </xf>
    <xf numFmtId="0" fontId="18" fillId="8" borderId="49" xfId="11" applyFill="1" applyBorder="1">
      <alignment horizontal="right" vertical="center"/>
    </xf>
    <xf numFmtId="0" fontId="18" fillId="8" borderId="39" xfId="11" applyFill="1" applyBorder="1">
      <alignment horizontal="righ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20" fillId="6" borderId="23" xfId="38" applyNumberFormat="1" applyFont="1" applyBorder="1" applyAlignment="1">
      <alignment horizontal="right" vertical="center"/>
    </xf>
    <xf numFmtId="4" fontId="18" fillId="6" borderId="24" xfId="38" applyNumberFormat="1" applyFont="1" applyBorder="1" applyAlignment="1">
      <alignment horizontal="right" vertical="center"/>
    </xf>
    <xf numFmtId="4" fontId="18" fillId="6" borderId="23" xfId="38" applyNumberFormat="1" applyFont="1" applyBorder="1" applyAlignment="1">
      <alignment horizontal="right" vertical="center"/>
    </xf>
    <xf numFmtId="0" fontId="29" fillId="17" borderId="3" xfId="0" applyFont="1" applyFill="1" applyBorder="1"/>
    <xf numFmtId="0" fontId="0" fillId="8" borderId="0" xfId="0" applyFill="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19" fillId="0" borderId="20" xfId="27" applyBorder="1">
      <alignment horizontal="right" vertical="center"/>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18" fillId="4" borderId="11" xfId="15" applyBorder="1">
      <alignment horizontal="right" vertical="center"/>
    </xf>
    <xf numFmtId="0" fontId="72" fillId="0" borderId="0" xfId="0" applyFont="1" applyAlignment="1">
      <alignment horizontal="left" indent="1"/>
    </xf>
    <xf numFmtId="49" fontId="71" fillId="0" borderId="0" xfId="52" applyNumberFormat="1" applyFont="1"/>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0" borderId="23" xfId="30" applyBorder="1">
      <alignment horizontal="left" vertical="center"/>
    </xf>
    <xf numFmtId="0" fontId="19" fillId="9" borderId="53" xfId="52" applyFont="1" applyFill="1" applyBorder="1" applyAlignment="1">
      <alignment horizontal="left" vertical="center" wrapText="1" shrinkToFit="1"/>
    </xf>
    <xf numFmtId="0" fontId="19" fillId="0" borderId="59" xfId="30" applyBorder="1">
      <alignment horizontal="left" vertical="center"/>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19" fillId="0" borderId="58" xfId="20" applyBorder="1">
      <alignment horizontal="left" vertical="center" wrapText="1" indent="2"/>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0" fillId="4" borderId="74" xfId="61" applyFont="1" applyBorder="1" applyAlignment="1">
      <alignment horizontal="centerContinuous" vertical="center" wrapText="1"/>
    </xf>
    <xf numFmtId="0" fontId="29" fillId="4" borderId="46" xfId="65" applyFont="1" applyBorder="1" applyAlignment="1">
      <alignment horizontal="left" vertical="center"/>
    </xf>
    <xf numFmtId="0" fontId="19" fillId="6" borderId="61" xfId="42" applyBorder="1"/>
    <xf numFmtId="0" fontId="20" fillId="4" borderId="13" xfId="71" applyBorder="1">
      <alignment horizontal="right" vertical="center"/>
    </xf>
    <xf numFmtId="0" fontId="29" fillId="4" borderId="120" xfId="65" applyFont="1" applyBorder="1" applyAlignment="1">
      <alignment horizontal="left" vertical="center"/>
    </xf>
    <xf numFmtId="0" fontId="19" fillId="6" borderId="92" xfId="42" applyBorder="1"/>
    <xf numFmtId="0" fontId="39" fillId="4" borderId="58" xfId="53" applyFont="1" applyBorder="1" applyAlignment="1">
      <alignment horizontal="left" vertical="center" indent="4"/>
    </xf>
    <xf numFmtId="0" fontId="19" fillId="0" borderId="49" xfId="73" applyBorder="1">
      <alignment horizontal="right" vertical="center"/>
    </xf>
    <xf numFmtId="0" fontId="19" fillId="0" borderId="39" xfId="73" applyBorder="1">
      <alignment horizontal="right" vertical="center"/>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29" fillId="3" borderId="66" xfId="52" applyFont="1" applyFill="1" applyBorder="1" applyAlignment="1">
      <alignment horizontal="centerContinuous" vertical="top" wrapText="1"/>
    </xf>
    <xf numFmtId="0" fontId="29" fillId="3" borderId="78" xfId="52" applyFont="1" applyFill="1" applyBorder="1" applyAlignment="1">
      <alignment horizontal="centerContinuous" vertical="top" wrapText="1"/>
    </xf>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29" fillId="17" borderId="32" xfId="86" applyFont="1"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4" fontId="18" fillId="4" borderId="42"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2" fontId="29" fillId="17" borderId="36" xfId="46" applyNumberFormat="1" applyFont="1" applyFill="1" applyBorder="1" applyAlignment="1">
      <alignment vertical="center"/>
    </xf>
    <xf numFmtId="2" fontId="19" fillId="2" borderId="3" xfId="46" applyNumberFormat="1" applyFill="1" applyBorder="1" applyAlignment="1">
      <alignment horizontal="left" vertical="center" indent="2"/>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17" borderId="5"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0" borderId="10" xfId="0" applyBorder="1"/>
    <xf numFmtId="0" fontId="0" fillId="17" borderId="39" xfId="0" applyFill="1" applyBorder="1"/>
    <xf numFmtId="0" fontId="0" fillId="17" borderId="60"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4" xfId="10" applyFont="1" applyBorder="1">
      <alignment horizontal="right"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9" borderId="24" xfId="38" applyNumberFormat="1" applyFont="1"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2" fontId="29" fillId="3" borderId="12" xfId="38" applyNumberFormat="1" applyFont="1" applyFill="1" applyBorder="1" applyAlignment="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4" borderId="19" xfId="47"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29" fillId="3" borderId="7"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0" fontId="19" fillId="4" borderId="34" xfId="47" applyFill="1" applyBorder="1" applyAlignment="1">
      <alignment horizontal="lef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2" xfId="47" applyFill="1" applyBorder="1" applyAlignment="1">
      <alignment horizontal="lef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0" fontId="18" fillId="4" borderId="108" xfId="11" applyBorder="1">
      <alignment horizontal="right" vertical="center"/>
    </xf>
    <xf numFmtId="0" fontId="19" fillId="4" borderId="111" xfId="62" applyFill="1" applyBorder="1">
      <alignment horizontal="right" vertical="center"/>
    </xf>
    <xf numFmtId="0" fontId="19" fillId="4" borderId="112" xfId="62" applyFill="1"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4" fillId="0" borderId="0" xfId="94" applyFont="1"/>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17" xfId="47" applyFill="1" applyBorder="1" applyAlignment="1">
      <alignment horizontal="left" vertical="center" wrapText="1" indent="3"/>
    </xf>
    <xf numFmtId="0" fontId="19" fillId="4" borderId="99" xfId="47" applyFill="1" applyBorder="1" applyAlignment="1" applyProtection="1">
      <alignment horizontal="left" vertical="center" wrapText="1"/>
      <protection locked="0"/>
    </xf>
    <xf numFmtId="0" fontId="19" fillId="6" borderId="96" xfId="47" applyFill="1" applyBorder="1" applyAlignment="1" applyProtection="1">
      <alignment horizontal="left" vertical="center" wrapText="1"/>
      <protection locked="0"/>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 fontId="19" fillId="3" borderId="4" xfId="47" applyNumberFormat="1" applyFill="1" applyBorder="1" applyAlignment="1">
      <alignment horizontal="left" vertical="center" indent="3"/>
    </xf>
    <xf numFmtId="4" fontId="19" fillId="3" borderId="3" xfId="47" applyNumberFormat="1" applyFill="1" applyBorder="1" applyAlignment="1">
      <alignment horizontal="left" vertical="center" wrapText="1" indent="3"/>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0" fontId="19" fillId="29" borderId="23" xfId="30" applyFill="1" applyBorder="1">
      <alignment horizontal="left" vertical="center"/>
    </xf>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29" fillId="12" borderId="84" xfId="86" applyFont="1" applyFill="1" applyBorder="1"/>
    <xf numFmtId="2" fontId="29" fillId="0" borderId="84" xfId="46" applyNumberFormat="1" applyFont="1" applyBorder="1" applyAlignment="1">
      <alignment vertical="center"/>
    </xf>
    <xf numFmtId="0" fontId="29" fillId="0" borderId="84" xfId="46" applyFont="1" applyBorder="1" applyAlignment="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67" xfId="47" applyBorder="1" applyAlignment="1">
      <alignment horizontal="left" vertical="center" indent="5"/>
    </xf>
    <xf numFmtId="0" fontId="19" fillId="0" borderId="75" xfId="47" applyBorder="1" applyAlignment="1">
      <alignment horizontal="right" vertical="center"/>
    </xf>
    <xf numFmtId="0" fontId="19" fillId="0" borderId="4" xfId="47" applyBorder="1" applyAlignment="1">
      <alignment horizontal="left" vertical="center" indent="5"/>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6"/>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60" xfId="38" applyFont="1" applyFill="1" applyBorder="1" applyAlignment="1">
      <alignment vertical="center"/>
    </xf>
    <xf numFmtId="0" fontId="19" fillId="8" borderId="112" xfId="47" applyFill="1" applyBorder="1" applyAlignment="1">
      <alignment horizontal="left" vertical="center" wrapText="1" indent="2"/>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2" fontId="19" fillId="0" borderId="7" xfId="47" applyNumberFormat="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0" fontId="19" fillId="29" borderId="24" xfId="30" applyFill="1" applyBorder="1">
      <alignment horizontal="left" vertical="center"/>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6" borderId="122" xfId="42" applyBorder="1"/>
    <xf numFmtId="0" fontId="19" fillId="6" borderId="24" xfId="42" applyBorder="1"/>
    <xf numFmtId="0" fontId="19" fillId="0" borderId="13" xfId="73" applyBorder="1">
      <alignment horizontal="right" vertical="center"/>
    </xf>
    <xf numFmtId="0" fontId="19" fillId="4" borderId="2" xfId="73" applyFill="1">
      <alignment horizontal="right" vertical="center"/>
    </xf>
    <xf numFmtId="0" fontId="20" fillId="4" borderId="83" xfId="70" applyBorder="1">
      <alignment horizontal="righ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8"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0" borderId="59" xfId="57" applyNumberFormat="1" applyBorder="1">
      <alignment horizontal="right" vertical="center"/>
    </xf>
    <xf numFmtId="4" fontId="19" fillId="0" borderId="39" xfId="57" applyNumberFormat="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19" fillId="15" borderId="61" xfId="43" applyNumberFormat="1" applyFill="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19" fillId="8" borderId="2" xfId="28" applyNumberFormat="1" applyFill="1">
      <alignment horizontal="right" vertical="center"/>
    </xf>
    <xf numFmtId="4" fontId="19" fillId="8" borderId="23" xfId="31"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8" borderId="35" xfId="28" applyNumberFormat="1" applyFill="1" applyBorder="1">
      <alignment horizontal="right" vertical="center"/>
    </xf>
    <xf numFmtId="4" fontId="19" fillId="8" borderId="53" xfId="31"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19" fillId="3" borderId="39" xfId="54" applyNumberFormat="1" applyFont="1">
      <alignment horizontal="right" vertical="center"/>
    </xf>
    <xf numFmtId="4" fontId="19" fillId="3" borderId="59" xfId="54" applyNumberFormat="1" applyFont="1" applyBorder="1">
      <alignment horizontal="right" vertical="center"/>
    </xf>
    <xf numFmtId="4" fontId="18" fillId="3" borderId="7" xfId="54" applyNumberFormat="1" applyFont="1" applyBorder="1">
      <alignment horizontal="right" vertical="center"/>
    </xf>
    <xf numFmtId="4" fontId="19" fillId="3" borderId="13" xfId="55" applyNumberFormat="1" applyFont="1" applyBorder="1">
      <alignment horizontal="right" vertical="center"/>
    </xf>
    <xf numFmtId="4" fontId="19" fillId="3" borderId="24" xfId="55" applyNumberFormat="1" applyFont="1" applyBorder="1">
      <alignment horizontal="right" vertical="center"/>
    </xf>
    <xf numFmtId="4" fontId="18" fillId="3" borderId="112" xfId="55" applyNumberFormat="1" applyFont="1" applyBorder="1">
      <alignment horizontal="right" vertical="center"/>
    </xf>
    <xf numFmtId="4" fontId="19" fillId="3" borderId="2" xfId="9" applyNumberFormat="1" applyFont="1">
      <alignment horizontal="right" vertical="center"/>
    </xf>
    <xf numFmtId="4" fontId="18" fillId="3" borderId="108" xfId="9" applyNumberFormat="1" applyBorder="1">
      <alignment horizontal="right" vertical="center"/>
    </xf>
    <xf numFmtId="4" fontId="19" fillId="3" borderId="39" xfId="56" applyNumberFormat="1" applyFont="1">
      <alignment horizontal="right" vertical="center"/>
    </xf>
    <xf numFmtId="4" fontId="18" fillId="3" borderId="7" xfId="56" applyNumberFormat="1" applyBorder="1">
      <alignment horizontal="right" vertical="center"/>
    </xf>
    <xf numFmtId="4" fontId="18" fillId="3" borderId="108" xfId="55" applyNumberFormat="1" applyFont="1" applyBorder="1">
      <alignment horizontal="right" vertical="center"/>
    </xf>
    <xf numFmtId="4" fontId="19" fillId="6" borderId="2" xfId="42" applyNumberFormat="1" applyAlignment="1">
      <alignment horizontal="right"/>
    </xf>
    <xf numFmtId="4" fontId="19" fillId="6" borderId="23" xfId="42" applyNumberFormat="1" applyBorder="1" applyAlignment="1">
      <alignment horizontal="right"/>
    </xf>
    <xf numFmtId="4" fontId="19" fillId="6" borderId="108" xfId="42" applyNumberFormat="1" applyBorder="1" applyAlignment="1">
      <alignment horizontal="right"/>
    </xf>
    <xf numFmtId="4" fontId="19" fillId="11" borderId="40" xfId="28" applyNumberFormat="1" applyFill="1" applyBorder="1">
      <alignment horizontal="right" vertical="center"/>
    </xf>
    <xf numFmtId="4" fontId="19" fillId="15" borderId="40" xfId="28" applyNumberFormat="1" applyFill="1" applyBorder="1">
      <alignment horizontal="right" vertical="center"/>
    </xf>
    <xf numFmtId="4" fontId="19" fillId="15" borderId="41" xfId="28" applyNumberFormat="1" applyFill="1" applyBorder="1">
      <alignment horizontal="right" vertical="center"/>
    </xf>
    <xf numFmtId="4" fontId="18" fillId="3" borderId="104" xfId="9" applyNumberFormat="1" applyBorder="1">
      <alignment horizontal="right" vertical="center"/>
    </xf>
    <xf numFmtId="4" fontId="19" fillId="3" borderId="1" xfId="55" applyNumberFormat="1" applyFont="1" applyBorder="1">
      <alignment horizontal="right" vertical="center"/>
    </xf>
    <xf numFmtId="4" fontId="19" fillId="3" borderId="12" xfId="55" applyNumberFormat="1" applyFont="1" applyBorder="1">
      <alignment horizontal="right" vertical="center"/>
    </xf>
    <xf numFmtId="4" fontId="18" fillId="3" borderId="109" xfId="9" applyNumberFormat="1" applyBorder="1">
      <alignment horizontal="right" vertical="center"/>
    </xf>
    <xf numFmtId="4" fontId="19" fillId="0" borderId="19" xfId="9" applyNumberFormat="1" applyFont="1" applyFill="1" applyBorder="1">
      <alignment horizontal="right" vertical="center"/>
    </xf>
    <xf numFmtId="4" fontId="19" fillId="0" borderId="43" xfId="9" applyNumberFormat="1" applyFont="1" applyFill="1" applyBorder="1">
      <alignment horizontal="right" vertical="center"/>
    </xf>
    <xf numFmtId="4" fontId="18" fillId="3" borderId="107" xfId="9" applyNumberFormat="1" applyBorder="1">
      <alignment horizontal="right" vertical="center"/>
    </xf>
    <xf numFmtId="4" fontId="19" fillId="0" borderId="39" xfId="9" applyNumberFormat="1" applyFont="1" applyFill="1" applyBorder="1">
      <alignment horizontal="right" vertical="center"/>
    </xf>
    <xf numFmtId="4" fontId="19" fillId="8" borderId="39" xfId="52" applyNumberFormat="1" applyFont="1" applyFill="1" applyBorder="1" applyAlignment="1">
      <alignment horizontal="right" vertical="center" wrapText="1"/>
    </xf>
    <xf numFmtId="4" fontId="19" fillId="8" borderId="0" xfId="52" applyNumberFormat="1" applyFont="1" applyFill="1" applyAlignment="1">
      <alignment horizontal="right" vertical="top" wrapText="1"/>
    </xf>
    <xf numFmtId="4" fontId="19" fillId="15" borderId="1" xfId="9" applyNumberFormat="1" applyFont="1" applyFill="1" applyBorder="1">
      <alignment horizontal="right" vertical="center"/>
    </xf>
    <xf numFmtId="4" fontId="18" fillId="15" borderId="109" xfId="9" applyNumberFormat="1" applyFill="1" applyBorder="1">
      <alignment horizontal="right" vertical="center"/>
    </xf>
    <xf numFmtId="4" fontId="18" fillId="3" borderId="7" xfId="9" applyNumberFormat="1" applyBorder="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16" xfId="6" applyNumberFormat="1" applyBorder="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6" borderId="30" xfId="38" applyNumberFormat="1" applyFont="1" applyBorder="1" applyAlignment="1" applyProtection="1">
      <alignment horizontal="right" vertical="center"/>
    </xf>
    <xf numFmtId="4" fontId="19" fillId="6" borderId="109"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6" borderId="29"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4" borderId="12" xfId="47" applyNumberFormat="1" applyFill="1" applyBorder="1" applyAlignment="1">
      <alignment horizontal="right" vertical="center"/>
    </xf>
    <xf numFmtId="4" fontId="19" fillId="0" borderId="18" xfId="47" applyNumberFormat="1" applyBorder="1" applyAlignment="1">
      <alignment horizontal="right" vertical="center"/>
    </xf>
    <xf numFmtId="4" fontId="19" fillId="4" borderId="75" xfId="47" applyNumberFormat="1" applyFill="1" applyBorder="1" applyAlignment="1">
      <alignment horizontal="right" vertical="center"/>
    </xf>
    <xf numFmtId="4" fontId="19" fillId="6" borderId="76" xfId="38" applyNumberFormat="1" applyFont="1" applyBorder="1" applyAlignment="1">
      <alignment horizontal="right" vertical="center"/>
    </xf>
    <xf numFmtId="4" fontId="19" fillId="0" borderId="76" xfId="47" applyNumberFormat="1" applyBorder="1" applyAlignment="1">
      <alignment horizontal="right" vertical="center"/>
    </xf>
    <xf numFmtId="4" fontId="19" fillId="6" borderId="75" xfId="38" applyNumberFormat="1" applyFont="1" applyBorder="1" applyAlignment="1" applyProtection="1">
      <alignment horizontal="right" vertical="center"/>
    </xf>
    <xf numFmtId="4" fontId="19" fillId="0" borderId="90"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19" fillId="6" borderId="62" xfId="47" applyNumberFormat="1" applyFill="1" applyBorder="1" applyAlignment="1">
      <alignment horizontal="right" vertical="center"/>
    </xf>
    <xf numFmtId="4" fontId="19" fillId="6" borderId="63" xfId="47" applyNumberFormat="1" applyFill="1" applyBorder="1" applyAlignment="1">
      <alignment horizontal="right" vertical="center"/>
    </xf>
    <xf numFmtId="4" fontId="0" fillId="6" borderId="13" xfId="0" applyNumberFormat="1" applyFill="1" applyBorder="1" applyAlignment="1">
      <alignment horizontal="right"/>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8" borderId="22" xfId="47" applyNumberFormat="1" applyFill="1" applyBorder="1" applyAlignment="1">
      <alignment horizontal="right" vertical="center"/>
    </xf>
    <xf numFmtId="4" fontId="19" fillId="8" borderId="44"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9" fontId="19" fillId="0" borderId="23" xfId="102" applyFont="1" applyBorder="1" applyAlignment="1">
      <alignment horizontal="right" vertical="center"/>
    </xf>
    <xf numFmtId="9" fontId="19" fillId="0" borderId="59" xfId="102" applyFont="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0" borderId="68"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80" xfId="47" applyNumberFormat="1" applyFill="1" applyBorder="1" applyAlignment="1">
      <alignment horizontal="righ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20" fillId="4" borderId="82" xfId="70" applyNumberFormat="1" applyBorder="1">
      <alignment horizontal="right" vertical="center"/>
    </xf>
    <xf numFmtId="4" fontId="20" fillId="4" borderId="83" xfId="71" applyNumberFormat="1" applyBorder="1">
      <alignment horizontal="right" vertical="center"/>
    </xf>
    <xf numFmtId="4" fontId="20" fillId="4" borderId="92" xfId="72" applyNumberFormat="1" applyBorder="1">
      <alignment horizontal="right" vertical="center"/>
    </xf>
    <xf numFmtId="4" fontId="20" fillId="4" borderId="26" xfId="70" applyNumberFormat="1" applyBorder="1">
      <alignment horizontal="right" vertical="center"/>
    </xf>
    <xf numFmtId="4" fontId="20" fillId="4" borderId="13" xfId="71" applyNumberFormat="1" applyBorder="1">
      <alignment horizontal="right" vertical="center"/>
    </xf>
    <xf numFmtId="4" fontId="20" fillId="4" borderId="61" xfId="71" applyNumberFormat="1" applyBorder="1">
      <alignment horizontal="right" vertical="center"/>
    </xf>
    <xf numFmtId="4" fontId="18" fillId="4" borderId="29" xfId="11" applyNumberFormat="1" applyBorder="1">
      <alignment horizontal="right" vertical="center"/>
    </xf>
    <xf numFmtId="4" fontId="18" fillId="4" borderId="2" xfId="11" applyNumberFormat="1">
      <alignment horizontal="right" vertical="center"/>
    </xf>
    <xf numFmtId="4" fontId="18" fillId="4" borderId="5" xfId="16" applyNumberFormat="1">
      <alignment horizontal="right" vertical="center"/>
    </xf>
    <xf numFmtId="4" fontId="18" fillId="4" borderId="73" xfId="11"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4" fontId="19" fillId="0" borderId="73" xfId="73" applyNumberFormat="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4" fontId="20" fillId="4" borderId="26" xfId="11" applyNumberFormat="1" applyFont="1" applyBorder="1">
      <alignment horizontal="right" vertical="center"/>
    </xf>
    <xf numFmtId="4" fontId="20" fillId="4" borderId="18" xfId="11" applyNumberFormat="1" applyFont="1" applyBorder="1">
      <alignment horizontal="right" vertical="center"/>
    </xf>
    <xf numFmtId="4" fontId="18" fillId="8" borderId="49" xfId="11" applyNumberFormat="1" applyFill="1" applyBorder="1">
      <alignment horizontal="right" vertical="center"/>
    </xf>
    <xf numFmtId="4" fontId="18" fillId="8" borderId="39" xfId="11" applyNumberFormat="1" applyFill="1" applyBorder="1">
      <alignment horizontal="right" vertical="center"/>
    </xf>
    <xf numFmtId="4" fontId="18" fillId="8" borderId="60" xfId="16" applyNumberFormat="1" applyFill="1" applyBorder="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111" xfId="14"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0" borderId="59" xfId="28" applyNumberForma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8" fillId="4" borderId="4" xfId="15" applyNumberFormat="1">
      <alignment horizontal="right" vertical="center"/>
    </xf>
    <xf numFmtId="4" fontId="18" fillId="4" borderId="23" xfId="11" applyNumberForma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8" fillId="4" borderId="3" xfId="15" applyNumberFormat="1" applyBorder="1">
      <alignment horizontal="right" vertical="center"/>
    </xf>
    <xf numFmtId="4" fontId="18" fillId="4" borderId="59" xfId="11" applyNumberFormat="1" applyBorder="1">
      <alignment horizontal="right" vertical="center"/>
    </xf>
    <xf numFmtId="4" fontId="18" fillId="4" borderId="60" xfId="16" applyNumberFormat="1" applyBorder="1">
      <alignment horizontal="right" vertical="center"/>
    </xf>
    <xf numFmtId="4" fontId="19" fillId="29" borderId="13" xfId="62" applyNumberFormat="1" applyFill="1" applyBorder="1">
      <alignment horizontal="righ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4" fontId="19" fillId="4" borderId="33" xfId="62" applyNumberFormat="1" applyFill="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29" borderId="61" xfId="62" applyNumberFormat="1" applyFill="1" applyBorder="1">
      <alignment horizontal="right" vertical="center"/>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4" borderId="108" xfId="62" applyNumberFormat="1" applyFill="1" applyBorder="1">
      <alignment horizontal="right" vertical="center"/>
    </xf>
    <xf numFmtId="4" fontId="19" fillId="29" borderId="5" xfId="62" applyNumberFormat="1" applyFill="1" applyBorder="1">
      <alignment horizontal="right" vertical="center"/>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4" borderId="7" xfId="62" applyNumberFormat="1" applyFill="1" applyBorder="1">
      <alignment horizontal="right" vertical="center"/>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3" fontId="19" fillId="0" borderId="5" xfId="73" applyNumberFormat="1" applyBorder="1">
      <alignment horizontal="right" vertical="center"/>
    </xf>
    <xf numFmtId="3" fontId="19" fillId="0" borderId="73" xfId="73" applyNumberFormat="1" applyBorder="1">
      <alignment horizontal="right" vertical="center"/>
    </xf>
    <xf numFmtId="3" fontId="19" fillId="0" borderId="60" xfId="73" applyNumberFormat="1" applyBorder="1">
      <alignment horizontal="right" vertical="center"/>
    </xf>
    <xf numFmtId="167" fontId="20" fillId="4" borderId="82" xfId="70" applyNumberFormat="1" applyBorder="1">
      <alignment horizontal="right" vertical="center"/>
    </xf>
    <xf numFmtId="167" fontId="20" fillId="4" borderId="83" xfId="70" applyNumberFormat="1" applyBorder="1">
      <alignment horizontal="right" vertical="center"/>
    </xf>
    <xf numFmtId="167" fontId="20" fillId="4" borderId="91" xfId="70" applyNumberFormat="1" applyBorder="1">
      <alignment horizontal="right" vertical="center"/>
    </xf>
    <xf numFmtId="167" fontId="20" fillId="4" borderId="26" xfId="71" applyNumberFormat="1" applyBorder="1">
      <alignment horizontal="right" vertical="center"/>
    </xf>
    <xf numFmtId="167" fontId="20" fillId="4" borderId="13" xfId="71" applyNumberFormat="1" applyBorder="1">
      <alignment horizontal="right" vertical="center"/>
    </xf>
    <xf numFmtId="167" fontId="20" fillId="4" borderId="61" xfId="71" applyNumberFormat="1" applyBorder="1">
      <alignment horizontal="right" vertical="center"/>
    </xf>
    <xf numFmtId="167" fontId="18" fillId="4" borderId="29" xfId="11" applyNumberFormat="1" applyBorder="1">
      <alignment horizontal="right" vertical="center"/>
    </xf>
    <xf numFmtId="167" fontId="18" fillId="4" borderId="2" xfId="11" applyNumberFormat="1">
      <alignment horizontal="right" vertical="center"/>
    </xf>
    <xf numFmtId="167" fontId="18" fillId="4" borderId="5" xfId="11" applyNumberForma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167" fontId="18" fillId="4" borderId="49" xfId="15" applyNumberFormat="1" applyBorder="1">
      <alignment horizontal="right" vertical="center"/>
    </xf>
    <xf numFmtId="167" fontId="18" fillId="4" borderId="39" xfId="15" applyNumberFormat="1" applyBorder="1">
      <alignment horizontal="right" vertical="center"/>
    </xf>
    <xf numFmtId="167" fontId="18" fillId="4" borderId="60" xfId="15" applyNumberFormat="1" applyBorder="1">
      <alignment horizontal="right" vertical="center"/>
    </xf>
    <xf numFmtId="3" fontId="20" fillId="4" borderId="91" xfId="72" applyNumberFormat="1" applyBorder="1">
      <alignment horizontal="right" vertical="center"/>
    </xf>
    <xf numFmtId="3" fontId="20" fillId="4" borderId="18" xfId="71" applyNumberFormat="1" applyBorder="1">
      <alignment horizontal="right" vertical="center"/>
    </xf>
    <xf numFmtId="3" fontId="18" fillId="4" borderId="73" xfId="16" applyNumberFormat="1" applyBorder="1">
      <alignment horizontal="right" vertical="center"/>
    </xf>
    <xf numFmtId="3" fontId="18" fillId="4" borderId="73" xfId="11" applyNumberFormat="1" applyBorder="1">
      <alignment horizontal="right" vertical="center"/>
    </xf>
    <xf numFmtId="3" fontId="18" fillId="4" borderId="5" xfId="16" applyNumberFormat="1">
      <alignment horizontal="right" vertical="center"/>
    </xf>
    <xf numFmtId="3" fontId="20" fillId="4" borderId="61" xfId="71" applyNumberFormat="1" applyBorder="1">
      <alignment horizontal="right" vertical="center"/>
    </xf>
    <xf numFmtId="3" fontId="20" fillId="4" borderId="18" xfId="11" applyNumberFormat="1" applyFont="1" applyBorder="1">
      <alignment horizontal="right" vertical="center"/>
    </xf>
    <xf numFmtId="3" fontId="18" fillId="8" borderId="60" xfId="16" applyNumberFormat="1" applyFill="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4" borderId="117"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0" borderId="79"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167" fontId="19" fillId="3" borderId="45" xfId="6" applyNumberFormat="1" applyBorder="1">
      <alignment horizontal="right" vertical="center"/>
    </xf>
    <xf numFmtId="167" fontId="19" fillId="3" borderId="69" xfId="6" applyNumberFormat="1" applyBorder="1">
      <alignment horizontal="right" vertical="center"/>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8" fillId="6" borderId="35" xfId="38" applyNumberFormat="1" applyFont="1" applyBorder="1" applyAlignment="1">
      <alignment horizontal="right" vertical="center"/>
    </xf>
    <xf numFmtId="4" fontId="29" fillId="2" borderId="110" xfId="46" applyNumberFormat="1" applyFon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18" fillId="6" borderId="26" xfId="38" applyNumberFormat="1" applyFont="1" applyBorder="1" applyAlignment="1">
      <alignment horizontal="right" vertical="center"/>
    </xf>
    <xf numFmtId="4" fontId="18" fillId="17" borderId="29" xfId="38" applyNumberFormat="1" applyFon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8" fillId="6" borderId="5" xfId="38" applyNumberFormat="1" applyFont="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6" borderId="28" xfId="38" applyNumberFormat="1" applyFont="1" applyBorder="1" applyAlignment="1">
      <alignment horizontal="right" vertical="center"/>
    </xf>
    <xf numFmtId="4" fontId="19" fillId="6" borderId="56" xfId="38" applyNumberFormat="1" applyFont="1" applyBorder="1" applyAlignment="1">
      <alignment horizontal="right" vertical="center"/>
    </xf>
    <xf numFmtId="4" fontId="29" fillId="2" borderId="36" xfId="46" applyNumberFormat="1" applyFont="1" applyFill="1" applyBorder="1" applyAlignment="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29" fillId="2" borderId="118" xfId="46" applyNumberFormat="1" applyFont="1" applyFill="1"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4" fontId="18" fillId="2" borderId="33" xfId="46" applyNumberFormat="1" applyFont="1" applyFill="1" applyBorder="1" applyAlignment="1">
      <alignment horizontal="right" vertical="center"/>
    </xf>
    <xf numFmtId="4" fontId="20" fillId="17" borderId="83" xfId="38" applyNumberFormat="1" applyFont="1" applyFill="1" applyBorder="1" applyAlignment="1">
      <alignment horizontal="right" vertical="center"/>
    </xf>
    <xf numFmtId="4" fontId="19" fillId="6" borderId="55" xfId="38" applyNumberFormat="1" applyFont="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4" fontId="29" fillId="2" borderId="42" xfId="47" applyNumberFormat="1" applyFont="1" applyFill="1" applyBorder="1" applyAlignment="1">
      <alignment horizontal="right" vertical="center"/>
    </xf>
    <xf numFmtId="4" fontId="19" fillId="0" borderId="20" xfId="27" applyNumberFormat="1" applyBorder="1">
      <alignment horizontal="right" vertical="center"/>
    </xf>
    <xf numFmtId="4" fontId="19" fillId="17" borderId="63" xfId="27" applyNumberFormat="1" applyFill="1" applyBorder="1">
      <alignment horizontal="right" vertical="center"/>
    </xf>
    <xf numFmtId="4" fontId="19" fillId="17" borderId="30" xfId="27" applyNumberFormat="1" applyFill="1" applyBorder="1">
      <alignment horizontal="right" vertical="center"/>
    </xf>
    <xf numFmtId="4" fontId="29" fillId="2" borderId="89" xfId="47" applyNumberFormat="1" applyFont="1" applyFill="1" applyBorder="1" applyAlignment="1">
      <alignment horizontal="right" vertical="center"/>
    </xf>
    <xf numFmtId="4" fontId="19" fillId="0" borderId="44" xfId="27" applyNumberFormat="1" applyBorder="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0" fontId="0" fillId="6" borderId="5" xfId="0"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0" fontId="0" fillId="6" borderId="28" xfId="0" applyFill="1" applyBorder="1" applyAlignment="1">
      <alignment horizontal="right"/>
    </xf>
    <xf numFmtId="4" fontId="77" fillId="17" borderId="30" xfId="0" applyNumberFormat="1" applyFont="1" applyFill="1" applyBorder="1" applyAlignment="1">
      <alignment horizontal="right"/>
    </xf>
    <xf numFmtId="3" fontId="0" fillId="17" borderId="39" xfId="0" applyNumberFormat="1" applyFill="1" applyBorder="1"/>
    <xf numFmtId="3" fontId="0" fillId="17" borderId="35" xfId="0" applyNumberFormat="1" applyFill="1" applyBorder="1"/>
    <xf numFmtId="4" fontId="77" fillId="17" borderId="44" xfId="0" applyNumberFormat="1" applyFon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3" fontId="0" fillId="17" borderId="2" xfId="0" applyNumberFormat="1" applyFill="1" applyBorder="1" applyAlignment="1">
      <alignment horizontal="right"/>
    </xf>
    <xf numFmtId="169" fontId="77" fillId="17" borderId="61" xfId="0" applyNumberFormat="1" applyFon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4" fontId="77" fillId="17" borderId="44" xfId="0" applyNumberFormat="1" applyFont="1" applyFill="1" applyBorder="1" applyAlignment="1">
      <alignment horizontal="right"/>
    </xf>
    <xf numFmtId="4" fontId="77" fillId="17" borderId="63" xfId="0" applyNumberFormat="1" applyFont="1"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4" fontId="77" fillId="17" borderId="28"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2" borderId="30"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20" fillId="4" borderId="39" xfId="12" applyNumberFormat="1" applyFont="1" applyBorder="1">
      <alignment horizontal="right" vertical="center"/>
    </xf>
    <xf numFmtId="4" fontId="23" fillId="4" borderId="39" xfId="12" applyNumberFormat="1" applyBorder="1">
      <alignment horizontal="right" vertical="center"/>
    </xf>
    <xf numFmtId="4" fontId="23" fillId="4" borderId="60" xfId="12"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170" fontId="19" fillId="0" borderId="29" xfId="28" applyNumberFormat="1" applyBorder="1">
      <alignment horizontal="right" vertical="center"/>
    </xf>
    <xf numFmtId="170" fontId="19" fillId="4" borderId="77" xfId="47" applyNumberFormat="1" applyFill="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33" fillId="2" borderId="83" xfId="46" applyNumberFormat="1" applyFont="1" applyFill="1" applyBorder="1" applyAlignment="1">
      <alignment horizontal="right" vertical="center"/>
    </xf>
    <xf numFmtId="167" fontId="33" fillId="2" borderId="65"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4" fontId="19" fillId="0" borderId="3" xfId="47" applyNumberFormat="1" applyBorder="1" applyAlignment="1">
      <alignment horizontal="right" vertical="center"/>
    </xf>
    <xf numFmtId="4" fontId="19" fillId="0" borderId="33" xfId="47" applyNumberFormat="1" applyBorder="1" applyAlignment="1">
      <alignment horizontal="right" vertical="center"/>
    </xf>
    <xf numFmtId="4" fontId="19" fillId="0" borderId="34" xfId="47" applyNumberFormat="1" applyBorder="1" applyAlignment="1">
      <alignment horizontal="right" vertical="center"/>
    </xf>
    <xf numFmtId="3" fontId="33" fillId="0" borderId="2" xfId="0" applyNumberFormat="1" applyFont="1" applyBorder="1" applyAlignment="1">
      <alignment horizontal="right" vertical="center"/>
    </xf>
    <xf numFmtId="4" fontId="29" fillId="2" borderId="120" xfId="46" applyNumberFormat="1" applyFont="1" applyFill="1" applyBorder="1" applyAlignment="1">
      <alignment horizontal="right" vertical="center"/>
    </xf>
    <xf numFmtId="4" fontId="29" fillId="2" borderId="83" xfId="46" applyNumberFormat="1" applyFont="1" applyFill="1" applyBorder="1" applyAlignment="1">
      <alignment horizontal="right" vertical="center"/>
    </xf>
    <xf numFmtId="4" fontId="29" fillId="2" borderId="92" xfId="46" applyNumberFormat="1" applyFont="1" applyFill="1" applyBorder="1" applyAlignment="1">
      <alignment horizontal="right" vertical="center"/>
    </xf>
    <xf numFmtId="4" fontId="20" fillId="6" borderId="1" xfId="38" applyNumberFormat="1" applyFont="1" applyBorder="1" applyAlignment="1">
      <alignment horizontal="right" vertical="center"/>
    </xf>
    <xf numFmtId="4" fontId="20" fillId="6" borderId="13" xfId="38" applyNumberFormat="1" applyFont="1" applyBorder="1" applyAlignment="1">
      <alignment horizontal="right" vertical="center"/>
    </xf>
    <xf numFmtId="4" fontId="29" fillId="2" borderId="30"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xf>
    <xf numFmtId="4" fontId="19" fillId="2" borderId="2" xfId="46" applyNumberFormat="1" applyFont="1" applyFill="1" applyBorder="1" applyAlignment="1">
      <alignment horizontal="right" vertical="center"/>
    </xf>
    <xf numFmtId="4" fontId="19" fillId="2" borderId="5" xfId="46" applyNumberFormat="1" applyFont="1" applyFill="1" applyBorder="1" applyAlignment="1">
      <alignment horizontal="right" vertical="center"/>
    </xf>
    <xf numFmtId="4" fontId="19" fillId="2" borderId="35" xfId="46" applyNumberFormat="1" applyFont="1" applyFill="1" applyBorder="1" applyAlignment="1">
      <alignment horizontal="right" vertical="center"/>
    </xf>
    <xf numFmtId="4" fontId="19" fillId="2" borderId="28"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shrinkToFit="1"/>
    </xf>
    <xf numFmtId="4" fontId="19" fillId="2" borderId="2" xfId="46" applyNumberFormat="1" applyFont="1" applyFill="1" applyBorder="1" applyAlignment="1">
      <alignment horizontal="right" vertical="center" shrinkToFit="1"/>
    </xf>
    <xf numFmtId="4" fontId="19" fillId="2" borderId="4" xfId="46" applyNumberFormat="1" applyFont="1" applyFill="1" applyBorder="1" applyAlignment="1">
      <alignment horizontal="right" vertical="center" shrinkToFit="1"/>
    </xf>
    <xf numFmtId="4" fontId="19" fillId="2" borderId="29" xfId="46" applyNumberFormat="1" applyFont="1" applyFill="1" applyBorder="1" applyAlignment="1">
      <alignment horizontal="right" vertical="center"/>
    </xf>
    <xf numFmtId="4" fontId="19" fillId="2" borderId="55" xfId="46" applyNumberFormat="1" applyFont="1" applyFill="1" applyBorder="1" applyAlignment="1">
      <alignment horizontal="right" vertical="center"/>
    </xf>
    <xf numFmtId="4" fontId="19" fillId="17" borderId="34" xfId="46" applyNumberFormat="1" applyFont="1" applyFill="1" applyBorder="1" applyAlignment="1">
      <alignment horizontal="right" vertical="center"/>
    </xf>
    <xf numFmtId="4" fontId="29" fillId="17" borderId="36" xfId="46" applyNumberFormat="1" applyFont="1" applyFill="1" applyBorder="1" applyAlignment="1">
      <alignment horizontal="right" vertical="center"/>
    </xf>
    <xf numFmtId="4" fontId="29" fillId="17" borderId="95" xfId="46" applyNumberFormat="1" applyFont="1" applyFill="1" applyBorder="1" applyAlignment="1">
      <alignment horizontal="right" vertical="center"/>
    </xf>
    <xf numFmtId="4" fontId="29" fillId="17" borderId="1" xfId="46" applyNumberFormat="1" applyFont="1" applyFill="1" applyBorder="1" applyAlignment="1">
      <alignment horizontal="right" vertical="center"/>
    </xf>
    <xf numFmtId="4" fontId="19" fillId="17" borderId="4" xfId="46" applyNumberFormat="1" applyFont="1" applyFill="1" applyBorder="1" applyAlignment="1">
      <alignment horizontal="right" vertical="center"/>
    </xf>
    <xf numFmtId="4" fontId="19" fillId="2" borderId="13" xfId="46" applyNumberFormat="1" applyFont="1" applyFill="1" applyBorder="1" applyAlignment="1">
      <alignment horizontal="right" vertical="center"/>
    </xf>
    <xf numFmtId="4" fontId="19" fillId="2" borderId="61" xfId="46" applyNumberFormat="1" applyFont="1" applyFill="1" applyBorder="1" applyAlignment="1">
      <alignment horizontal="right" vertical="center"/>
    </xf>
    <xf numFmtId="4" fontId="19" fillId="17" borderId="29" xfId="46" applyNumberFormat="1" applyFont="1" applyFill="1" applyBorder="1" applyAlignment="1">
      <alignment horizontal="right" vertical="center"/>
    </xf>
    <xf numFmtId="4" fontId="19" fillId="17" borderId="2" xfId="46" applyNumberFormat="1" applyFont="1" applyFill="1" applyBorder="1" applyAlignment="1">
      <alignment horizontal="right" vertical="center"/>
    </xf>
    <xf numFmtId="4" fontId="19" fillId="17" borderId="5" xfId="46" applyNumberFormat="1" applyFont="1" applyFill="1" applyBorder="1" applyAlignment="1">
      <alignment horizontal="right" vertical="center"/>
    </xf>
    <xf numFmtId="4" fontId="19" fillId="17" borderId="35" xfId="46" applyNumberFormat="1" applyFont="1" applyFill="1" applyBorder="1" applyAlignment="1">
      <alignment horizontal="right" vertical="center"/>
    </xf>
    <xf numFmtId="4" fontId="19" fillId="2" borderId="3" xfId="46" applyNumberFormat="1" applyFont="1" applyFill="1" applyBorder="1" applyAlignment="1">
      <alignment horizontal="right" vertical="center"/>
    </xf>
    <xf numFmtId="4" fontId="19" fillId="2" borderId="49" xfId="46" applyNumberFormat="1" applyFont="1" applyFill="1" applyBorder="1" applyAlignment="1">
      <alignment horizontal="right" vertical="center"/>
    </xf>
    <xf numFmtId="4" fontId="19" fillId="2" borderId="39" xfId="46" applyNumberFormat="1" applyFont="1" applyFill="1" applyBorder="1" applyAlignment="1">
      <alignment horizontal="right" vertical="center"/>
    </xf>
    <xf numFmtId="4" fontId="19" fillId="2" borderId="60" xfId="46" applyNumberFormat="1" applyFont="1" applyFill="1" applyBorder="1" applyAlignment="1">
      <alignment horizontal="right" vertical="center"/>
    </xf>
    <xf numFmtId="4" fontId="29" fillId="2" borderId="13" xfId="74" applyNumberFormat="1" applyFont="1" applyBorder="1">
      <alignment horizontal="right" vertical="center"/>
    </xf>
    <xf numFmtId="4" fontId="29" fillId="2" borderId="61" xfId="74" applyNumberFormat="1" applyFont="1" applyBorder="1">
      <alignment horizontal="right" vertical="center"/>
    </xf>
    <xf numFmtId="2" fontId="19" fillId="2" borderId="6" xfId="46" applyNumberFormat="1" applyFont="1" applyFill="1" applyBorder="1" applyAlignment="1">
      <alignment horizontal="left" vertical="center" indent="1"/>
    </xf>
    <xf numFmtId="4" fontId="19" fillId="2" borderId="26" xfId="46" applyNumberFormat="1" applyFont="1" applyFill="1" applyBorder="1" applyAlignment="1">
      <alignment horizontal="right" vertical="center"/>
    </xf>
    <xf numFmtId="4" fontId="19" fillId="2" borderId="2" xfId="75" applyNumberFormat="1" applyFont="1">
      <alignment horizontal="right" vertical="center"/>
    </xf>
    <xf numFmtId="4" fontId="19" fillId="6" borderId="4" xfId="46" applyNumberFormat="1" applyFont="1" applyFill="1" applyBorder="1" applyAlignment="1">
      <alignment horizontal="right" vertical="center"/>
    </xf>
    <xf numFmtId="2" fontId="19" fillId="17" borderId="74" xfId="46" applyNumberFormat="1" applyFont="1" applyFill="1" applyBorder="1" applyAlignment="1">
      <alignment horizontal="left" vertical="center" indent="1"/>
    </xf>
    <xf numFmtId="4" fontId="19" fillId="6" borderId="55" xfId="46" applyNumberFormat="1" applyFont="1" applyFill="1" applyBorder="1" applyAlignment="1">
      <alignment horizontal="right" vertical="center"/>
    </xf>
    <xf numFmtId="2" fontId="19" fillId="2" borderId="58" xfId="46" applyNumberFormat="1" applyFont="1" applyFill="1" applyBorder="1" applyAlignment="1">
      <alignment horizontal="left" vertical="center" indent="1"/>
    </xf>
    <xf numFmtId="4" fontId="19" fillId="2" borderId="60" xfId="75" applyNumberFormat="1" applyFont="1" applyBorder="1">
      <alignment horizontal="right" vertical="center"/>
    </xf>
    <xf numFmtId="4" fontId="29" fillId="2" borderId="1" xfId="74" applyNumberFormat="1" applyFont="1">
      <alignment horizontal="right" vertical="center"/>
    </xf>
    <xf numFmtId="4" fontId="29" fillId="2" borderId="30" xfId="74" applyNumberFormat="1" applyFont="1" applyBorder="1">
      <alignment horizontal="right" vertical="center"/>
    </xf>
    <xf numFmtId="4" fontId="19" fillId="2" borderId="4" xfId="5" applyNumberFormat="1" applyFont="1" applyBorder="1">
      <alignment horizontal="right" vertical="center"/>
    </xf>
    <xf numFmtId="4" fontId="19" fillId="2" borderId="22" xfId="5" applyNumberFormat="1" applyFont="1" applyBorder="1">
      <alignment horizontal="right" vertical="center"/>
    </xf>
    <xf numFmtId="4" fontId="19" fillId="2" borderId="19" xfId="5" applyNumberFormat="1" applyFont="1" applyBorder="1">
      <alignment horizontal="right" vertical="center"/>
    </xf>
    <xf numFmtId="4" fontId="19" fillId="2" borderId="29" xfId="5" applyNumberFormat="1" applyFont="1" applyBorder="1">
      <alignment horizontal="right" vertical="center"/>
    </xf>
    <xf numFmtId="4" fontId="19" fillId="6" borderId="5" xfId="46" applyNumberFormat="1" applyFont="1" applyFill="1" applyBorder="1" applyAlignment="1">
      <alignment horizontal="right" vertical="center"/>
    </xf>
    <xf numFmtId="4" fontId="19" fillId="2" borderId="2" xfId="5" applyNumberFormat="1" applyFont="1" applyBorder="1">
      <alignment horizontal="right" vertical="center"/>
    </xf>
    <xf numFmtId="4" fontId="19" fillId="2" borderId="55" xfId="5" applyNumberFormat="1" applyFont="1" applyBorder="1">
      <alignment horizontal="right" vertical="center"/>
    </xf>
    <xf numFmtId="4" fontId="19" fillId="2" borderId="35" xfId="5" applyNumberFormat="1" applyFont="1" applyBorder="1">
      <alignment horizontal="right" vertical="center"/>
    </xf>
    <xf numFmtId="4" fontId="19" fillId="2" borderId="34" xfId="5" applyNumberFormat="1" applyFont="1" applyBorder="1">
      <alignment horizontal="right" vertical="center"/>
    </xf>
    <xf numFmtId="4" fontId="19" fillId="2" borderId="3" xfId="5" applyNumberFormat="1" applyFont="1" applyBorder="1">
      <alignment horizontal="right" vertical="center"/>
    </xf>
    <xf numFmtId="4" fontId="19" fillId="2" borderId="49" xfId="5" applyNumberFormat="1" applyFont="1" applyBorder="1">
      <alignment horizontal="right" vertical="center"/>
    </xf>
    <xf numFmtId="4" fontId="19" fillId="2" borderId="39" xfId="75" applyNumberFormat="1" applyFont="1" applyBorder="1">
      <alignment horizontal="right" vertical="center"/>
    </xf>
    <xf numFmtId="4" fontId="29" fillId="2" borderId="112" xfId="74" applyNumberFormat="1" applyFont="1" applyBorder="1">
      <alignment horizontal="right" vertical="center"/>
    </xf>
    <xf numFmtId="4" fontId="19" fillId="2" borderId="33" xfId="46" applyNumberFormat="1" applyFont="1" applyFill="1" applyBorder="1" applyAlignment="1">
      <alignment horizontal="right" vertical="center"/>
    </xf>
    <xf numFmtId="4" fontId="19" fillId="2" borderId="5" xfId="75" applyNumberFormat="1" applyFont="1" applyBorder="1">
      <alignment horizontal="right" vertical="center"/>
    </xf>
    <xf numFmtId="4" fontId="19" fillId="2" borderId="108" xfId="75" applyNumberFormat="1" applyFont="1" applyBorder="1">
      <alignment horizontal="right" vertical="center"/>
    </xf>
    <xf numFmtId="4" fontId="19" fillId="2" borderId="7" xfId="75" applyNumberFormat="1" applyFont="1" applyBorder="1">
      <alignment horizontal="right" vertical="center"/>
    </xf>
    <xf numFmtId="4" fontId="29" fillId="2" borderId="109" xfId="74" applyNumberFormat="1" applyFont="1" applyBorder="1">
      <alignment horizontal="right" vertical="center"/>
    </xf>
    <xf numFmtId="2" fontId="19" fillId="0" borderId="9" xfId="46" applyNumberFormat="1" applyFont="1" applyBorder="1" applyAlignment="1">
      <alignment horizontal="left" vertical="center" indent="1"/>
    </xf>
    <xf numFmtId="0" fontId="19" fillId="0" borderId="16" xfId="46" applyFont="1" applyBorder="1" applyAlignment="1">
      <alignment horizontal="right" vertical="center"/>
    </xf>
    <xf numFmtId="0" fontId="19" fillId="0" borderId="22" xfId="46" applyFont="1" applyBorder="1" applyAlignment="1">
      <alignment horizontal="right" vertical="center"/>
    </xf>
    <xf numFmtId="0" fontId="19" fillId="0" borderId="19" xfId="46" applyFont="1" applyBorder="1" applyAlignment="1">
      <alignment horizontal="right" vertical="center"/>
    </xf>
    <xf numFmtId="0" fontId="29" fillId="0" borderId="107" xfId="74" applyFont="1" applyFill="1" applyBorder="1">
      <alignment horizontal="right" vertical="center"/>
    </xf>
    <xf numFmtId="0" fontId="29" fillId="0" borderId="84" xfId="74" applyFont="1" applyFill="1" applyBorder="1">
      <alignment horizontal="right" vertical="center"/>
    </xf>
    <xf numFmtId="4" fontId="19" fillId="2" borderId="4" xfId="46" applyNumberFormat="1" applyFont="1" applyFill="1" applyBorder="1" applyAlignment="1">
      <alignment horizontal="right" vertical="center"/>
    </xf>
    <xf numFmtId="4" fontId="72" fillId="6" borderId="32" xfId="86" applyNumberFormat="1" applyFont="1" applyFill="1" applyBorder="1"/>
    <xf numFmtId="4" fontId="72" fillId="6" borderId="62" xfId="86" applyNumberFormat="1" applyFont="1" applyFill="1" applyBorder="1"/>
    <xf numFmtId="4" fontId="72" fillId="17" borderId="62" xfId="86" applyNumberFormat="1" applyFont="1" applyFill="1" applyBorder="1" applyAlignment="1">
      <alignment horizontal="right" vertical="center"/>
    </xf>
    <xf numFmtId="4" fontId="72" fillId="6" borderId="63" xfId="86" applyNumberFormat="1" applyFont="1" applyFill="1" applyBorder="1"/>
    <xf numFmtId="0" fontId="72" fillId="12" borderId="84" xfId="86" applyFont="1" applyFill="1" applyBorder="1"/>
    <xf numFmtId="0" fontId="72" fillId="6" borderId="119" xfId="86" applyFont="1" applyFill="1" applyBorder="1"/>
    <xf numFmtId="0" fontId="72" fillId="6" borderId="62" xfId="86" applyFont="1" applyFill="1" applyBorder="1"/>
    <xf numFmtId="0" fontId="72" fillId="6" borderId="63" xfId="86" applyFont="1" applyFill="1" applyBorder="1"/>
    <xf numFmtId="4" fontId="29" fillId="2" borderId="122" xfId="46" applyNumberFormat="1" applyFont="1" applyFill="1" applyBorder="1" applyAlignment="1">
      <alignment horizontal="right" vertical="center"/>
    </xf>
    <xf numFmtId="167" fontId="29" fillId="2" borderId="122" xfId="46" applyNumberFormat="1" applyFont="1" applyFill="1" applyBorder="1" applyAlignment="1">
      <alignment horizontal="right" vertical="center"/>
    </xf>
    <xf numFmtId="4" fontId="29" fillId="2" borderId="87" xfId="74" applyNumberFormat="1" applyFont="1" applyBorder="1">
      <alignment horizontal="right" vertical="center"/>
    </xf>
    <xf numFmtId="4" fontId="19" fillId="2" borderId="73" xfId="75" applyNumberFormat="1" applyFont="1" applyBorder="1">
      <alignment horizontal="right" vertical="center"/>
    </xf>
    <xf numFmtId="4" fontId="19" fillId="2" borderId="88" xfId="75" applyNumberFormat="1" applyFont="1" applyBorder="1">
      <alignment horizontal="right" vertical="center"/>
    </xf>
    <xf numFmtId="4" fontId="19" fillId="2" borderId="1" xfId="75" applyNumberFormat="1" applyFont="1" applyBorder="1">
      <alignment horizontal="right" vertical="center"/>
    </xf>
    <xf numFmtId="4" fontId="19" fillId="6" borderId="2" xfId="46" applyNumberFormat="1" applyFont="1" applyFill="1" applyBorder="1" applyAlignment="1">
      <alignment horizontal="right" vertical="center"/>
    </xf>
    <xf numFmtId="4" fontId="19" fillId="6" borderId="2" xfId="75" applyNumberFormat="1" applyFont="1" applyFill="1">
      <alignment horizontal="right" vertical="center"/>
    </xf>
    <xf numFmtId="4" fontId="19" fillId="17" borderId="75" xfId="75" applyNumberFormat="1" applyFont="1" applyFill="1" applyBorder="1">
      <alignment horizontal="right" vertical="center"/>
    </xf>
    <xf numFmtId="4" fontId="19" fillId="17" borderId="90" xfId="75" applyNumberFormat="1" applyFont="1" applyFill="1" applyBorder="1">
      <alignment horizontal="right" vertical="center"/>
    </xf>
    <xf numFmtId="4" fontId="20" fillId="6" borderId="24" xfId="38" applyNumberFormat="1" applyFont="1" applyBorder="1" applyAlignment="1">
      <alignment horizontal="right" vertical="center"/>
    </xf>
    <xf numFmtId="4" fontId="29" fillId="2" borderId="61" xfId="46" applyNumberFormat="1" applyFont="1" applyFill="1" applyBorder="1" applyAlignment="1">
      <alignment horizontal="right" vertical="center"/>
    </xf>
    <xf numFmtId="4" fontId="29" fillId="2" borderId="35" xfId="46" applyNumberFormat="1" applyFont="1" applyFill="1" applyBorder="1" applyAlignment="1">
      <alignment horizontal="right" vertical="center"/>
    </xf>
    <xf numFmtId="4" fontId="29" fillId="6" borderId="35" xfId="38" applyNumberFormat="1" applyFont="1" applyBorder="1" applyAlignment="1">
      <alignment horizontal="right" vertical="center"/>
    </xf>
    <xf numFmtId="4" fontId="29" fillId="2" borderId="28" xfId="46" applyNumberFormat="1" applyFont="1" applyFill="1" applyBorder="1" applyAlignment="1">
      <alignment horizontal="right" vertical="center"/>
    </xf>
    <xf numFmtId="4" fontId="29" fillId="2" borderId="60" xfId="46" applyNumberFormat="1" applyFont="1" applyFill="1" applyBorder="1" applyAlignment="1">
      <alignment horizontal="right" vertical="center"/>
    </xf>
    <xf numFmtId="0" fontId="19" fillId="6" borderId="39" xfId="23" applyFont="1" applyFill="1" applyBorder="1"/>
    <xf numFmtId="0" fontId="29" fillId="17" borderId="39" xfId="23" applyFont="1" applyFill="1" applyBorder="1" applyAlignment="1">
      <alignment horizontal="right" vertical="center"/>
    </xf>
    <xf numFmtId="0" fontId="19" fillId="0" borderId="0" xfId="23" applyFont="1" applyBorder="1"/>
    <xf numFmtId="0" fontId="29" fillId="17" borderId="62" xfId="23" applyFont="1" applyFill="1" applyBorder="1" applyAlignment="1">
      <alignment horizontal="right" vertical="center"/>
    </xf>
    <xf numFmtId="0" fontId="19" fillId="6" borderId="62" xfId="23" applyFont="1" applyFill="1" applyBorder="1"/>
    <xf numFmtId="0" fontId="19" fillId="8" borderId="0" xfId="23" applyFont="1" applyFill="1" applyBorder="1"/>
    <xf numFmtId="3" fontId="19" fillId="2" borderId="23" xfId="47" applyNumberFormat="1" applyFont="1" applyFill="1" applyBorder="1" applyAlignment="1">
      <alignment horizontal="right" vertical="center"/>
    </xf>
    <xf numFmtId="3" fontId="29" fillId="2" borderId="41" xfId="47" applyNumberFormat="1" applyFont="1" applyFill="1" applyBorder="1" applyAlignment="1">
      <alignment horizontal="right" vertical="center"/>
    </xf>
    <xf numFmtId="3" fontId="29" fillId="2" borderId="2" xfId="47" applyNumberFormat="1" applyFont="1" applyFill="1" applyBorder="1" applyAlignment="1">
      <alignment horizontal="right" vertical="center"/>
    </xf>
    <xf numFmtId="0" fontId="29" fillId="17" borderId="2" xfId="47" applyFont="1" applyFill="1" applyBorder="1" applyAlignment="1">
      <alignment horizontal="right" vertical="center"/>
    </xf>
    <xf numFmtId="0" fontId="29" fillId="17" borderId="59" xfId="47" applyFont="1" applyFill="1" applyBorder="1" applyAlignment="1">
      <alignment horizontal="right" vertical="center"/>
    </xf>
    <xf numFmtId="0" fontId="19" fillId="0" borderId="10" xfId="0" applyFont="1" applyBorder="1"/>
    <xf numFmtId="3" fontId="19" fillId="2" borderId="53" xfId="47" applyNumberFormat="1" applyFont="1" applyFill="1" applyBorder="1" applyAlignment="1">
      <alignment horizontal="right" vertical="center"/>
    </xf>
    <xf numFmtId="3" fontId="29" fillId="2" borderId="59" xfId="47" applyNumberFormat="1" applyFont="1" applyFill="1" applyBorder="1" applyAlignment="1">
      <alignment horizontal="right" vertical="center"/>
    </xf>
    <xf numFmtId="0" fontId="19" fillId="2" borderId="2" xfId="47" applyFont="1" applyFill="1" applyBorder="1" applyAlignment="1">
      <alignment horizontal="right" vertical="center"/>
    </xf>
    <xf numFmtId="0" fontId="19" fillId="2" borderId="23" xfId="47" applyFont="1" applyFill="1" applyBorder="1" applyAlignment="1">
      <alignment horizontal="right" vertical="center"/>
    </xf>
    <xf numFmtId="4" fontId="19" fillId="4" borderId="2" xfId="47" applyNumberFormat="1" applyFont="1" applyFill="1" applyBorder="1" applyAlignment="1">
      <alignment horizontal="right" vertical="center" wrapText="1"/>
    </xf>
    <xf numFmtId="4" fontId="29" fillId="6" borderId="13" xfId="47" applyNumberFormat="1" applyFont="1" applyFill="1" applyBorder="1" applyAlignment="1">
      <alignment horizontal="center" vertical="center" wrapText="1"/>
    </xf>
    <xf numFmtId="4" fontId="29" fillId="6" borderId="2" xfId="47" applyNumberFormat="1" applyFont="1" applyFill="1" applyBorder="1" applyAlignment="1">
      <alignment horizontal="center" vertical="center" wrapText="1"/>
    </xf>
    <xf numFmtId="4" fontId="19" fillId="4" borderId="2" xfId="47" applyNumberFormat="1" applyFill="1" applyBorder="1" applyAlignment="1">
      <alignment horizontal="right" vertical="center" wrapText="1"/>
    </xf>
    <xf numFmtId="4" fontId="29" fillId="6" borderId="35" xfId="47" applyNumberFormat="1" applyFont="1" applyFill="1" applyBorder="1" applyAlignment="1">
      <alignment horizontal="center" vertical="center" wrapText="1"/>
    </xf>
    <xf numFmtId="4" fontId="19" fillId="4" borderId="39" xfId="47" applyNumberFormat="1" applyFill="1" applyBorder="1" applyAlignment="1">
      <alignment horizontal="right" vertical="center" wrapText="1"/>
    </xf>
    <xf numFmtId="4" fontId="0" fillId="9" borderId="2" xfId="0" applyNumberFormat="1" applyFill="1" applyBorder="1"/>
    <xf numFmtId="4" fontId="29" fillId="9" borderId="2" xfId="47" applyNumberFormat="1" applyFont="1" applyFill="1" applyBorder="1" applyAlignment="1">
      <alignment horizontal="center" vertical="center" wrapText="1"/>
    </xf>
    <xf numFmtId="4" fontId="19" fillId="9" borderId="2" xfId="47" applyNumberFormat="1" applyFill="1" applyBorder="1" applyAlignment="1">
      <alignment horizontal="right" vertical="center" wrapText="1"/>
    </xf>
    <xf numFmtId="4" fontId="0" fillId="9" borderId="1" xfId="0" applyNumberFormat="1" applyFill="1" applyBorder="1"/>
    <xf numFmtId="4" fontId="0" fillId="9" borderId="47" xfId="0" applyNumberFormat="1" applyFill="1" applyBorder="1"/>
    <xf numFmtId="4" fontId="19" fillId="4" borderId="4" xfId="64" applyNumberFormat="1" applyFont="1" applyBorder="1">
      <alignment horizontal="right" vertical="center"/>
    </xf>
    <xf numFmtId="4" fontId="19" fillId="4" borderId="61" xfId="64" applyNumberFormat="1" applyFont="1" applyBorder="1">
      <alignment horizontal="right" vertical="center"/>
    </xf>
    <xf numFmtId="4" fontId="19" fillId="4" borderId="27"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30" xfId="65" applyNumberFormat="1" applyFont="1" applyBorder="1">
      <alignment horizontal="right" vertical="center"/>
    </xf>
    <xf numFmtId="4" fontId="19" fillId="4" borderId="1" xfId="65" applyNumberFormat="1" applyFont="1" applyBorder="1">
      <alignment horizontal="right" vertical="center"/>
    </xf>
    <xf numFmtId="4" fontId="19" fillId="0" borderId="4" xfId="65" applyNumberFormat="1" applyFont="1" applyFill="1" applyBorder="1">
      <alignment horizontal="right" vertical="center"/>
    </xf>
    <xf numFmtId="4" fontId="19" fillId="0" borderId="5" xfId="65" applyNumberFormat="1" applyFont="1" applyFill="1" applyBorder="1">
      <alignment horizontal="right" vertical="center"/>
    </xf>
    <xf numFmtId="4" fontId="19" fillId="4" borderId="4" xfId="65" applyNumberFormat="1" applyFont="1" applyBorder="1">
      <alignment horizontal="right" vertical="center"/>
    </xf>
    <xf numFmtId="4" fontId="19" fillId="4" borderId="5" xfId="65" applyNumberFormat="1" applyFont="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6" xfId="42" applyNumberFormat="1" applyBorder="1"/>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5"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60" xfId="68" applyNumberFormat="1" applyFont="1" applyFill="1" applyBorder="1">
      <alignment horizontal="right" vertical="center"/>
    </xf>
    <xf numFmtId="4" fontId="19" fillId="4" borderId="3" xfId="68" applyNumberFormat="1" applyFont="1" applyBorder="1">
      <alignment horizontal="right" vertical="center"/>
    </xf>
    <xf numFmtId="4" fontId="19" fillId="4" borderId="60" xfId="68" applyNumberFormat="1" applyFont="1" applyBorder="1">
      <alignment horizontal="right" vertical="center"/>
    </xf>
    <xf numFmtId="4" fontId="19" fillId="0" borderId="39" xfId="68" applyNumberFormat="1" applyFont="1" applyFill="1" applyBorder="1">
      <alignment horizontal="right" vertical="center"/>
    </xf>
    <xf numFmtId="4" fontId="18" fillId="4" borderId="60" xfId="69" applyNumberFormat="1">
      <alignment horizontal="right" vertical="center"/>
    </xf>
    <xf numFmtId="4" fontId="19" fillId="4" borderId="33" xfId="65" applyNumberFormat="1" applyFont="1" applyBorder="1">
      <alignment horizontal="right" vertical="center"/>
    </xf>
    <xf numFmtId="4" fontId="19" fillId="4" borderId="61" xfId="65" applyNumberFormat="1" applyFont="1" applyBorder="1">
      <alignment horizontal="right" vertical="center"/>
    </xf>
    <xf numFmtId="4" fontId="19" fillId="4" borderId="13" xfId="65" applyNumberFormat="1" applyFont="1" applyBorder="1">
      <alignment horizontal="right" vertical="center"/>
    </xf>
    <xf numFmtId="4" fontId="19" fillId="0" borderId="11" xfId="68" applyNumberFormat="1" applyFont="1" applyFill="1" applyBorder="1">
      <alignment horizontal="right" vertical="center"/>
    </xf>
    <xf numFmtId="4" fontId="19" fillId="0" borderId="89" xfId="68" applyNumberFormat="1" applyFont="1" applyFill="1" applyBorder="1">
      <alignment horizontal="right" vertical="center"/>
    </xf>
    <xf numFmtId="4" fontId="19" fillId="4" borderId="11" xfId="68" applyNumberFormat="1" applyFont="1" applyBorder="1">
      <alignment horizontal="right" vertical="center"/>
    </xf>
    <xf numFmtId="4" fontId="19" fillId="4" borderId="89" xfId="68" applyNumberFormat="1" applyFont="1" applyBorder="1">
      <alignment horizontal="right" vertical="center"/>
    </xf>
    <xf numFmtId="4" fontId="19" fillId="0" borderId="75" xfId="68" applyNumberFormat="1" applyFont="1" applyFill="1" applyBorder="1">
      <alignment horizontal="right" vertical="center"/>
    </xf>
    <xf numFmtId="0" fontId="19" fillId="0" borderId="5" xfId="53" applyFont="1" applyFill="1" applyBorder="1" applyAlignment="1">
      <alignment horizontal="left" vertical="center" wrapText="1"/>
    </xf>
    <xf numFmtId="0" fontId="19" fillId="6" borderId="5" xfId="42" applyBorder="1" applyAlignment="1">
      <alignment wrapText="1"/>
    </xf>
    <xf numFmtId="0" fontId="19" fillId="0" borderId="60" xfId="53" applyFont="1" applyFill="1" applyBorder="1" applyAlignment="1">
      <alignment horizontal="left" vertical="center" wrapText="1"/>
    </xf>
    <xf numFmtId="0" fontId="19" fillId="6" borderId="61" xfId="42" applyBorder="1" applyAlignment="1">
      <alignment wrapText="1"/>
    </xf>
    <xf numFmtId="4" fontId="29" fillId="3" borderId="83" xfId="47" applyNumberFormat="1" applyFont="1" applyFill="1" applyBorder="1" applyAlignment="1">
      <alignment horizontal="right" vertical="center"/>
    </xf>
    <xf numFmtId="4" fontId="29" fillId="3" borderId="92" xfId="47" applyNumberFormat="1" applyFont="1" applyFill="1" applyBorder="1" applyAlignment="1">
      <alignment horizontal="right" vertical="center"/>
    </xf>
    <xf numFmtId="4" fontId="29" fillId="3" borderId="116" xfId="47" applyNumberFormat="1" applyFont="1" applyFill="1" applyBorder="1" applyAlignment="1">
      <alignment horizontal="right" vertical="center"/>
    </xf>
    <xf numFmtId="4" fontId="19" fillId="9" borderId="1" xfId="47" applyNumberFormat="1" applyFont="1" applyFill="1" applyBorder="1" applyAlignment="1">
      <alignment horizontal="right" vertical="center"/>
    </xf>
    <xf numFmtId="4" fontId="19" fillId="9" borderId="2" xfId="47" applyNumberFormat="1" applyFont="1" applyFill="1" applyBorder="1" applyAlignment="1">
      <alignment horizontal="right" vertical="center"/>
    </xf>
    <xf numFmtId="4" fontId="19" fillId="3" borderId="2" xfId="47" applyNumberFormat="1" applyFont="1" applyFill="1" applyBorder="1" applyAlignment="1">
      <alignment horizontal="right" vertical="center"/>
    </xf>
    <xf numFmtId="4" fontId="19" fillId="0" borderId="2" xfId="29" applyFont="1">
      <alignment horizontal="right" vertical="center"/>
    </xf>
    <xf numFmtId="4" fontId="19" fillId="6" borderId="5" xfId="43" applyNumberFormat="1" applyFont="1"/>
    <xf numFmtId="4" fontId="19" fillId="3" borderId="108" xfId="47" applyNumberFormat="1" applyFont="1" applyFill="1" applyBorder="1" applyAlignment="1">
      <alignment horizontal="right" vertical="center"/>
    </xf>
    <xf numFmtId="4" fontId="19" fillId="9" borderId="39" xfId="47" applyNumberFormat="1" applyFont="1" applyFill="1" applyBorder="1" applyAlignment="1">
      <alignment horizontal="right" vertical="center"/>
    </xf>
    <xf numFmtId="4" fontId="19" fillId="3" borderId="39" xfId="47" applyNumberFormat="1" applyFont="1" applyFill="1" applyBorder="1" applyAlignment="1">
      <alignment horizontal="right" vertical="center"/>
    </xf>
    <xf numFmtId="4" fontId="19" fillId="0" borderId="39" xfId="29" applyFont="1" applyBorder="1">
      <alignment horizontal="right" vertical="center"/>
    </xf>
    <xf numFmtId="4" fontId="19" fillId="6" borderId="60" xfId="43" applyNumberFormat="1" applyFont="1" applyBorder="1"/>
    <xf numFmtId="4" fontId="19" fillId="3" borderId="7" xfId="47" applyNumberFormat="1" applyFont="1" applyFill="1" applyBorder="1" applyAlignment="1">
      <alignment horizontal="right" vertical="center"/>
    </xf>
    <xf numFmtId="4" fontId="19" fillId="6" borderId="13" xfId="43" applyNumberFormat="1" applyFont="1" applyBorder="1"/>
    <xf numFmtId="4" fontId="19" fillId="6" borderId="44" xfId="43" applyNumberFormat="1" applyFont="1" applyBorder="1"/>
    <xf numFmtId="4" fontId="19" fillId="6" borderId="2" xfId="43" applyNumberFormat="1" applyFont="1" applyBorder="1"/>
    <xf numFmtId="4" fontId="19" fillId="0" borderId="2" xfId="47" applyNumberFormat="1" applyFont="1" applyBorder="1" applyAlignment="1">
      <alignment horizontal="right" vertical="center"/>
    </xf>
    <xf numFmtId="4" fontId="19" fillId="6" borderId="39" xfId="43" applyNumberFormat="1" applyFont="1" applyBorder="1"/>
    <xf numFmtId="4" fontId="19" fillId="0" borderId="39" xfId="47" applyNumberFormat="1" applyFont="1" applyBorder="1" applyAlignment="1">
      <alignment horizontal="right" vertical="center"/>
    </xf>
    <xf numFmtId="4" fontId="19" fillId="0" borderId="13" xfId="47" applyNumberFormat="1" applyFont="1" applyBorder="1" applyAlignment="1">
      <alignment horizontal="right" vertical="center"/>
    </xf>
    <xf numFmtId="4" fontId="19" fillId="5" borderId="13" xfId="47" applyNumberFormat="1" applyFont="1" applyFill="1" applyBorder="1" applyAlignment="1">
      <alignment horizontal="right" vertical="center"/>
    </xf>
    <xf numFmtId="4" fontId="29" fillId="6" borderId="61" xfId="38" applyNumberFormat="1" applyFont="1" applyBorder="1" applyAlignment="1">
      <alignment horizontal="right" vertical="center"/>
    </xf>
    <xf numFmtId="4" fontId="19" fillId="5" borderId="2" xfId="47" applyNumberFormat="1" applyFont="1" applyFill="1" applyBorder="1" applyAlignment="1">
      <alignment horizontal="right" vertical="center"/>
    </xf>
    <xf numFmtId="4" fontId="19" fillId="5" borderId="39" xfId="47" applyNumberFormat="1" applyFont="1" applyFill="1" applyBorder="1" applyAlignment="1">
      <alignment horizontal="right" vertical="center"/>
    </xf>
    <xf numFmtId="4" fontId="29" fillId="3" borderId="12" xfId="47" applyNumberFormat="1" applyFont="1" applyFill="1" applyBorder="1" applyAlignment="1">
      <alignment horizontal="right" vertical="center"/>
    </xf>
    <xf numFmtId="4" fontId="29" fillId="3" borderId="30" xfId="47" applyNumberFormat="1" applyFont="1" applyFill="1" applyBorder="1" applyAlignment="1">
      <alignment horizontal="right" vertical="center"/>
    </xf>
    <xf numFmtId="4" fontId="29" fillId="3" borderId="107" xfId="47" applyNumberFormat="1" applyFont="1" applyFill="1" applyBorder="1" applyAlignment="1">
      <alignment horizontal="right" vertical="center"/>
    </xf>
    <xf numFmtId="4" fontId="19" fillId="0" borderId="60" xfId="47" applyNumberFormat="1" applyFont="1" applyBorder="1" applyAlignment="1">
      <alignment horizontal="right" vertical="center"/>
    </xf>
    <xf numFmtId="4" fontId="29" fillId="3" borderId="110" xfId="47" applyNumberFormat="1" applyFont="1" applyFill="1" applyBorder="1" applyAlignment="1">
      <alignment horizontal="right" vertical="center"/>
    </xf>
    <xf numFmtId="4" fontId="29" fillId="6" borderId="1" xfId="47" applyNumberFormat="1" applyFont="1" applyFill="1" applyBorder="1" applyAlignment="1">
      <alignment horizontal="right" vertical="center"/>
    </xf>
    <xf numFmtId="4" fontId="29" fillId="6" borderId="30" xfId="47" applyNumberFormat="1" applyFont="1" applyFill="1" applyBorder="1" applyAlignment="1">
      <alignment horizontal="right" vertical="center"/>
    </xf>
    <xf numFmtId="4" fontId="29" fillId="0" borderId="13" xfId="47" applyNumberFormat="1" applyFont="1" applyBorder="1" applyAlignment="1">
      <alignment horizontal="right" vertical="center"/>
    </xf>
    <xf numFmtId="4" fontId="29" fillId="6" borderId="13" xfId="47" applyNumberFormat="1" applyFont="1" applyFill="1" applyBorder="1" applyAlignment="1">
      <alignment horizontal="right" vertical="center"/>
    </xf>
    <xf numFmtId="4" fontId="29" fillId="6" borderId="61" xfId="47" applyNumberFormat="1" applyFont="1" applyFill="1" applyBorder="1" applyAlignment="1">
      <alignment horizontal="right" vertical="center"/>
    </xf>
    <xf numFmtId="4" fontId="29" fillId="6" borderId="5" xfId="47" applyNumberFormat="1" applyFont="1" applyFill="1" applyBorder="1" applyAlignment="1">
      <alignment horizontal="right" vertical="center"/>
    </xf>
    <xf numFmtId="4" fontId="29" fillId="0" borderId="2" xfId="47" applyNumberFormat="1" applyFont="1" applyBorder="1" applyAlignment="1">
      <alignment horizontal="right" vertical="center"/>
    </xf>
    <xf numFmtId="4" fontId="29" fillId="6" borderId="2" xfId="47" applyNumberFormat="1" applyFont="1" applyFill="1" applyBorder="1" applyAlignment="1">
      <alignment horizontal="right" vertical="center"/>
    </xf>
    <xf numFmtId="4" fontId="29" fillId="0" borderId="39" xfId="47" applyNumberFormat="1" applyFont="1" applyBorder="1" applyAlignment="1">
      <alignment horizontal="right" vertical="center"/>
    </xf>
    <xf numFmtId="4" fontId="29" fillId="6" borderId="39" xfId="47" applyNumberFormat="1" applyFont="1" applyFill="1" applyBorder="1" applyAlignment="1">
      <alignment horizontal="right" vertical="center"/>
    </xf>
    <xf numFmtId="4" fontId="29" fillId="6" borderId="60" xfId="47" applyNumberFormat="1" applyFont="1" applyFill="1" applyBorder="1" applyAlignment="1">
      <alignment horizontal="right" vertical="center"/>
    </xf>
    <xf numFmtId="4" fontId="29" fillId="17" borderId="82" xfId="47" applyNumberFormat="1" applyFont="1" applyFill="1" applyBorder="1" applyAlignment="1">
      <alignment horizontal="right" vertical="center"/>
    </xf>
    <xf numFmtId="4" fontId="29" fillId="17" borderId="83" xfId="47" applyNumberFormat="1" applyFont="1" applyFill="1" applyBorder="1" applyAlignment="1">
      <alignment horizontal="right" vertical="center"/>
    </xf>
    <xf numFmtId="4" fontId="29" fillId="17" borderId="122" xfId="47" applyNumberFormat="1" applyFont="1" applyFill="1" applyBorder="1" applyAlignment="1">
      <alignment horizontal="right" vertical="center"/>
    </xf>
    <xf numFmtId="4" fontId="29" fillId="17" borderId="65" xfId="47" applyNumberFormat="1" applyFont="1" applyFill="1" applyBorder="1" applyAlignment="1">
      <alignment horizontal="right" vertical="center"/>
    </xf>
    <xf numFmtId="4" fontId="29" fillId="17" borderId="92" xfId="47" applyNumberFormat="1" applyFont="1" applyFill="1" applyBorder="1" applyAlignment="1">
      <alignment horizontal="right" vertical="center"/>
    </xf>
    <xf numFmtId="4" fontId="19" fillId="0" borderId="95" xfId="47" applyNumberFormat="1" applyFont="1" applyBorder="1" applyAlignment="1">
      <alignment horizontal="right" vertical="center"/>
    </xf>
    <xf numFmtId="4" fontId="19" fillId="0" borderId="1" xfId="47" applyNumberFormat="1" applyFont="1" applyBorder="1" applyAlignment="1">
      <alignment horizontal="right" vertical="center"/>
    </xf>
    <xf numFmtId="4" fontId="19" fillId="0" borderId="12" xfId="47" applyNumberFormat="1" applyFont="1" applyBorder="1" applyAlignment="1">
      <alignment horizontal="right" vertical="center"/>
    </xf>
    <xf numFmtId="4" fontId="19" fillId="0" borderId="36" xfId="47" applyNumberFormat="1" applyFont="1" applyBorder="1" applyAlignment="1">
      <alignment horizontal="right" vertical="center"/>
    </xf>
    <xf numFmtId="4" fontId="19" fillId="0" borderId="30" xfId="47" applyNumberFormat="1" applyFont="1" applyBorder="1" applyAlignment="1">
      <alignment horizontal="right" vertical="center"/>
    </xf>
    <xf numFmtId="4" fontId="19" fillId="0" borderId="29" xfId="47" applyNumberFormat="1" applyFont="1" applyBorder="1" applyAlignment="1">
      <alignment horizontal="right" vertical="center"/>
    </xf>
    <xf numFmtId="4" fontId="19" fillId="0" borderId="23" xfId="47" applyNumberFormat="1" applyFont="1" applyBorder="1" applyAlignment="1">
      <alignment horizontal="right" vertical="center"/>
    </xf>
    <xf numFmtId="4" fontId="19" fillId="0" borderId="4" xfId="47" applyNumberFormat="1" applyFont="1" applyBorder="1" applyAlignment="1">
      <alignment horizontal="right" vertical="center"/>
    </xf>
    <xf numFmtId="4" fontId="19" fillId="0" borderId="5" xfId="47" applyNumberFormat="1" applyFont="1" applyBorder="1" applyAlignment="1">
      <alignment horizontal="right" vertical="center"/>
    </xf>
    <xf numFmtId="49" fontId="19" fillId="6" borderId="23" xfId="46" applyNumberFormat="1" applyFont="1" applyFill="1" applyBorder="1" applyAlignment="1">
      <alignment horizontal="right" vertical="center"/>
    </xf>
    <xf numFmtId="4" fontId="19" fillId="0" borderId="6" xfId="47" applyNumberFormat="1" applyFont="1" applyBorder="1" applyAlignment="1">
      <alignment horizontal="right" vertical="center"/>
    </xf>
    <xf numFmtId="4" fontId="19" fillId="0" borderId="49" xfId="47" applyNumberFormat="1" applyFont="1" applyBorder="1" applyAlignment="1">
      <alignment horizontal="right" vertical="center"/>
    </xf>
    <xf numFmtId="4" fontId="19" fillId="0" borderId="59" xfId="47" applyNumberFormat="1" applyFont="1" applyBorder="1" applyAlignment="1">
      <alignment horizontal="right" vertical="center"/>
    </xf>
    <xf numFmtId="4" fontId="19" fillId="0" borderId="58" xfId="47" applyNumberFormat="1" applyFont="1" applyBorder="1" applyAlignment="1">
      <alignment horizontal="right" vertical="center"/>
    </xf>
    <xf numFmtId="0" fontId="19" fillId="0" borderId="84" xfId="57" applyFont="1" applyBorder="1">
      <alignment horizontal="right" vertical="center"/>
    </xf>
    <xf numFmtId="169" fontId="29" fillId="2" borderId="85" xfId="47" applyNumberFormat="1" applyFont="1" applyFill="1" applyBorder="1" applyAlignment="1">
      <alignment horizontal="right" vertical="center"/>
    </xf>
    <xf numFmtId="169" fontId="29" fillId="17" borderId="13" xfId="0" applyNumberFormat="1" applyFont="1" applyFill="1" applyBorder="1"/>
    <xf numFmtId="4" fontId="29" fillId="17" borderId="61" xfId="0" applyNumberFormat="1" applyFont="1" applyFill="1" applyBorder="1"/>
    <xf numFmtId="169" fontId="19" fillId="17" borderId="2" xfId="0" applyNumberFormat="1" applyFont="1" applyFill="1" applyBorder="1"/>
    <xf numFmtId="0" fontId="19" fillId="6" borderId="35" xfId="0" applyFont="1" applyFill="1" applyBorder="1"/>
    <xf numFmtId="0" fontId="19" fillId="6" borderId="53" xfId="0" applyFont="1" applyFill="1" applyBorder="1"/>
    <xf numFmtId="0" fontId="19" fillId="6" borderId="28" xfId="0" applyFont="1" applyFill="1" applyBorder="1"/>
    <xf numFmtId="169" fontId="29" fillId="17" borderId="1" xfId="0" applyNumberFormat="1" applyFont="1" applyFill="1" applyBorder="1"/>
    <xf numFmtId="4" fontId="29" fillId="17" borderId="30" xfId="0" applyNumberFormat="1" applyFont="1" applyFill="1" applyBorder="1"/>
    <xf numFmtId="4" fontId="29" fillId="17" borderId="5" xfId="0" applyNumberFormat="1" applyFont="1" applyFill="1" applyBorder="1"/>
    <xf numFmtId="0" fontId="19" fillId="17" borderId="2" xfId="0" applyFont="1" applyFill="1" applyBorder="1" applyAlignment="1">
      <alignment horizontal="right"/>
    </xf>
    <xf numFmtId="4" fontId="29" fillId="17" borderId="61" xfId="0" applyNumberFormat="1" applyFont="1" applyFill="1" applyBorder="1" applyAlignment="1">
      <alignment horizontal="right"/>
    </xf>
    <xf numFmtId="0" fontId="19" fillId="17" borderId="23" xfId="0" applyFont="1" applyFill="1" applyBorder="1" applyAlignment="1">
      <alignment horizontal="right"/>
    </xf>
    <xf numFmtId="0" fontId="19" fillId="6" borderId="2" xfId="0" applyFont="1" applyFill="1" applyBorder="1" applyAlignment="1">
      <alignment horizontal="right"/>
    </xf>
    <xf numFmtId="0" fontId="19" fillId="6" borderId="23" xfId="0" applyFont="1" applyFill="1" applyBorder="1" applyAlignment="1">
      <alignment horizontal="right"/>
    </xf>
    <xf numFmtId="0" fontId="19" fillId="6" borderId="5" xfId="0" applyFont="1" applyFill="1" applyBorder="1" applyAlignment="1">
      <alignment horizontal="right"/>
    </xf>
    <xf numFmtId="0" fontId="19" fillId="17" borderId="39" xfId="0" applyFont="1" applyFill="1" applyBorder="1" applyAlignment="1">
      <alignment horizontal="right"/>
    </xf>
    <xf numFmtId="0" fontId="19" fillId="17" borderId="59" xfId="0" applyFont="1" applyFill="1" applyBorder="1" applyAlignment="1">
      <alignment horizontal="right"/>
    </xf>
    <xf numFmtId="4" fontId="29" fillId="17" borderId="89" xfId="0" applyNumberFormat="1" applyFont="1" applyFill="1" applyBorder="1" applyAlignment="1">
      <alignment horizontal="right"/>
    </xf>
    <xf numFmtId="4" fontId="29" fillId="17" borderId="30" xfId="0" applyNumberFormat="1" applyFont="1" applyFill="1" applyBorder="1" applyAlignment="1">
      <alignment horizontal="right"/>
    </xf>
    <xf numFmtId="0" fontId="19" fillId="6" borderId="2" xfId="0" applyFont="1" applyFill="1" applyBorder="1"/>
    <xf numFmtId="0" fontId="19" fillId="6" borderId="23" xfId="0" applyFont="1" applyFill="1" applyBorder="1"/>
    <xf numFmtId="0" fontId="19" fillId="6" borderId="5" xfId="0" applyFont="1" applyFill="1" applyBorder="1"/>
    <xf numFmtId="169" fontId="19" fillId="17" borderId="39" xfId="0" applyNumberFormat="1" applyFont="1" applyFill="1" applyBorder="1"/>
    <xf numFmtId="168" fontId="29" fillId="17" borderId="13" xfId="0" applyNumberFormat="1" applyFont="1" applyFill="1" applyBorder="1"/>
    <xf numFmtId="0" fontId="19" fillId="17" borderId="35" xfId="0" applyFont="1" applyFill="1" applyBorder="1" applyAlignment="1">
      <alignment horizontal="right"/>
    </xf>
    <xf numFmtId="4" fontId="29" fillId="17" borderId="44" xfId="0" applyNumberFormat="1" applyFont="1" applyFill="1" applyBorder="1" applyAlignment="1">
      <alignment horizontal="right"/>
    </xf>
    <xf numFmtId="0" fontId="19" fillId="17" borderId="62" xfId="0" applyFont="1" applyFill="1" applyBorder="1" applyAlignment="1">
      <alignment horizontal="right"/>
    </xf>
    <xf numFmtId="4" fontId="29" fillId="17" borderId="63" xfId="0" applyNumberFormat="1" applyFont="1" applyFill="1" applyBorder="1" applyAlignment="1">
      <alignment horizontal="right"/>
    </xf>
    <xf numFmtId="0" fontId="19" fillId="6" borderId="1" xfId="0" applyFont="1" applyFill="1" applyBorder="1"/>
    <xf numFmtId="0" fontId="19" fillId="6" borderId="12" xfId="0" applyFont="1" applyFill="1" applyBorder="1"/>
    <xf numFmtId="0" fontId="19" fillId="6" borderId="30" xfId="0" applyFont="1" applyFill="1" applyBorder="1"/>
    <xf numFmtId="169" fontId="29" fillId="17" borderId="2" xfId="0" applyNumberFormat="1" applyFont="1" applyFill="1" applyBorder="1"/>
    <xf numFmtId="169" fontId="29" fillId="17" borderId="61" xfId="0" applyNumberFormat="1" applyFont="1" applyFill="1" applyBorder="1" applyAlignment="1">
      <alignment horizontal="right"/>
    </xf>
    <xf numFmtId="169" fontId="19" fillId="17" borderId="2" xfId="0" applyNumberFormat="1" applyFont="1" applyFill="1" applyBorder="1" applyAlignment="1">
      <alignment horizontal="right"/>
    </xf>
    <xf numFmtId="169" fontId="29" fillId="17" borderId="60" xfId="0" applyNumberFormat="1" applyFont="1" applyFill="1" applyBorder="1" applyAlignment="1">
      <alignment horizontal="right"/>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03">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4" xfId="84" xr:uid="{00000000-0005-0000-0000-000041000000}"/>
    <cellStyle name="Normal 4 2" xfId="88" xr:uid="{00000000-0005-0000-0000-000042000000}"/>
    <cellStyle name="Normal 5" xfId="85" xr:uid="{00000000-0005-0000-0000-000043000000}"/>
    <cellStyle name="Normal 6" xfId="86" xr:uid="{00000000-0005-0000-0000-000044000000}"/>
    <cellStyle name="Normal 6 2" xfId="90" xr:uid="{00000000-0005-0000-0000-000045000000}"/>
    <cellStyle name="Normal 6 2 2" xfId="94" xr:uid="{00000000-0005-0000-0000-000046000000}"/>
    <cellStyle name="Normal 6 3" xfId="93" xr:uid="{00000000-0005-0000-0000-000047000000}"/>
    <cellStyle name="Normal 6 3 2" xfId="95" xr:uid="{00000000-0005-0000-0000-000048000000}"/>
    <cellStyle name="Normal 6 3 3" xfId="97" xr:uid="{00000000-0005-0000-0000-000049000000}"/>
    <cellStyle name="Normal 7" xfId="87" xr:uid="{00000000-0005-0000-0000-00004A000000}"/>
    <cellStyle name="Normal 8" xfId="89" xr:uid="{00000000-0005-0000-0000-00004B000000}"/>
    <cellStyle name="Normal 9" xfId="92" xr:uid="{00000000-0005-0000-0000-00004C000000}"/>
    <cellStyle name="Normal 9 2" xfId="96" xr:uid="{00000000-0005-0000-0000-00004D000000}"/>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xml"/><Relationship Id="rId68" Type="http://schemas.openxmlformats.org/officeDocument/2006/relationships/externalLink" Target="externalLinks/externalLink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externalLink" Target="externalLinks/externalLink7.xml"/><Relationship Id="rId77"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0.xml"/><Relationship Id="rId80"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8.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73" Type="http://schemas.openxmlformats.org/officeDocument/2006/relationships/theme" Target="theme/theme1.xml"/><Relationship Id="rId78"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62</xdr:row>
      <xdr:rowOff>0</xdr:rowOff>
    </xdr:from>
    <xdr:to>
      <xdr:col>11</xdr:col>
      <xdr:colOff>1085850</xdr:colOff>
      <xdr:row>68</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44</xdr:row>
      <xdr:rowOff>219207</xdr:rowOff>
    </xdr:from>
    <xdr:to>
      <xdr:col>11</xdr:col>
      <xdr:colOff>1034745</xdr:colOff>
      <xdr:row>61</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102</xdr:row>
      <xdr:rowOff>17782</xdr:rowOff>
    </xdr:from>
    <xdr:to>
      <xdr:col>13</xdr:col>
      <xdr:colOff>605936</xdr:colOff>
      <xdr:row>127</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127</xdr:row>
      <xdr:rowOff>130810</xdr:rowOff>
    </xdr:from>
    <xdr:to>
      <xdr:col>13</xdr:col>
      <xdr:colOff>581025</xdr:colOff>
      <xdr:row>132</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48</xdr:row>
      <xdr:rowOff>59054</xdr:rowOff>
    </xdr:from>
    <xdr:to>
      <xdr:col>9</xdr:col>
      <xdr:colOff>1234109</xdr:colOff>
      <xdr:row>60</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61</xdr:row>
      <xdr:rowOff>152400</xdr:rowOff>
    </xdr:from>
    <xdr:to>
      <xdr:col>9</xdr:col>
      <xdr:colOff>1143000</xdr:colOff>
      <xdr:row>66</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45</xdr:row>
      <xdr:rowOff>48893</xdr:rowOff>
    </xdr:from>
    <xdr:to>
      <xdr:col>7</xdr:col>
      <xdr:colOff>2540</xdr:colOff>
      <xdr:row>56</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58</xdr:row>
      <xdr:rowOff>0</xdr:rowOff>
    </xdr:from>
    <xdr:to>
      <xdr:col>6</xdr:col>
      <xdr:colOff>1333500</xdr:colOff>
      <xdr:row>64</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68</xdr:row>
      <xdr:rowOff>3394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45</xdr:row>
      <xdr:rowOff>54415</xdr:rowOff>
    </xdr:from>
    <xdr:to>
      <xdr:col>10</xdr:col>
      <xdr:colOff>1622205</xdr:colOff>
      <xdr:row>55</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55</xdr:row>
      <xdr:rowOff>166273</xdr:rowOff>
    </xdr:from>
    <xdr:to>
      <xdr:col>10</xdr:col>
      <xdr:colOff>1622206</xdr:colOff>
      <xdr:row>62</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49</xdr:row>
      <xdr:rowOff>18414</xdr:rowOff>
    </xdr:from>
    <xdr:to>
      <xdr:col>15</xdr:col>
      <xdr:colOff>85248</xdr:colOff>
      <xdr:row>58</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60</xdr:row>
      <xdr:rowOff>0</xdr:rowOff>
    </xdr:from>
    <xdr:to>
      <xdr:col>15</xdr:col>
      <xdr:colOff>28099</xdr:colOff>
      <xdr:row>65</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119</xdr:row>
      <xdr:rowOff>53339</xdr:rowOff>
    </xdr:from>
    <xdr:to>
      <xdr:col>10</xdr:col>
      <xdr:colOff>1101166</xdr:colOff>
      <xdr:row>123</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71</xdr:row>
      <xdr:rowOff>50800</xdr:rowOff>
    </xdr:from>
    <xdr:to>
      <xdr:col>13</xdr:col>
      <xdr:colOff>736600</xdr:colOff>
      <xdr:row>78</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80</xdr:row>
      <xdr:rowOff>0</xdr:rowOff>
    </xdr:from>
    <xdr:to>
      <xdr:col>13</xdr:col>
      <xdr:colOff>742292</xdr:colOff>
      <xdr:row>82</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at the SWDS.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151</xdr:row>
      <xdr:rowOff>124460</xdr:rowOff>
    </xdr:from>
    <xdr:to>
      <xdr:col>5</xdr:col>
      <xdr:colOff>4419600</xdr:colOff>
      <xdr:row>161</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163</xdr:row>
      <xdr:rowOff>5256</xdr:rowOff>
    </xdr:from>
    <xdr:to>
      <xdr:col>5</xdr:col>
      <xdr:colOff>4314495</xdr:colOff>
      <xdr:row>165</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51</xdr:row>
      <xdr:rowOff>0</xdr:rowOff>
    </xdr:from>
    <xdr:to>
      <xdr:col>35</xdr:col>
      <xdr:colOff>0</xdr:colOff>
      <xdr:row>53</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232251</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257358</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NFCCC\CRFReporter2\Template\FromCustomer\LULUCF%20module%20-%20v%20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ev%20RGLs\tables\CRF%20Reporter%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fccc365.sharepoint.com/sites/SBSTA/Shared%20Documents/10(a)%20CRT/secretariat's%20proposal%20for%20CRT%20(working%20files)/@CRT_for%20discussion_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0/@ETC-CRT/official%20CRF%20sbsta39/@combined_official%20CRF_set_1-4_original%20(a%20bit%20modified)_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1/ETF-CRT/20210419_CRT%20in%20our%20pocket/@official%20CRF_set_working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fccc365.sharepoint.com/Temp/notes268E31/EU_submission_Wetlands_Supplement_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fccc365.sharepoint.com/UNFCCC%20reporting%20guidelines/Notes/Session/f_Wed%200612/PM%20session/UNFCCC%20reporting%20guidelines/CRF%20tables/set_2_afolu_for_web_misc14_06062013.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https://unfccc365.sharepoint.com/Users/Aizawa/OneDrive%20-%20UNFCCC/2020/@ETF-CRT%202020/10(a)%20CRT%20=%20secretariat's%20proposal%20for%20CRT%20(working%20files)/original%20CRF%20tables%20(as%20a%20reference)/@combined_official%20CRF_set_1-4_original%20(a%20bit%20modified)_0.0.xlsx?97E7DCE8" TargetMode="External"/><Relationship Id="rId1" Type="http://schemas.openxmlformats.org/officeDocument/2006/relationships/externalLinkPath" Target="file:///\\97E7DCE8\@combined_official%20CRF_set_1-4_original%20(a%20bit%20modified)_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fccc365.sharepoint.com/Users/Aizawa/OneDrive%20-%20UNFCCC/2021/#ETF-CRT/20210419_CRT in our pocket/@CRT_for discussion_1.9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Desktop/Flexibility_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A(d)changed"/>
      <sheetName val="Table1.B.1"/>
      <sheetName val="Table1.B.2"/>
      <sheetName val="Table1.B_option 2"/>
      <sheetName val="Table1.C_new"/>
      <sheetName val="Table1.D"/>
      <sheetName val="Table2(I)s1"/>
      <sheetName val="Table2(I)s2"/>
      <sheetName val="Table2(I).A-Gs1"/>
      <sheetName val="Table2(I).A-Gs2"/>
      <sheetName val="Table2(II)s1"/>
      <sheetName val="Table2(II)s2"/>
      <sheetName val="Table2(II).C, E"/>
      <sheetName val="Table2(II)F-gases.new"/>
      <sheetName val="Table2(II).Fs1"/>
      <sheetName val="Table2(II).Fs2"/>
      <sheetName val="Table3"/>
      <sheetName val="Table3.A-D"/>
      <sheetName val="Table 3 new"/>
      <sheetName val="Table4s1"/>
      <sheetName val="Table4s2"/>
      <sheetName val="Table4.A"/>
      <sheetName val="Table4.B(a)"/>
      <sheetName val="Table4.B(b)"/>
      <sheetName val="Table4.C"/>
      <sheetName val="Table4.Ds1"/>
      <sheetName val="Table4.E"/>
      <sheetName val="Table4.F"/>
      <sheetName val="Table5"/>
      <sheetName val="new matrix"/>
      <sheetName val="Table5.A"/>
      <sheetName val="Table5.B"/>
      <sheetName val="Table5.C"/>
      <sheetName val="Table5.D"/>
      <sheetName val="Table5.E"/>
      <sheetName val="Table5.F"/>
      <sheetName val="new for 3.C"/>
      <sheetName val="Table5(I)"/>
      <sheetName val="Table5(II)"/>
      <sheetName val="Table5(III)"/>
      <sheetName val="Table5(IV)"/>
      <sheetName val="Table5(V)"/>
      <sheetName val="new HWP"/>
      <sheetName val="Table6"/>
      <sheetName val="Table6.A,C"/>
      <sheetName val="Sheet4"/>
      <sheetName val="Sheet3"/>
      <sheetName val="Table6.Bs1"/>
      <sheetName val="table6 new indirect"/>
      <sheetName val="Summary1.As1"/>
      <sheetName val="Summary1.As2"/>
      <sheetName val="Summary1.As3"/>
      <sheetName val="Summary1.B"/>
      <sheetName val="Summary2"/>
      <sheetName val="Summary3s1"/>
      <sheetName val="Summary3s2"/>
      <sheetName val="Table7"/>
      <sheetName val="Table8(a)s1"/>
      <sheetName val="Table8(a)s2"/>
      <sheetName val="Table8(a)s3"/>
      <sheetName val="Table8(a)s4"/>
      <sheetName val="Table8(b)"/>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 3"/>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Table5"/>
      <sheetName val="Table5.A"/>
      <sheetName val="Table 5.B"/>
      <sheetName val="Table 5.C"/>
      <sheetName val="Table5.D"/>
      <sheetName val="Summary1"/>
      <sheetName val="Summary2"/>
      <sheetName val="Summary3"/>
      <sheetName val="Table 6"/>
      <sheetName val="Table7"/>
      <sheetName val="Table8s1"/>
      <sheetName val="Table8s2"/>
      <sheetName val="Table9"/>
      <sheetName val="Table10s1"/>
      <sheetName val="Table10s2"/>
      <sheetName val="Table10s3"/>
      <sheetName val="Table10s4"/>
      <sheetName val="Table10s5"/>
      <sheetName val="Table10s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Sheet1"/>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s1 (only Prod Ap.)"/>
      <sheetName val="Table 4.G s2"/>
      <sheetName val="Table5"/>
      <sheetName val="Table5.A"/>
      <sheetName val="Table 5.B"/>
      <sheetName val="Table 5.C"/>
      <sheetName val="Table5.D"/>
      <sheetName val="Summary1"/>
      <sheetName val="Summary1 (mass)"/>
      <sheetName val="Summary2"/>
      <sheetName val="Summary3"/>
      <sheetName val="Summary1 (@SB51)"/>
      <sheetName val="Summary1 (mass) (@SB51)"/>
      <sheetName val="Summary2 (@SB51)"/>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Table 10s1 (@SB51)"/>
      <sheetName val="Table10s2 (@SB51)"/>
      <sheetName val="Table10s3 (@SB51)"/>
      <sheetName val="Table10s4 (@SB51)"/>
      <sheetName val="Table10s5 (@SB51)"/>
      <sheetName val="Table10s6 (@SB51)"/>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C"/>
      <sheetName val="Table 3.E"/>
      <sheetName val="Table 4.A"/>
      <sheetName val="Table 4.B"/>
      <sheetName val="Table 4.C"/>
      <sheetName val="Table 4.D"/>
      <sheetName val="Table 4.E"/>
      <sheetName val="Table 4.F"/>
      <sheetName val="Table 4(III)"/>
      <sheetName val="Table 4(V)"/>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s1"/>
      <sheetName val="Table 3s2"/>
      <sheetName val="Table 3.A"/>
      <sheetName val="Table 3.B(a)"/>
      <sheetName val="Table 3.B(b)"/>
      <sheetName val="Table 3.C"/>
      <sheetName val="Table 3.D"/>
      <sheetName val="Table 3.E"/>
      <sheetName val="Table 3.F"/>
      <sheetName val="Table 3.G-H"/>
      <sheetName val="Table 4"/>
      <sheetName val="Table 4.1"/>
      <sheetName val="Table 4.1 (2)"/>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3"/>
      <sheetName val="Table3.A"/>
      <sheetName val="Table3.B(a)"/>
      <sheetName val="Table3.B(b)"/>
      <sheetName val="Table3.C"/>
      <sheetName val="Table3.D"/>
      <sheetName val="Table3.E"/>
      <sheetName val="Table3.F"/>
      <sheetName val="Table3.G-I"/>
      <sheetName val="Table4"/>
      <sheetName val="Table4.1"/>
      <sheetName val="Table4.A"/>
      <sheetName val="Table4.B"/>
      <sheetName val="Table4.C"/>
      <sheetName val="Table4.D"/>
      <sheetName val="Table4.E"/>
      <sheetName val="Table4.F"/>
      <sheetName val="Table4(I)"/>
      <sheetName val="Table4(II)"/>
      <sheetName val="Table4(III)"/>
      <sheetName val="Table4(IV)"/>
      <sheetName val="Table4(V)"/>
      <sheetName val="Table4.Gs1 "/>
      <sheetName val="Table4.Gs2"/>
      <sheetName val="Table5"/>
      <sheetName val="Table5.A"/>
      <sheetName val="Table5.B"/>
      <sheetName val="Table5.C"/>
      <sheetName val="Table5.D"/>
      <sheetName val="Summary1"/>
      <sheetName val="Summary2"/>
      <sheetName val="Summary3"/>
      <sheetName val="Table6"/>
      <sheetName val="Table7"/>
      <sheetName val="Table8s1"/>
      <sheetName val="Table8s2"/>
      <sheetName val="Table9"/>
      <sheetName val="Table10s1"/>
      <sheetName val="Table10s2"/>
      <sheetName val="Table10s3"/>
      <sheetName val="Table10s4"/>
      <sheetName val="Table10s5"/>
      <sheetName val="Table10s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ple_1"/>
      <sheetName val="Example_2"/>
      <sheetName val="Example_3"/>
      <sheetName val="Example_4"/>
      <sheetName val="Example_5"/>
      <sheetName val="Example_6"/>
      <sheetName val="Example_7"/>
      <sheetName val="Example_8"/>
      <sheetName val="Example_x"/>
      <sheetName val="Example_9"/>
      <sheetName val="Example_10"/>
      <sheetName val="Example_10rev"/>
      <sheetName val="Example_11"/>
      <sheetName val="Example_xUS"/>
      <sheetName val="Example_12"/>
      <sheetName val="Example_12rev"/>
      <sheetName val="Example_13"/>
      <sheetName val="Example_13r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63"/>
  <sheetViews>
    <sheetView showGridLines="0" tabSelected="1" zoomScaleNormal="100" workbookViewId="0">
      <pane xSplit="2" ySplit="1" topLeftCell="C2" activePane="bottomRight" state="frozen"/>
      <selection activeCell="C11" sqref="C11"/>
      <selection pane="topRight" activeCell="C11" sqref="C11"/>
      <selection pane="bottomLeft" activeCell="C11" sqref="C11"/>
      <selection pane="bottomRight" activeCell="B1" sqref="B1"/>
    </sheetView>
  </sheetViews>
  <sheetFormatPr defaultRowHeight="12.75" x14ac:dyDescent="0.2"/>
  <cols>
    <col min="1" max="1" width="1.85546875" customWidth="1"/>
    <col min="2" max="2" width="25.85546875" customWidth="1"/>
    <col min="3" max="3" width="84.28515625" bestFit="1" customWidth="1"/>
  </cols>
  <sheetData>
    <row r="1" spans="2:3" x14ac:dyDescent="0.2">
      <c r="B1" s="549" t="s">
        <v>0</v>
      </c>
      <c r="C1" s="549" t="s">
        <v>2481</v>
      </c>
    </row>
    <row r="2" spans="2:3" x14ac:dyDescent="0.2">
      <c r="B2" s="2446" t="s">
        <v>1853</v>
      </c>
      <c r="C2" t="s">
        <v>1853</v>
      </c>
    </row>
    <row r="3" spans="2:3" x14ac:dyDescent="0.2">
      <c r="B3" s="2446" t="s">
        <v>1</v>
      </c>
      <c r="C3" t="s">
        <v>2468</v>
      </c>
    </row>
    <row r="4" spans="2:3" x14ac:dyDescent="0.2">
      <c r="B4" s="2446" t="s">
        <v>2</v>
      </c>
      <c r="C4" t="s">
        <v>2464</v>
      </c>
    </row>
    <row r="5" spans="2:3" x14ac:dyDescent="0.2">
      <c r="B5" s="2446" t="s">
        <v>3</v>
      </c>
      <c r="C5" t="s">
        <v>2464</v>
      </c>
    </row>
    <row r="6" spans="2:3" x14ac:dyDescent="0.2">
      <c r="B6" s="2446" t="s">
        <v>4</v>
      </c>
      <c r="C6" t="s">
        <v>2464</v>
      </c>
    </row>
    <row r="7" spans="2:3" x14ac:dyDescent="0.2">
      <c r="B7" s="2446" t="s">
        <v>5</v>
      </c>
      <c r="C7" t="s">
        <v>2464</v>
      </c>
    </row>
    <row r="8" spans="2:3" x14ac:dyDescent="0.2">
      <c r="B8" s="2446" t="s">
        <v>6</v>
      </c>
      <c r="C8" t="s">
        <v>2465</v>
      </c>
    </row>
    <row r="9" spans="2:3" x14ac:dyDescent="0.2">
      <c r="B9" s="2446" t="s">
        <v>7</v>
      </c>
      <c r="C9" t="s">
        <v>2466</v>
      </c>
    </row>
    <row r="10" spans="2:3" x14ac:dyDescent="0.2">
      <c r="B10" s="2446" t="s">
        <v>8</v>
      </c>
      <c r="C10" t="s">
        <v>2467</v>
      </c>
    </row>
    <row r="11" spans="2:3" x14ac:dyDescent="0.2">
      <c r="B11" s="2446" t="s">
        <v>9</v>
      </c>
      <c r="C11" t="s">
        <v>2469</v>
      </c>
    </row>
    <row r="12" spans="2:3" x14ac:dyDescent="0.2">
      <c r="B12" s="2446" t="s">
        <v>10</v>
      </c>
      <c r="C12" t="s">
        <v>2470</v>
      </c>
    </row>
    <row r="13" spans="2:3" x14ac:dyDescent="0.2">
      <c r="B13" s="2446" t="s">
        <v>11</v>
      </c>
      <c r="C13" t="s">
        <v>2471</v>
      </c>
    </row>
    <row r="14" spans="2:3" x14ac:dyDescent="0.2">
      <c r="B14" s="2446" t="s">
        <v>12</v>
      </c>
      <c r="C14" t="s">
        <v>416</v>
      </c>
    </row>
    <row r="15" spans="2:3" x14ac:dyDescent="0.2">
      <c r="B15" s="2446" t="s">
        <v>13</v>
      </c>
      <c r="C15" t="s">
        <v>2472</v>
      </c>
    </row>
    <row r="16" spans="2:3" x14ac:dyDescent="0.2">
      <c r="B16" s="2446" t="s">
        <v>15</v>
      </c>
      <c r="C16" t="s">
        <v>2473</v>
      </c>
    </row>
    <row r="17" spans="2:3" x14ac:dyDescent="0.2">
      <c r="B17" s="2446" t="s">
        <v>14</v>
      </c>
      <c r="C17" t="s">
        <v>2474</v>
      </c>
    </row>
    <row r="18" spans="2:3" x14ac:dyDescent="0.2">
      <c r="B18" s="2446" t="s">
        <v>16</v>
      </c>
      <c r="C18" t="s">
        <v>2475</v>
      </c>
    </row>
    <row r="19" spans="2:3" x14ac:dyDescent="0.2">
      <c r="B19" s="2446" t="s">
        <v>17</v>
      </c>
      <c r="C19" t="s">
        <v>2476</v>
      </c>
    </row>
    <row r="20" spans="2:3" x14ac:dyDescent="0.2">
      <c r="B20" s="2446" t="s">
        <v>18</v>
      </c>
      <c r="C20" t="s">
        <v>2477</v>
      </c>
    </row>
    <row r="21" spans="2:3" x14ac:dyDescent="0.2">
      <c r="B21" s="2446" t="s">
        <v>19</v>
      </c>
      <c r="C21" t="s">
        <v>2478</v>
      </c>
    </row>
    <row r="22" spans="2:3" x14ac:dyDescent="0.2">
      <c r="B22" s="2446" t="s">
        <v>20</v>
      </c>
      <c r="C22" t="s">
        <v>2479</v>
      </c>
    </row>
    <row r="23" spans="2:3" x14ac:dyDescent="0.2">
      <c r="B23" s="2446" t="s">
        <v>21</v>
      </c>
      <c r="C23" t="s">
        <v>2480</v>
      </c>
    </row>
    <row r="24" spans="2:3" x14ac:dyDescent="0.2">
      <c r="B24" s="2446" t="s">
        <v>22</v>
      </c>
      <c r="C24" t="s">
        <v>2482</v>
      </c>
    </row>
    <row r="25" spans="2:3" x14ac:dyDescent="0.2">
      <c r="B25" s="2446" t="s">
        <v>23</v>
      </c>
      <c r="C25" t="s">
        <v>2483</v>
      </c>
    </row>
    <row r="26" spans="2:3" x14ac:dyDescent="0.2">
      <c r="B26" s="2446" t="s">
        <v>24</v>
      </c>
      <c r="C26" t="s">
        <v>2484</v>
      </c>
    </row>
    <row r="27" spans="2:3" x14ac:dyDescent="0.2">
      <c r="B27" s="2446" t="s">
        <v>25</v>
      </c>
      <c r="C27" t="s">
        <v>2485</v>
      </c>
    </row>
    <row r="28" spans="2:3" x14ac:dyDescent="0.2">
      <c r="B28" s="2446" t="s">
        <v>1936</v>
      </c>
      <c r="C28" t="s">
        <v>2486</v>
      </c>
    </row>
    <row r="29" spans="2:3" x14ac:dyDescent="0.2">
      <c r="B29" s="2446" t="s">
        <v>26</v>
      </c>
      <c r="C29" t="s">
        <v>2487</v>
      </c>
    </row>
    <row r="30" spans="2:3" x14ac:dyDescent="0.2">
      <c r="B30" s="2446" t="s">
        <v>27</v>
      </c>
      <c r="C30" t="s">
        <v>2488</v>
      </c>
    </row>
    <row r="31" spans="2:3" x14ac:dyDescent="0.2">
      <c r="B31" s="2446" t="s">
        <v>28</v>
      </c>
      <c r="C31" t="s">
        <v>2489</v>
      </c>
    </row>
    <row r="32" spans="2:3" x14ac:dyDescent="0.2">
      <c r="B32" s="2446" t="s">
        <v>29</v>
      </c>
      <c r="C32" t="s">
        <v>2490</v>
      </c>
    </row>
    <row r="33" spans="2:3" x14ac:dyDescent="0.2">
      <c r="B33" s="2446" t="s">
        <v>30</v>
      </c>
      <c r="C33" t="s">
        <v>2491</v>
      </c>
    </row>
    <row r="34" spans="2:3" x14ac:dyDescent="0.2">
      <c r="B34" s="2446" t="s">
        <v>31</v>
      </c>
      <c r="C34" t="s">
        <v>2492</v>
      </c>
    </row>
    <row r="35" spans="2:3" x14ac:dyDescent="0.2">
      <c r="B35" s="2446" t="s">
        <v>32</v>
      </c>
      <c r="C35" t="s">
        <v>2493</v>
      </c>
    </row>
    <row r="36" spans="2:3" x14ac:dyDescent="0.2">
      <c r="B36" s="2446" t="s">
        <v>33</v>
      </c>
      <c r="C36" t="s">
        <v>2494</v>
      </c>
    </row>
    <row r="37" spans="2:3" x14ac:dyDescent="0.2">
      <c r="B37" s="2446" t="s">
        <v>34</v>
      </c>
      <c r="C37" t="s">
        <v>2495</v>
      </c>
    </row>
    <row r="38" spans="2:3" x14ac:dyDescent="0.2">
      <c r="B38" s="2446" t="s">
        <v>35</v>
      </c>
      <c r="C38" t="s">
        <v>2496</v>
      </c>
    </row>
    <row r="39" spans="2:3" x14ac:dyDescent="0.2">
      <c r="B39" s="2446" t="s">
        <v>36</v>
      </c>
      <c r="C39" t="s">
        <v>2497</v>
      </c>
    </row>
    <row r="40" spans="2:3" x14ac:dyDescent="0.2">
      <c r="B40" s="2446" t="s">
        <v>37</v>
      </c>
      <c r="C40" t="s">
        <v>2498</v>
      </c>
    </row>
    <row r="41" spans="2:3" x14ac:dyDescent="0.2">
      <c r="B41" s="2446" t="s">
        <v>38</v>
      </c>
      <c r="C41" t="s">
        <v>2499</v>
      </c>
    </row>
    <row r="42" spans="2:3" x14ac:dyDescent="0.2">
      <c r="B42" s="2446" t="s">
        <v>39</v>
      </c>
      <c r="C42" t="s">
        <v>2500</v>
      </c>
    </row>
    <row r="43" spans="2:3" x14ac:dyDescent="0.2">
      <c r="B43" s="2446" t="s">
        <v>40</v>
      </c>
      <c r="C43" t="s">
        <v>2502</v>
      </c>
    </row>
    <row r="44" spans="2:3" x14ac:dyDescent="0.2">
      <c r="B44" s="2446" t="s">
        <v>41</v>
      </c>
      <c r="C44" t="s">
        <v>2501</v>
      </c>
    </row>
    <row r="45" spans="2:3" x14ac:dyDescent="0.2">
      <c r="B45" s="2446" t="s">
        <v>42</v>
      </c>
      <c r="C45" t="s">
        <v>2503</v>
      </c>
    </row>
    <row r="46" spans="2:3" x14ac:dyDescent="0.2">
      <c r="B46" s="2446" t="s">
        <v>43</v>
      </c>
      <c r="C46" t="s">
        <v>2504</v>
      </c>
    </row>
    <row r="47" spans="2:3" x14ac:dyDescent="0.2">
      <c r="B47" s="2446" t="s">
        <v>44</v>
      </c>
      <c r="C47" t="s">
        <v>2505</v>
      </c>
    </row>
    <row r="48" spans="2:3" x14ac:dyDescent="0.2">
      <c r="B48" s="2446" t="s">
        <v>45</v>
      </c>
      <c r="C48" t="s">
        <v>2506</v>
      </c>
    </row>
    <row r="49" spans="2:3" x14ac:dyDescent="0.2">
      <c r="B49" s="2446" t="s">
        <v>46</v>
      </c>
      <c r="C49" t="s">
        <v>2507</v>
      </c>
    </row>
    <row r="50" spans="2:3" x14ac:dyDescent="0.2">
      <c r="B50" s="2446" t="s">
        <v>47</v>
      </c>
      <c r="C50" t="s">
        <v>2508</v>
      </c>
    </row>
    <row r="51" spans="2:3" x14ac:dyDescent="0.2">
      <c r="B51" s="2446" t="s">
        <v>48</v>
      </c>
      <c r="C51" t="s">
        <v>2510</v>
      </c>
    </row>
    <row r="52" spans="2:3" x14ac:dyDescent="0.2">
      <c r="B52" s="2446" t="s">
        <v>49</v>
      </c>
      <c r="C52" t="s">
        <v>2509</v>
      </c>
    </row>
    <row r="53" spans="2:3" x14ac:dyDescent="0.2">
      <c r="B53" s="2446" t="s">
        <v>50</v>
      </c>
      <c r="C53" t="s">
        <v>2511</v>
      </c>
    </row>
    <row r="54" spans="2:3" x14ac:dyDescent="0.2">
      <c r="B54" s="2446" t="s">
        <v>51</v>
      </c>
      <c r="C54" t="s">
        <v>2512</v>
      </c>
    </row>
    <row r="55" spans="2:3" x14ac:dyDescent="0.2">
      <c r="B55" s="2446" t="s">
        <v>52</v>
      </c>
      <c r="C55" t="s">
        <v>2513</v>
      </c>
    </row>
    <row r="56" spans="2:3" x14ac:dyDescent="0.2">
      <c r="B56" s="2446" t="s">
        <v>53</v>
      </c>
      <c r="C56" t="s">
        <v>2514</v>
      </c>
    </row>
    <row r="57" spans="2:3" x14ac:dyDescent="0.2">
      <c r="B57" s="2446" t="s">
        <v>54</v>
      </c>
      <c r="C57" t="s">
        <v>2515</v>
      </c>
    </row>
    <row r="58" spans="2:3" x14ac:dyDescent="0.2">
      <c r="B58" s="2446" t="s">
        <v>55</v>
      </c>
      <c r="C58" t="s">
        <v>2516</v>
      </c>
    </row>
    <row r="59" spans="2:3" x14ac:dyDescent="0.2">
      <c r="B59" s="2446" t="s">
        <v>56</v>
      </c>
      <c r="C59" t="s">
        <v>2517</v>
      </c>
    </row>
    <row r="60" spans="2:3" x14ac:dyDescent="0.2">
      <c r="B60" s="2446" t="s">
        <v>57</v>
      </c>
      <c r="C60" t="s">
        <v>2518</v>
      </c>
    </row>
    <row r="61" spans="2:3" x14ac:dyDescent="0.2">
      <c r="B61" s="2446" t="s">
        <v>58</v>
      </c>
      <c r="C61" t="s">
        <v>2519</v>
      </c>
    </row>
    <row r="62" spans="2:3" x14ac:dyDescent="0.2">
      <c r="B62" s="2446" t="s">
        <v>59</v>
      </c>
      <c r="C62" t="s">
        <v>2520</v>
      </c>
    </row>
    <row r="63" spans="2:3" x14ac:dyDescent="0.2">
      <c r="B63" s="2234"/>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5" location="Start16" display="Table2(I)" xr:uid="{00000000-0004-0000-0000-00000C000000}"/>
    <hyperlink ref="B17" location="Start17" display="Table2(I).A-H" xr:uid="{00000000-0004-0000-0000-00000D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 ref="B14" location="Start15" display="Table1.D" xr:uid="{00000000-0004-0000-0000-00000B000000}"/>
    <hyperlink ref="B16" location="'Table2(II)'!A1" display="Table2(II)" xr:uid="{EF94FDB7-CDBA-4912-92D9-6714EDA2B072}"/>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showGridLines="0" zoomScale="80" zoomScaleNormal="80" workbookViewId="0">
      <pane xSplit="4" ySplit="9" topLeftCell="E10" activePane="bottomRight" state="frozen"/>
      <selection pane="topRight" activeCell="E1" sqref="E1"/>
      <selection pane="bottomLeft" activeCell="A10" sqref="A10"/>
      <selection pane="bottomRight" activeCell="E10" sqref="E10"/>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302</v>
      </c>
      <c r="C1" s="209"/>
      <c r="D1" s="209"/>
      <c r="E1" s="209"/>
      <c r="F1" s="209"/>
      <c r="I1" s="51"/>
      <c r="J1" s="14" t="s">
        <v>2521</v>
      </c>
    </row>
    <row r="2" spans="2:13" ht="15.75" customHeight="1" x14ac:dyDescent="0.25">
      <c r="B2" s="209" t="s">
        <v>303</v>
      </c>
      <c r="C2" s="209"/>
      <c r="D2" s="209"/>
      <c r="E2" s="209"/>
      <c r="F2" s="209"/>
      <c r="I2" s="51"/>
      <c r="J2" s="14" t="s">
        <v>2522</v>
      </c>
    </row>
    <row r="3" spans="2:13" ht="15.75" customHeight="1" x14ac:dyDescent="0.25">
      <c r="B3" s="209" t="s">
        <v>62</v>
      </c>
      <c r="C3" s="209"/>
      <c r="D3" s="209"/>
      <c r="H3" s="2"/>
      <c r="I3" s="51"/>
      <c r="J3" s="14" t="s">
        <v>2144</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46" t="s">
        <v>64</v>
      </c>
      <c r="E6" s="10"/>
      <c r="F6" s="4"/>
      <c r="G6" s="4"/>
      <c r="H6" s="52"/>
      <c r="I6" s="51"/>
      <c r="J6" s="51"/>
    </row>
    <row r="7" spans="2:13" ht="24" customHeight="1" x14ac:dyDescent="0.2">
      <c r="B7" s="1709"/>
      <c r="C7" s="1710"/>
      <c r="D7" s="1711"/>
      <c r="E7" s="1030" t="s">
        <v>304</v>
      </c>
      <c r="F7" s="53" t="s">
        <v>305</v>
      </c>
      <c r="G7" s="1029" t="s">
        <v>306</v>
      </c>
      <c r="H7" s="1030"/>
      <c r="I7" s="1029" t="s">
        <v>307</v>
      </c>
      <c r="J7" s="1031"/>
      <c r="M7" s="125"/>
    </row>
    <row r="8" spans="2:13" ht="38.25" x14ac:dyDescent="0.2">
      <c r="B8" s="1712" t="s">
        <v>308</v>
      </c>
      <c r="C8" s="3415"/>
      <c r="D8" s="1713"/>
      <c r="E8" s="1448" t="s">
        <v>309</v>
      </c>
      <c r="F8" s="61" t="s">
        <v>310</v>
      </c>
      <c r="G8" s="61" t="s">
        <v>311</v>
      </c>
      <c r="H8" s="61" t="s">
        <v>312</v>
      </c>
      <c r="I8" s="9" t="s">
        <v>313</v>
      </c>
      <c r="J8" s="54" t="s">
        <v>1783</v>
      </c>
      <c r="M8" s="125"/>
    </row>
    <row r="9" spans="2:13" ht="12" customHeight="1" thickBot="1" x14ac:dyDescent="0.25">
      <c r="B9" s="1714"/>
      <c r="C9" s="1715"/>
      <c r="D9" s="1685"/>
      <c r="E9" s="1449" t="s">
        <v>127</v>
      </c>
      <c r="F9" s="108" t="s">
        <v>314</v>
      </c>
      <c r="G9" s="108" t="s">
        <v>315</v>
      </c>
      <c r="H9" s="108" t="s">
        <v>316</v>
      </c>
      <c r="I9" s="1707" t="s">
        <v>316</v>
      </c>
      <c r="J9" s="1708"/>
      <c r="M9" s="125"/>
    </row>
    <row r="10" spans="2:13" ht="18" customHeight="1" thickTop="1" x14ac:dyDescent="0.2">
      <c r="B10" s="1435" t="s">
        <v>238</v>
      </c>
      <c r="C10" s="166" t="s">
        <v>239</v>
      </c>
      <c r="D10" s="2356" t="s">
        <v>200</v>
      </c>
      <c r="E10" s="2357"/>
      <c r="F10" s="2358"/>
      <c r="G10" s="2358"/>
      <c r="H10" s="2358"/>
      <c r="I10" s="2358"/>
      <c r="J10" s="2359"/>
      <c r="M10" s="125"/>
    </row>
    <row r="11" spans="2:13" ht="18" customHeight="1" x14ac:dyDescent="0.2">
      <c r="B11" s="1434" t="s">
        <v>240</v>
      </c>
      <c r="C11" s="167" t="s">
        <v>241</v>
      </c>
      <c r="D11" s="1452" t="s">
        <v>242</v>
      </c>
      <c r="E11" s="3394" t="s">
        <v>2147</v>
      </c>
      <c r="F11" s="3419" t="str">
        <f t="shared" ref="F11:F27" si="0">IF(I11="NA","NA",I11/(44/12)*1000/E11)</f>
        <v>NA</v>
      </c>
      <c r="G11" s="3394" t="s">
        <v>2147</v>
      </c>
      <c r="H11" s="3374" t="str">
        <f t="shared" ref="H11:H27" si="1">IF(G11="NA","NA",IF(G11="NO","NO",G11*44/12))</f>
        <v>NA</v>
      </c>
      <c r="I11" s="2579" t="s">
        <v>2147</v>
      </c>
      <c r="J11" s="2581"/>
      <c r="M11" s="125"/>
    </row>
    <row r="12" spans="2:13" ht="18" customHeight="1" x14ac:dyDescent="0.2">
      <c r="B12" s="1434"/>
      <c r="C12" s="167"/>
      <c r="D12" s="1452" t="s">
        <v>243</v>
      </c>
      <c r="E12" s="3394" t="s">
        <v>2147</v>
      </c>
      <c r="F12" s="3419" t="str">
        <f t="shared" si="0"/>
        <v>NA</v>
      </c>
      <c r="G12" s="3394" t="s">
        <v>2147</v>
      </c>
      <c r="H12" s="3374" t="str">
        <f t="shared" si="1"/>
        <v>NA</v>
      </c>
      <c r="I12" s="2579" t="s">
        <v>2147</v>
      </c>
      <c r="J12" s="2582"/>
      <c r="M12" s="125"/>
    </row>
    <row r="13" spans="2:13" ht="18" customHeight="1" x14ac:dyDescent="0.2">
      <c r="B13" s="1434"/>
      <c r="C13" s="168"/>
      <c r="D13" s="96" t="s">
        <v>244</v>
      </c>
      <c r="E13" s="3394" t="s">
        <v>2147</v>
      </c>
      <c r="F13" s="3419" t="str">
        <f t="shared" si="0"/>
        <v>NA</v>
      </c>
      <c r="G13" s="3394" t="s">
        <v>2147</v>
      </c>
      <c r="H13" s="3374" t="str">
        <f t="shared" si="1"/>
        <v>NA</v>
      </c>
      <c r="I13" s="2579" t="s">
        <v>2147</v>
      </c>
      <c r="J13" s="2583"/>
      <c r="M13" s="125"/>
    </row>
    <row r="14" spans="2:13" ht="18" customHeight="1" x14ac:dyDescent="0.2">
      <c r="B14" s="1434"/>
      <c r="C14" s="1562" t="s">
        <v>317</v>
      </c>
      <c r="D14" s="2360" t="s">
        <v>200</v>
      </c>
      <c r="E14" s="2349"/>
      <c r="F14" s="3420"/>
      <c r="G14" s="2336"/>
      <c r="H14" s="3370"/>
      <c r="I14" s="2336"/>
      <c r="J14" s="2584"/>
      <c r="M14" s="125"/>
    </row>
    <row r="15" spans="2:13" ht="18" customHeight="1" x14ac:dyDescent="0.2">
      <c r="B15" s="1434"/>
      <c r="C15" s="1563" t="s">
        <v>246</v>
      </c>
      <c r="D15" s="1452" t="s">
        <v>167</v>
      </c>
      <c r="E15" s="1450" t="s">
        <v>2147</v>
      </c>
      <c r="F15" s="3419" t="str">
        <f t="shared" si="0"/>
        <v>NA</v>
      </c>
      <c r="G15" s="3394" t="s">
        <v>2147</v>
      </c>
      <c r="H15" s="3374" t="str">
        <f t="shared" si="1"/>
        <v>NA</v>
      </c>
      <c r="I15" s="2579" t="s">
        <v>2147</v>
      </c>
      <c r="J15" s="2582"/>
      <c r="M15" s="125"/>
    </row>
    <row r="16" spans="2:13" ht="18" customHeight="1" x14ac:dyDescent="0.2">
      <c r="B16" s="165"/>
      <c r="C16" s="1563"/>
      <c r="D16" s="1452" t="s">
        <v>178</v>
      </c>
      <c r="E16" s="1450" t="s">
        <v>2147</v>
      </c>
      <c r="F16" s="3419" t="str">
        <f t="shared" si="0"/>
        <v>NA</v>
      </c>
      <c r="G16" s="3394" t="s">
        <v>2147</v>
      </c>
      <c r="H16" s="3374" t="str">
        <f t="shared" si="1"/>
        <v>NA</v>
      </c>
      <c r="I16" s="2579" t="s">
        <v>2147</v>
      </c>
      <c r="J16" s="2582"/>
      <c r="M16" s="125"/>
    </row>
    <row r="17" spans="2:13" ht="18" customHeight="1" x14ac:dyDescent="0.2">
      <c r="B17" s="165"/>
      <c r="C17" s="1563"/>
      <c r="D17" s="1452" t="s">
        <v>1784</v>
      </c>
      <c r="E17" s="1450" t="s">
        <v>2147</v>
      </c>
      <c r="F17" s="3419" t="str">
        <f t="shared" si="0"/>
        <v>NA</v>
      </c>
      <c r="G17" s="3394" t="s">
        <v>2147</v>
      </c>
      <c r="H17" s="3374" t="str">
        <f t="shared" si="1"/>
        <v>NA</v>
      </c>
      <c r="I17" s="2579" t="s">
        <v>2147</v>
      </c>
      <c r="J17" s="2582"/>
      <c r="M17" s="125"/>
    </row>
    <row r="18" spans="2:13" ht="18" customHeight="1" x14ac:dyDescent="0.2">
      <c r="B18" s="165"/>
      <c r="C18" s="1563"/>
      <c r="D18" s="1452" t="s">
        <v>248</v>
      </c>
      <c r="E18" s="1450" t="s">
        <v>2147</v>
      </c>
      <c r="F18" s="3419" t="str">
        <f t="shared" si="0"/>
        <v>NA</v>
      </c>
      <c r="G18" s="3394" t="s">
        <v>2147</v>
      </c>
      <c r="H18" s="3374" t="str">
        <f t="shared" si="1"/>
        <v>NA</v>
      </c>
      <c r="I18" s="2579" t="s">
        <v>2147</v>
      </c>
      <c r="J18" s="2582"/>
      <c r="M18" s="125"/>
    </row>
    <row r="19" spans="2:13" ht="18" customHeight="1" x14ac:dyDescent="0.2">
      <c r="B19" s="165"/>
      <c r="C19" s="1563"/>
      <c r="D19" s="1452" t="s">
        <v>1785</v>
      </c>
      <c r="E19" s="1450" t="s">
        <v>2147</v>
      </c>
      <c r="F19" s="3419" t="str">
        <f t="shared" si="0"/>
        <v>NA</v>
      </c>
      <c r="G19" s="3394" t="s">
        <v>2147</v>
      </c>
      <c r="H19" s="3374" t="str">
        <f t="shared" si="1"/>
        <v>NA</v>
      </c>
      <c r="I19" s="2579" t="s">
        <v>2147</v>
      </c>
      <c r="J19" s="2582"/>
      <c r="M19" s="125"/>
    </row>
    <row r="20" spans="2:13" ht="18" customHeight="1" x14ac:dyDescent="0.2">
      <c r="B20" s="165"/>
      <c r="C20" s="1563"/>
      <c r="D20" s="1452" t="s">
        <v>190</v>
      </c>
      <c r="E20" s="1450" t="s">
        <v>2147</v>
      </c>
      <c r="F20" s="3419" t="str">
        <f t="shared" si="0"/>
        <v>NA</v>
      </c>
      <c r="G20" s="3394" t="s">
        <v>2147</v>
      </c>
      <c r="H20" s="3374" t="str">
        <f t="shared" si="1"/>
        <v>NA</v>
      </c>
      <c r="I20" s="2579" t="s">
        <v>2147</v>
      </c>
      <c r="J20" s="2582"/>
      <c r="M20" s="125"/>
    </row>
    <row r="21" spans="2:13" ht="18" customHeight="1" x14ac:dyDescent="0.2">
      <c r="B21" s="165"/>
      <c r="C21" s="1563"/>
      <c r="D21" s="1452" t="s">
        <v>1786</v>
      </c>
      <c r="E21" s="1450" t="s">
        <v>2147</v>
      </c>
      <c r="F21" s="3419" t="str">
        <f t="shared" si="0"/>
        <v>NA</v>
      </c>
      <c r="G21" s="3394" t="s">
        <v>2147</v>
      </c>
      <c r="H21" s="3374" t="str">
        <f t="shared" si="1"/>
        <v>NA</v>
      </c>
      <c r="I21" s="2579" t="s">
        <v>2147</v>
      </c>
      <c r="J21" s="2580"/>
      <c r="M21" s="125"/>
    </row>
    <row r="22" spans="2:13" ht="18" customHeight="1" x14ac:dyDescent="0.2">
      <c r="B22" s="165"/>
      <c r="C22" s="1563"/>
      <c r="D22" s="1452" t="s">
        <v>1787</v>
      </c>
      <c r="E22" s="3414">
        <v>22700.402000000002</v>
      </c>
      <c r="F22" s="3419" t="str">
        <f t="shared" si="0"/>
        <v>NA</v>
      </c>
      <c r="G22" s="3395">
        <v>349.7925580909091</v>
      </c>
      <c r="H22" s="3374">
        <f t="shared" si="1"/>
        <v>1282.572713</v>
      </c>
      <c r="I22" s="2579" t="s">
        <v>2147</v>
      </c>
      <c r="J22" s="2580"/>
      <c r="M22" s="125"/>
    </row>
    <row r="23" spans="2:13" ht="18" customHeight="1" x14ac:dyDescent="0.2">
      <c r="B23" s="165"/>
      <c r="C23" s="1563"/>
      <c r="D23" s="1452" t="s">
        <v>1788</v>
      </c>
      <c r="E23" s="1450" t="s">
        <v>2147</v>
      </c>
      <c r="F23" s="3419" t="str">
        <f t="shared" si="0"/>
        <v>NA</v>
      </c>
      <c r="G23" s="3394" t="s">
        <v>2147</v>
      </c>
      <c r="H23" s="3374" t="str">
        <f t="shared" si="1"/>
        <v>NA</v>
      </c>
      <c r="I23" s="2579" t="s">
        <v>2147</v>
      </c>
      <c r="J23" s="2580"/>
      <c r="M23" s="125"/>
    </row>
    <row r="24" spans="2:13" ht="18" customHeight="1" x14ac:dyDescent="0.2">
      <c r="B24" s="165"/>
      <c r="C24" s="1563"/>
      <c r="D24" s="1452" t="s">
        <v>251</v>
      </c>
      <c r="E24" s="3414">
        <v>35427.300000000003</v>
      </c>
      <c r="F24" s="3419" t="str">
        <f t="shared" si="0"/>
        <v>NA</v>
      </c>
      <c r="G24" s="3395">
        <v>779.72266636363634</v>
      </c>
      <c r="H24" s="3374">
        <f t="shared" si="1"/>
        <v>2858.9831099999997</v>
      </c>
      <c r="I24" s="2579" t="s">
        <v>2147</v>
      </c>
      <c r="J24" s="2580"/>
      <c r="M24" s="125"/>
    </row>
    <row r="25" spans="2:13" ht="18" customHeight="1" x14ac:dyDescent="0.2">
      <c r="B25" s="165"/>
      <c r="C25" s="1563"/>
      <c r="D25" s="1452" t="s">
        <v>1789</v>
      </c>
      <c r="E25" s="3414">
        <v>17501.8</v>
      </c>
      <c r="F25" s="3419" t="str">
        <f t="shared" si="0"/>
        <v>NA</v>
      </c>
      <c r="G25" s="3395">
        <v>332.38304809090914</v>
      </c>
      <c r="H25" s="3374">
        <f t="shared" si="1"/>
        <v>1218.7378430000001</v>
      </c>
      <c r="I25" s="2579" t="s">
        <v>2147</v>
      </c>
      <c r="J25" s="2580"/>
      <c r="M25" s="125"/>
    </row>
    <row r="26" spans="2:13" ht="18" customHeight="1" x14ac:dyDescent="0.2">
      <c r="B26" s="165"/>
      <c r="C26" s="1563"/>
      <c r="D26" s="1452" t="s">
        <v>1790</v>
      </c>
      <c r="E26" s="3418">
        <v>15959.34570757499</v>
      </c>
      <c r="F26" s="3419">
        <f t="shared" si="0"/>
        <v>25.261363636363637</v>
      </c>
      <c r="G26" s="3395">
        <v>403.15483531749089</v>
      </c>
      <c r="H26" s="3374">
        <f t="shared" si="1"/>
        <v>1478.2343961641334</v>
      </c>
      <c r="I26" s="3395">
        <v>1478.2343961641334</v>
      </c>
      <c r="J26" s="3416" t="s">
        <v>2274</v>
      </c>
      <c r="M26" s="125"/>
    </row>
    <row r="27" spans="2:13" ht="18" customHeight="1" x14ac:dyDescent="0.2">
      <c r="B27" s="165"/>
      <c r="C27" s="1563"/>
      <c r="D27" s="1452" t="s">
        <v>254</v>
      </c>
      <c r="E27" s="1450" t="s">
        <v>2147</v>
      </c>
      <c r="F27" s="3419" t="str">
        <f t="shared" si="0"/>
        <v>NA</v>
      </c>
      <c r="G27" s="3394" t="s">
        <v>2147</v>
      </c>
      <c r="H27" s="3374" t="str">
        <f t="shared" si="1"/>
        <v>NA</v>
      </c>
      <c r="I27" s="2579" t="s">
        <v>2147</v>
      </c>
      <c r="J27" s="2580"/>
      <c r="M27" s="125"/>
    </row>
    <row r="28" spans="2:13" ht="18" customHeight="1" x14ac:dyDescent="0.2">
      <c r="B28" s="165"/>
      <c r="C28" s="1564"/>
      <c r="D28" s="40" t="s">
        <v>1791</v>
      </c>
      <c r="E28" s="3417">
        <v>28704.492676271184</v>
      </c>
      <c r="F28" s="3419">
        <f>IF(I28="NA","NA",I28/(44/12)*1000/E28)</f>
        <v>1.2432549544429474</v>
      </c>
      <c r="G28" s="3395">
        <v>495.97485593454547</v>
      </c>
      <c r="H28" s="3374">
        <f>IF(G28="NA","NA",IF(G28="NO","NO",G28*44/12))</f>
        <v>1818.5744717600001</v>
      </c>
      <c r="I28" s="3395">
        <v>130.85234335999999</v>
      </c>
      <c r="J28" s="3416" t="s">
        <v>2151</v>
      </c>
      <c r="M28" s="125"/>
    </row>
    <row r="29" spans="2:13" ht="18" customHeight="1" x14ac:dyDescent="0.2">
      <c r="B29" s="2341"/>
      <c r="C29" s="31" t="s">
        <v>256</v>
      </c>
      <c r="D29" s="31"/>
      <c r="E29" s="111" t="str">
        <f>E30</f>
        <v>NA</v>
      </c>
      <c r="F29" s="116" t="str">
        <f>F30</f>
        <v>NA</v>
      </c>
      <c r="G29" s="111" t="str">
        <f t="shared" ref="G29:I29" si="2">G30</f>
        <v>NA</v>
      </c>
      <c r="H29" s="3374" t="str">
        <f t="shared" si="2"/>
        <v>NA</v>
      </c>
      <c r="I29" s="111" t="str">
        <f t="shared" si="2"/>
        <v>NA</v>
      </c>
      <c r="J29" s="1028"/>
      <c r="M29" s="125"/>
    </row>
    <row r="30" spans="2:13" ht="18" customHeight="1" x14ac:dyDescent="0.2">
      <c r="B30" s="2339"/>
      <c r="C30" s="34"/>
      <c r="D30" s="34" t="s">
        <v>2147</v>
      </c>
      <c r="E30" s="2361" t="s">
        <v>2147</v>
      </c>
      <c r="F30" s="3419" t="str">
        <f>IF(I30="NA","NA",I30/(44/12)*1000/E30)</f>
        <v>NA</v>
      </c>
      <c r="G30" s="131" t="s">
        <v>2147</v>
      </c>
      <c r="H30" s="3374" t="str">
        <f>IF(G30="NA","NA",IF(G30="NO","NO",G30*44/12))</f>
        <v>NA</v>
      </c>
      <c r="I30" s="2579" t="s">
        <v>2147</v>
      </c>
      <c r="J30" s="2580"/>
      <c r="M30" s="125"/>
    </row>
    <row r="31" spans="2:13" ht="18" customHeight="1" thickBot="1" x14ac:dyDescent="0.25">
      <c r="B31" s="1251" t="s">
        <v>257</v>
      </c>
      <c r="C31" s="2343"/>
      <c r="D31" s="80"/>
      <c r="E31" s="3423">
        <f>SUM(E11:E29)</f>
        <v>120293.34038384618</v>
      </c>
      <c r="F31" s="3359">
        <f t="shared" ref="F31" si="3">IF(I31="NA","NA",I31/(44/12)*1000/E31)</f>
        <v>3.6480975310164978</v>
      </c>
      <c r="G31" s="3423">
        <f>SUM(G11:G29)</f>
        <v>2361.0279637974909</v>
      </c>
      <c r="H31" s="3371">
        <f t="shared" ref="H31" si="4">IF(G31="NA","NA",IF(G31="NO","NO",G31*44/12))</f>
        <v>8657.1025339241332</v>
      </c>
      <c r="I31" s="3423">
        <f>SUM(I11:I29)</f>
        <v>1609.0867395241335</v>
      </c>
      <c r="J31" s="2365"/>
      <c r="M31" s="125"/>
    </row>
    <row r="32" spans="2:13" ht="18" customHeight="1" x14ac:dyDescent="0.2">
      <c r="B32" s="1434" t="s">
        <v>318</v>
      </c>
      <c r="C32" s="1563" t="s">
        <v>239</v>
      </c>
      <c r="D32" s="2356" t="s">
        <v>200</v>
      </c>
      <c r="E32" s="2346"/>
      <c r="F32" s="3365"/>
      <c r="G32" s="2347"/>
      <c r="H32" s="3372"/>
      <c r="I32" s="2347"/>
      <c r="J32" s="2585"/>
      <c r="M32" s="125"/>
    </row>
    <row r="33" spans="2:13" ht="18" customHeight="1" x14ac:dyDescent="0.2">
      <c r="B33" s="1434" t="s">
        <v>240</v>
      </c>
      <c r="C33" s="1563" t="s">
        <v>241</v>
      </c>
      <c r="D33" s="1454" t="s">
        <v>319</v>
      </c>
      <c r="E33" s="2362" t="s">
        <v>2153</v>
      </c>
      <c r="F33" s="3419" t="s">
        <v>2147</v>
      </c>
      <c r="G33" s="2363" t="s">
        <v>2153</v>
      </c>
      <c r="H33" s="3374" t="s">
        <v>2147</v>
      </c>
      <c r="I33" s="2363" t="s">
        <v>2153</v>
      </c>
      <c r="J33" s="2586"/>
      <c r="M33" s="125"/>
    </row>
    <row r="34" spans="2:13" ht="18" customHeight="1" x14ac:dyDescent="0.2">
      <c r="B34" s="1434"/>
      <c r="C34" s="1563"/>
      <c r="D34" s="1452" t="s">
        <v>260</v>
      </c>
      <c r="E34" s="1450" t="s">
        <v>2153</v>
      </c>
      <c r="F34" s="3419" t="s">
        <v>2147</v>
      </c>
      <c r="G34" s="3399" t="s">
        <v>2147</v>
      </c>
      <c r="H34" s="3396" t="str">
        <f t="shared" ref="H34:H42" si="5">IF(G34="NA","NA",IF(G34="NO","NO",G34*44/12))</f>
        <v>NA</v>
      </c>
      <c r="I34" s="2363" t="s">
        <v>2153</v>
      </c>
      <c r="J34" s="2580"/>
      <c r="M34" s="125"/>
    </row>
    <row r="35" spans="2:13" ht="18" customHeight="1" x14ac:dyDescent="0.2">
      <c r="B35" s="1434"/>
      <c r="C35" s="1563"/>
      <c r="D35" s="1452" t="s">
        <v>261</v>
      </c>
      <c r="E35" s="3414">
        <v>31935.453426655611</v>
      </c>
      <c r="F35" s="3419">
        <f>IF(I35="NA","NA",I35/(44/12)*1000/E35)</f>
        <v>24.563249689691503</v>
      </c>
      <c r="G35" s="3399">
        <v>784.43851647245594</v>
      </c>
      <c r="H35" s="3396">
        <f t="shared" si="5"/>
        <v>2876.2745603990047</v>
      </c>
      <c r="I35" s="3395">
        <v>2876.2745603990052</v>
      </c>
      <c r="J35" s="3416" t="s">
        <v>2274</v>
      </c>
      <c r="M35" s="125"/>
    </row>
    <row r="36" spans="2:13" ht="18" customHeight="1" x14ac:dyDescent="0.2">
      <c r="B36" s="1434"/>
      <c r="C36" s="1563"/>
      <c r="D36" s="1452" t="s">
        <v>320</v>
      </c>
      <c r="E36" s="1450" t="s">
        <v>2153</v>
      </c>
      <c r="F36" s="3419" t="s">
        <v>2147</v>
      </c>
      <c r="G36" s="131" t="s">
        <v>2153</v>
      </c>
      <c r="H36" s="3374" t="s">
        <v>2147</v>
      </c>
      <c r="I36" s="2363" t="s">
        <v>2153</v>
      </c>
      <c r="J36" s="2580"/>
      <c r="M36" s="125"/>
    </row>
    <row r="37" spans="2:13" ht="18" customHeight="1" x14ac:dyDescent="0.2">
      <c r="B37" s="1434"/>
      <c r="C37" s="1563"/>
      <c r="D37" s="1452" t="s">
        <v>263</v>
      </c>
      <c r="E37" s="1451" t="s">
        <v>2146</v>
      </c>
      <c r="F37" s="3419" t="str">
        <f t="shared" ref="F37" si="6">IF(I37="NA","NA",I37/(44/12)*1000/E37)</f>
        <v>NA</v>
      </c>
      <c r="G37" s="133" t="s">
        <v>2146</v>
      </c>
      <c r="H37" s="3374" t="str">
        <f t="shared" si="5"/>
        <v>NO</v>
      </c>
      <c r="I37" s="2579" t="s">
        <v>2147</v>
      </c>
      <c r="J37" s="2580"/>
      <c r="M37" s="125"/>
    </row>
    <row r="38" spans="2:13" ht="18" customHeight="1" thickBot="1" x14ac:dyDescent="0.25">
      <c r="B38" s="1434"/>
      <c r="C38" s="1564"/>
      <c r="D38" s="1452" t="s">
        <v>264</v>
      </c>
      <c r="E38" s="3400" t="s">
        <v>2147</v>
      </c>
      <c r="F38" s="3419" t="str">
        <f>IF(I38="NA","NA",I38/(44/12)*1000/E38)</f>
        <v>NA</v>
      </c>
      <c r="G38" s="131" t="s">
        <v>2147</v>
      </c>
      <c r="H38" s="3374" t="str">
        <f t="shared" si="5"/>
        <v>NA</v>
      </c>
      <c r="I38" s="2579" t="s">
        <v>2147</v>
      </c>
      <c r="J38" s="2580"/>
      <c r="M38" s="125"/>
    </row>
    <row r="39" spans="2:13" ht="18" customHeight="1" x14ac:dyDescent="0.2">
      <c r="B39" s="1434"/>
      <c r="C39" s="1562" t="s">
        <v>317</v>
      </c>
      <c r="D39" s="2338" t="s">
        <v>200</v>
      </c>
      <c r="E39" s="2346"/>
      <c r="F39" s="3421"/>
      <c r="G39" s="2347"/>
      <c r="H39" s="3372"/>
      <c r="I39" s="2347"/>
      <c r="J39" s="2585"/>
      <c r="M39" s="125"/>
    </row>
    <row r="40" spans="2:13" ht="18" customHeight="1" x14ac:dyDescent="0.2">
      <c r="B40" s="1434"/>
      <c r="C40" s="1563" t="s">
        <v>241</v>
      </c>
      <c r="D40" s="38" t="s">
        <v>321</v>
      </c>
      <c r="E40" s="3400" t="s">
        <v>2147</v>
      </c>
      <c r="F40" s="3419" t="str">
        <f t="shared" ref="F40" si="7">IF(I40="NA","NA",I40/(44/12)*1000/E40)</f>
        <v>NA</v>
      </c>
      <c r="G40" s="3394" t="s">
        <v>2147</v>
      </c>
      <c r="H40" s="3374" t="str">
        <f t="shared" si="5"/>
        <v>NA</v>
      </c>
      <c r="I40" s="2579" t="s">
        <v>2147</v>
      </c>
      <c r="J40" s="2580"/>
      <c r="M40" s="125"/>
    </row>
    <row r="41" spans="2:13" ht="18" customHeight="1" x14ac:dyDescent="0.2">
      <c r="B41" s="1434"/>
      <c r="C41" s="1563"/>
      <c r="D41" s="1452" t="s">
        <v>266</v>
      </c>
      <c r="E41" s="3414">
        <v>69219.16949680887</v>
      </c>
      <c r="F41" s="3419">
        <f t="shared" ref="F41" si="8">IF(I41="NA","NA",I41/(44/12)*1000/E41)</f>
        <v>29.293725816237426</v>
      </c>
      <c r="G41" s="3395">
        <v>2053.8844095675745</v>
      </c>
      <c r="H41" s="3396">
        <f t="shared" si="5"/>
        <v>7530.909501747773</v>
      </c>
      <c r="I41" s="3395">
        <v>7434.8536990463417</v>
      </c>
      <c r="J41" s="3416" t="s">
        <v>2274</v>
      </c>
      <c r="M41" s="125"/>
    </row>
    <row r="42" spans="2:13" ht="18" customHeight="1" x14ac:dyDescent="0.2">
      <c r="B42" s="1434"/>
      <c r="C42" s="1564"/>
      <c r="D42" s="1452" t="s">
        <v>1792</v>
      </c>
      <c r="E42" s="3414">
        <v>8882.0603270341853</v>
      </c>
      <c r="F42" s="3419">
        <f>IF(I42="NA","NA",I42/(44/12)*1000/E42)</f>
        <v>13.837872730119708</v>
      </c>
      <c r="G42" s="3395">
        <v>187.11276402310813</v>
      </c>
      <c r="H42" s="3396">
        <f t="shared" si="5"/>
        <v>686.08013475139649</v>
      </c>
      <c r="I42" s="3395">
        <v>450.66567475139641</v>
      </c>
      <c r="J42" s="3416" t="s">
        <v>2151</v>
      </c>
      <c r="M42" s="125"/>
    </row>
    <row r="43" spans="2:13" ht="18" customHeight="1" x14ac:dyDescent="0.2">
      <c r="B43" s="2341"/>
      <c r="C43" s="31" t="s">
        <v>268</v>
      </c>
      <c r="D43" s="1452"/>
      <c r="E43" s="111" t="str">
        <f>E44</f>
        <v>NA</v>
      </c>
      <c r="F43" s="116" t="str">
        <f>F44</f>
        <v>NA</v>
      </c>
      <c r="G43" s="111" t="str">
        <f>G44</f>
        <v>NA</v>
      </c>
      <c r="H43" s="3374" t="str">
        <f>H44</f>
        <v>NA</v>
      </c>
      <c r="I43" s="111" t="str">
        <f>I44</f>
        <v>NA</v>
      </c>
      <c r="J43" s="1028"/>
      <c r="M43" s="125"/>
    </row>
    <row r="44" spans="2:13" ht="18" customHeight="1" x14ac:dyDescent="0.2">
      <c r="B44" s="2339"/>
      <c r="C44" s="34"/>
      <c r="D44" s="1453" t="s">
        <v>2147</v>
      </c>
      <c r="E44" s="2361" t="s">
        <v>2147</v>
      </c>
      <c r="F44" s="3419" t="str">
        <f>IF(I44="NA","NA",I44/(44/12)*1000/E44)</f>
        <v>NA</v>
      </c>
      <c r="G44" s="131" t="s">
        <v>2147</v>
      </c>
      <c r="H44" s="3374" t="str">
        <f>IF(G44="NA","NA",IF(G44="NO","NO",G44*44/12))</f>
        <v>NA</v>
      </c>
      <c r="I44" s="2579" t="s">
        <v>2147</v>
      </c>
      <c r="J44" s="2580"/>
      <c r="M44" s="125"/>
    </row>
    <row r="45" spans="2:13" ht="18" customHeight="1" thickBot="1" x14ac:dyDescent="0.25">
      <c r="B45" s="1251" t="s">
        <v>269</v>
      </c>
      <c r="C45" s="2343"/>
      <c r="D45" s="80"/>
      <c r="E45" s="3423">
        <f>SUM(E33:E43)</f>
        <v>110036.68325049867</v>
      </c>
      <c r="F45" s="3343">
        <f>IF(I45="NA","NA",I45/(44/12)*1000/E45)</f>
        <v>26.673238620295145</v>
      </c>
      <c r="G45" s="3423">
        <f>SUM(G33:G43)</f>
        <v>3025.4356900631383</v>
      </c>
      <c r="H45" s="3371">
        <f t="shared" ref="H45" si="9">IF(G45="NA","NA",IF(G45="NO","NO",G45*44/12))</f>
        <v>11093.264196898175</v>
      </c>
      <c r="I45" s="3423">
        <f>SUM(I33:I43)</f>
        <v>10761.793934196745</v>
      </c>
      <c r="J45" s="2365"/>
      <c r="M45" s="125"/>
    </row>
    <row r="46" spans="2:13" ht="18" customHeight="1" x14ac:dyDescent="0.2">
      <c r="B46" s="1024" t="s">
        <v>322</v>
      </c>
      <c r="C46" s="95"/>
      <c r="D46" s="2338" t="s">
        <v>200</v>
      </c>
      <c r="E46" s="2346"/>
      <c r="F46" s="3421"/>
      <c r="G46" s="2347"/>
      <c r="H46" s="3372"/>
      <c r="I46" s="2347"/>
      <c r="J46" s="2585"/>
      <c r="M46" s="125"/>
    </row>
    <row r="47" spans="2:13" ht="18" customHeight="1" x14ac:dyDescent="0.2">
      <c r="B47" s="1025"/>
      <c r="C47" s="2240"/>
      <c r="D47" s="40" t="s">
        <v>1793</v>
      </c>
      <c r="E47" s="3414">
        <v>42543.329412913081</v>
      </c>
      <c r="F47" s="3419">
        <f t="shared" ref="F47" si="10">IF(I47="NA","NA",I47/(44/12)*1000/E47)</f>
        <v>14.021432274344994</v>
      </c>
      <c r="G47" s="3395">
        <v>596.51841208831001</v>
      </c>
      <c r="H47" s="3374">
        <f t="shared" ref="H47" si="11">IF(G47="NA","NA",IF(G47="NO","NO",G47*44/12))</f>
        <v>2187.234177657137</v>
      </c>
      <c r="I47" s="3395">
        <v>2187.234177657137</v>
      </c>
      <c r="J47" s="3416" t="s">
        <v>2152</v>
      </c>
      <c r="M47" s="125"/>
    </row>
    <row r="48" spans="2:13" ht="18" customHeight="1" x14ac:dyDescent="0.2">
      <c r="B48" s="1025"/>
      <c r="C48" s="2240"/>
      <c r="D48" s="40" t="s">
        <v>272</v>
      </c>
      <c r="E48" s="111" t="str">
        <f>E49</f>
        <v>NA</v>
      </c>
      <c r="F48" s="116" t="str">
        <f t="shared" ref="F48:I48" si="12">F49</f>
        <v>NA</v>
      </c>
      <c r="G48" s="111" t="str">
        <f t="shared" si="12"/>
        <v>NA</v>
      </c>
      <c r="H48" s="3374" t="str">
        <f t="shared" si="12"/>
        <v>NA</v>
      </c>
      <c r="I48" s="111" t="str">
        <f t="shared" si="12"/>
        <v>NA</v>
      </c>
      <c r="J48" s="1028"/>
      <c r="M48" s="125"/>
    </row>
    <row r="49" spans="2:13" ht="18" customHeight="1" x14ac:dyDescent="0.2">
      <c r="B49" s="32"/>
      <c r="C49" s="1452"/>
      <c r="D49" s="1453" t="s">
        <v>2147</v>
      </c>
      <c r="E49" s="2361" t="s">
        <v>2147</v>
      </c>
      <c r="F49" s="3419" t="str">
        <f>IF(I49="NA","NA",I49/(44/12)*1000/E49)</f>
        <v>NA</v>
      </c>
      <c r="G49" s="131" t="s">
        <v>2147</v>
      </c>
      <c r="H49" s="3374" t="str">
        <f>IF(G49="NA","NA",IF(G49="NO","NO",G49*44/12))</f>
        <v>NA</v>
      </c>
      <c r="I49" s="2579" t="s">
        <v>2147</v>
      </c>
      <c r="J49" s="132"/>
      <c r="M49" s="125"/>
    </row>
    <row r="50" spans="2:13" ht="18" customHeight="1" thickBot="1" x14ac:dyDescent="0.25">
      <c r="B50" s="68" t="s">
        <v>273</v>
      </c>
      <c r="C50" s="79"/>
      <c r="D50" s="80"/>
      <c r="E50" s="3423">
        <f>SUM(E47:E48)</f>
        <v>42543.329412913081</v>
      </c>
      <c r="F50" s="3343">
        <f>IF(I50="NA","NA",I50/(44/12)*1000/E50)</f>
        <v>14.021432274344994</v>
      </c>
      <c r="G50" s="3423">
        <f>SUM(G47:G48)</f>
        <v>596.51841208831001</v>
      </c>
      <c r="H50" s="3397">
        <f t="shared" ref="H50" si="13">IF(G50="NA","NA",IF(G50="NO","NO",G50*44/12))</f>
        <v>2187.234177657137</v>
      </c>
      <c r="I50" s="3423">
        <f>SUM(I47:I48)</f>
        <v>2187.234177657137</v>
      </c>
      <c r="J50" s="2365"/>
      <c r="M50" s="125"/>
    </row>
    <row r="51" spans="2:13" ht="18" customHeight="1" x14ac:dyDescent="0.2">
      <c r="B51" s="188" t="s">
        <v>274</v>
      </c>
      <c r="C51" s="189"/>
      <c r="D51" s="2368"/>
      <c r="E51" s="3404" t="s">
        <v>2147</v>
      </c>
      <c r="F51" s="3419" t="str">
        <f t="shared" ref="F51:F56" si="14">IF(I51="NA","NA",I51/(44/12)*1000/E51)</f>
        <v>NA</v>
      </c>
      <c r="G51" s="3394" t="s">
        <v>2147</v>
      </c>
      <c r="H51" s="3374" t="str">
        <f t="shared" ref="H51:H56" si="15">IF(G51="NA","NA",IF(G51="NO","NO",G51*44/12))</f>
        <v>NA</v>
      </c>
      <c r="I51" s="3405" t="s">
        <v>2147</v>
      </c>
      <c r="J51" s="2364"/>
      <c r="M51" s="125"/>
    </row>
    <row r="52" spans="2:13" ht="18" customHeight="1" x14ac:dyDescent="0.2">
      <c r="B52" s="32" t="s">
        <v>323</v>
      </c>
      <c r="C52" s="31"/>
      <c r="D52" s="1452"/>
      <c r="E52" s="3404" t="s">
        <v>2147</v>
      </c>
      <c r="F52" s="3419" t="str">
        <f t="shared" si="14"/>
        <v>NA</v>
      </c>
      <c r="G52" s="3394" t="s">
        <v>2147</v>
      </c>
      <c r="H52" s="3374" t="str">
        <f t="shared" si="15"/>
        <v>NA</v>
      </c>
      <c r="I52" s="3405" t="s">
        <v>2147</v>
      </c>
      <c r="J52" s="1028"/>
      <c r="M52" s="125"/>
    </row>
    <row r="53" spans="2:13" ht="18" customHeight="1" x14ac:dyDescent="0.2">
      <c r="B53" s="35" t="s">
        <v>1948</v>
      </c>
      <c r="C53" s="31"/>
      <c r="D53" s="1452"/>
      <c r="E53" s="3404" t="s">
        <v>2147</v>
      </c>
      <c r="F53" s="3419" t="str">
        <f t="shared" si="14"/>
        <v>NA</v>
      </c>
      <c r="G53" s="3394" t="s">
        <v>2147</v>
      </c>
      <c r="H53" s="3374" t="str">
        <f t="shared" si="15"/>
        <v>NA</v>
      </c>
      <c r="I53" s="3405" t="s">
        <v>2147</v>
      </c>
      <c r="J53" s="132"/>
      <c r="M53" s="125"/>
    </row>
    <row r="54" spans="2:13" ht="18" customHeight="1" thickBot="1" x14ac:dyDescent="0.25">
      <c r="B54" s="2369" t="s">
        <v>277</v>
      </c>
      <c r="C54" s="2240"/>
      <c r="D54" s="96"/>
      <c r="E54" s="112" t="s">
        <v>2147</v>
      </c>
      <c r="F54" s="3343" t="s">
        <v>2147</v>
      </c>
      <c r="G54" s="112" t="s">
        <v>2147</v>
      </c>
      <c r="H54" s="3371" t="str">
        <f t="shared" si="15"/>
        <v>NA</v>
      </c>
      <c r="I54" s="112" t="s">
        <v>2147</v>
      </c>
      <c r="J54" s="1028"/>
      <c r="M54" s="125"/>
    </row>
    <row r="55" spans="2:13" ht="18" customHeight="1" thickBot="1" x14ac:dyDescent="0.25">
      <c r="B55" s="2375" t="s">
        <v>278</v>
      </c>
      <c r="C55" s="2378"/>
      <c r="D55" s="2376"/>
      <c r="E55" s="3423">
        <f>SUM(E31,E45,E50,E54)</f>
        <v>272873.35304725793</v>
      </c>
      <c r="F55" s="3354">
        <f t="shared" si="14"/>
        <v>14.550321294212681</v>
      </c>
      <c r="G55" s="3423">
        <f>SUM(G31,G45,G50,G54)</f>
        <v>5982.9820659489396</v>
      </c>
      <c r="H55" s="3398">
        <f t="shared" si="15"/>
        <v>21937.600908479446</v>
      </c>
      <c r="I55" s="3423">
        <f>SUM(I31,I45,I50,I54)</f>
        <v>14558.114851378015</v>
      </c>
      <c r="J55" s="2377"/>
      <c r="M55" s="125"/>
    </row>
    <row r="56" spans="2:13" ht="18" customHeight="1" x14ac:dyDescent="0.2">
      <c r="B56" s="1024" t="s">
        <v>279</v>
      </c>
      <c r="C56" s="95"/>
      <c r="D56" s="39"/>
      <c r="E56" s="2587" t="s">
        <v>2147</v>
      </c>
      <c r="F56" s="3422" t="str">
        <f t="shared" si="14"/>
        <v>NA</v>
      </c>
      <c r="G56" s="2587" t="s">
        <v>2147</v>
      </c>
      <c r="H56" s="3410" t="str">
        <f t="shared" si="15"/>
        <v>NA</v>
      </c>
      <c r="I56" s="2587" t="s">
        <v>2147</v>
      </c>
      <c r="J56" s="2380"/>
      <c r="M56" s="125"/>
    </row>
    <row r="57" spans="2:13" ht="18" customHeight="1" x14ac:dyDescent="0.2">
      <c r="B57" s="1025"/>
      <c r="C57" s="96"/>
      <c r="D57" s="39" t="s">
        <v>280</v>
      </c>
      <c r="E57" s="3394" t="s">
        <v>2147</v>
      </c>
      <c r="F57" s="3419" t="str">
        <f t="shared" ref="F57:F60" si="16">IF(I57="NA","NA",I57/(44/12)*1000/E57)</f>
        <v>NA</v>
      </c>
      <c r="G57" s="3394" t="s">
        <v>2147</v>
      </c>
      <c r="H57" s="3374" t="str">
        <f t="shared" ref="H57:H60" si="17">IF(G57="NA","NA",IF(G57="NO","NO",G57*44/12))</f>
        <v>NA</v>
      </c>
      <c r="I57" s="3402" t="s">
        <v>2147</v>
      </c>
      <c r="J57" s="2364"/>
      <c r="M57" s="125"/>
    </row>
    <row r="58" spans="2:13" ht="18" customHeight="1" x14ac:dyDescent="0.2">
      <c r="B58" s="1025"/>
      <c r="C58" s="96"/>
      <c r="D58" s="39" t="s">
        <v>281</v>
      </c>
      <c r="E58" s="3394" t="s">
        <v>2147</v>
      </c>
      <c r="F58" s="3419" t="str">
        <f t="shared" si="16"/>
        <v>NA</v>
      </c>
      <c r="G58" s="3394" t="s">
        <v>2147</v>
      </c>
      <c r="H58" s="3374" t="str">
        <f t="shared" si="17"/>
        <v>NA</v>
      </c>
      <c r="I58" s="3402" t="s">
        <v>2147</v>
      </c>
      <c r="J58" s="132"/>
      <c r="M58" s="125"/>
    </row>
    <row r="59" spans="2:13" ht="18" customHeight="1" x14ac:dyDescent="0.2">
      <c r="B59" s="1025"/>
      <c r="C59" s="96"/>
      <c r="D59" s="39" t="s">
        <v>282</v>
      </c>
      <c r="E59" s="3394" t="s">
        <v>2147</v>
      </c>
      <c r="F59" s="3419" t="str">
        <f t="shared" si="16"/>
        <v>NA</v>
      </c>
      <c r="G59" s="3394" t="s">
        <v>2147</v>
      </c>
      <c r="H59" s="3374" t="str">
        <f t="shared" si="17"/>
        <v>NA</v>
      </c>
      <c r="I59" s="3402" t="s">
        <v>2147</v>
      </c>
      <c r="J59" s="132"/>
      <c r="M59" s="125"/>
    </row>
    <row r="60" spans="2:13" ht="18" customHeight="1" thickBot="1" x14ac:dyDescent="0.25">
      <c r="B60" s="77"/>
      <c r="C60" s="101"/>
      <c r="D60" s="79" t="s">
        <v>283</v>
      </c>
      <c r="E60" s="3401" t="s">
        <v>2147</v>
      </c>
      <c r="F60" s="3343" t="str">
        <f t="shared" si="16"/>
        <v>NA</v>
      </c>
      <c r="G60" s="3401" t="s">
        <v>2147</v>
      </c>
      <c r="H60" s="3371" t="str">
        <f t="shared" si="17"/>
        <v>NA</v>
      </c>
      <c r="I60" s="3403" t="s">
        <v>2147</v>
      </c>
      <c r="J60" s="2379"/>
      <c r="M60" s="125"/>
    </row>
    <row r="61" spans="2:13" ht="12" customHeight="1" x14ac:dyDescent="0.2">
      <c r="M61" s="125"/>
    </row>
    <row r="62" spans="2:13" ht="12" customHeight="1" x14ac:dyDescent="0.2">
      <c r="B62" s="1026"/>
      <c r="C62" s="1027"/>
      <c r="D62" s="1027"/>
      <c r="E62" s="1027"/>
      <c r="F62" s="1027"/>
      <c r="G62" s="1027"/>
      <c r="H62" s="1027"/>
      <c r="I62" s="1027"/>
      <c r="J62" s="1027"/>
      <c r="M62" s="125"/>
    </row>
    <row r="63" spans="2:13" ht="12" customHeight="1" x14ac:dyDescent="0.2">
      <c r="B63" s="989"/>
      <c r="C63" s="989"/>
      <c r="D63" s="989"/>
      <c r="E63" s="989"/>
      <c r="F63" s="989"/>
      <c r="G63" s="989"/>
      <c r="M63" s="125"/>
    </row>
    <row r="64" spans="2:13" ht="12" customHeight="1" x14ac:dyDescent="0.2">
      <c r="B64" s="1026"/>
      <c r="C64" s="1027"/>
      <c r="D64" s="1027"/>
      <c r="E64" s="1027"/>
      <c r="F64" s="1027"/>
      <c r="G64" s="1027"/>
      <c r="H64" s="1027"/>
      <c r="I64" s="1027"/>
      <c r="J64" s="1027"/>
      <c r="M64" s="125"/>
    </row>
    <row r="65" spans="2:13" ht="12" customHeight="1" x14ac:dyDescent="0.2">
      <c r="B65" s="1026"/>
      <c r="C65" s="1026"/>
      <c r="D65" s="1026"/>
      <c r="E65" s="1026"/>
      <c r="F65" s="1026"/>
      <c r="G65" s="1026"/>
      <c r="H65" s="1026"/>
      <c r="I65" s="1026"/>
      <c r="J65" s="1026"/>
      <c r="M65" s="125"/>
    </row>
    <row r="66" spans="2:13" ht="12" customHeight="1" x14ac:dyDescent="0.2">
      <c r="B66" s="989"/>
      <c r="C66" s="989"/>
      <c r="D66" s="989"/>
      <c r="E66" s="989"/>
      <c r="F66" s="989"/>
      <c r="G66" s="989"/>
      <c r="H66" s="989"/>
      <c r="I66" s="989"/>
      <c r="J66" s="989"/>
      <c r="M66" s="125"/>
    </row>
    <row r="67" spans="2:13" ht="12" customHeight="1" x14ac:dyDescent="0.2">
      <c r="B67" s="989"/>
      <c r="C67" s="989"/>
      <c r="D67" s="989"/>
      <c r="E67" s="989"/>
      <c r="M67" s="125"/>
    </row>
    <row r="68" spans="2:13" ht="12" customHeight="1" x14ac:dyDescent="0.2">
      <c r="B68" s="989"/>
      <c r="C68" s="989"/>
      <c r="D68" s="989"/>
      <c r="E68" s="989"/>
      <c r="M68" s="125"/>
    </row>
    <row r="69" spans="2:13" ht="12" customHeight="1" x14ac:dyDescent="0.2">
      <c r="B69" s="989"/>
      <c r="C69" s="989"/>
      <c r="D69" s="989"/>
      <c r="E69" s="989"/>
      <c r="M69" s="125"/>
    </row>
    <row r="70" spans="2:13" ht="12" customHeight="1" x14ac:dyDescent="0.2">
      <c r="B70" s="989"/>
      <c r="C70" s="989"/>
      <c r="D70" s="989"/>
      <c r="E70" s="989"/>
    </row>
    <row r="71" spans="2:13" ht="12" customHeight="1" x14ac:dyDescent="0.2">
      <c r="B71" s="989"/>
      <c r="C71" s="989"/>
      <c r="D71" s="989"/>
      <c r="E71" s="989"/>
    </row>
    <row r="72" spans="2:13" ht="12" customHeight="1" x14ac:dyDescent="0.2">
      <c r="B72" s="989"/>
      <c r="C72" s="989"/>
      <c r="D72" s="989"/>
      <c r="E72" s="989"/>
    </row>
    <row r="73" spans="2:13" ht="12" customHeight="1" x14ac:dyDescent="0.2">
      <c r="B73" s="989"/>
      <c r="C73" s="989"/>
      <c r="D73" s="989"/>
      <c r="E73" s="989"/>
    </row>
    <row r="74" spans="2:13" ht="12" customHeight="1" x14ac:dyDescent="0.2">
      <c r="B74" s="989"/>
      <c r="C74" s="989"/>
      <c r="D74" s="989"/>
      <c r="E74" s="989"/>
    </row>
    <row r="75" spans="2:13" ht="12" customHeight="1" x14ac:dyDescent="0.2">
      <c r="B75" s="989"/>
      <c r="C75" s="989"/>
      <c r="D75" s="989"/>
      <c r="E75" s="989"/>
    </row>
    <row r="76" spans="2:13" ht="12" customHeight="1" x14ac:dyDescent="0.2">
      <c r="B76" s="989"/>
      <c r="C76" s="989"/>
      <c r="D76" s="989"/>
      <c r="E76" s="989"/>
    </row>
    <row r="77" spans="2:13" ht="12" customHeight="1" x14ac:dyDescent="0.2">
      <c r="B77" s="989"/>
      <c r="C77" s="989"/>
      <c r="D77" s="989"/>
      <c r="E77" s="989"/>
    </row>
    <row r="78" spans="2:13" ht="12" customHeight="1" thickBot="1" x14ac:dyDescent="0.25">
      <c r="B78" s="989"/>
      <c r="C78" s="989"/>
      <c r="D78" s="989"/>
      <c r="E78" s="989"/>
    </row>
    <row r="79" spans="2:13" ht="12" customHeight="1" x14ac:dyDescent="0.2">
      <c r="B79" s="991" t="s">
        <v>324</v>
      </c>
      <c r="C79" s="1575"/>
      <c r="D79" s="1575"/>
      <c r="E79" s="1575"/>
      <c r="F79" s="1575"/>
      <c r="G79" s="1575"/>
      <c r="H79" s="1575"/>
      <c r="I79" s="1575"/>
      <c r="J79" s="1576"/>
    </row>
    <row r="80" spans="2:13" ht="12" customHeight="1" x14ac:dyDescent="0.2">
      <c r="B80" s="1248"/>
      <c r="C80" s="2366"/>
      <c r="D80" s="2366"/>
      <c r="E80" s="2366"/>
      <c r="F80" s="2366"/>
      <c r="G80" s="2366"/>
      <c r="H80" s="2366"/>
      <c r="I80" s="2366"/>
      <c r="J80" s="2367"/>
    </row>
    <row r="81" spans="2:10" ht="12" customHeight="1" x14ac:dyDescent="0.2">
      <c r="B81" s="1248"/>
      <c r="C81" s="2366"/>
      <c r="D81" s="2366"/>
      <c r="E81" s="2366"/>
      <c r="F81" s="2366"/>
      <c r="G81" s="2366"/>
      <c r="H81" s="2366"/>
      <c r="I81" s="2366"/>
      <c r="J81" s="2367"/>
    </row>
    <row r="82" spans="2:10" ht="12" customHeight="1" x14ac:dyDescent="0.2">
      <c r="B82" s="1574"/>
      <c r="C82" s="1569"/>
      <c r="D82" s="1569"/>
      <c r="E82" s="1569"/>
      <c r="F82" s="1569"/>
      <c r="G82" s="1569"/>
      <c r="H82" s="1569"/>
      <c r="I82" s="1569"/>
      <c r="J82" s="1570"/>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ignoredErrors>
    <ignoredError sqref="F29 H29 F31 H31 F43 H43 F45 H45 F48 H48 F50 H50 F55 H55"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325</v>
      </c>
      <c r="C1" s="208"/>
      <c r="D1" s="208"/>
      <c r="G1" s="226"/>
      <c r="I1" s="14" t="s">
        <v>2521</v>
      </c>
    </row>
    <row r="2" spans="2:12" ht="15.75" customHeight="1" x14ac:dyDescent="0.25">
      <c r="B2" s="215" t="s">
        <v>133</v>
      </c>
      <c r="G2" s="226"/>
      <c r="I2" s="14" t="s">
        <v>2522</v>
      </c>
    </row>
    <row r="3" spans="2:12" ht="15.75" customHeight="1" x14ac:dyDescent="0.25">
      <c r="B3" s="215" t="s">
        <v>62</v>
      </c>
      <c r="F3" s="226"/>
      <c r="G3" s="226"/>
      <c r="H3" s="226"/>
      <c r="I3" s="14" t="s">
        <v>2144</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46" t="s">
        <v>64</v>
      </c>
    </row>
    <row r="7" spans="2:12" ht="12" customHeight="1" x14ac:dyDescent="0.2">
      <c r="B7" s="45" t="s">
        <v>326</v>
      </c>
      <c r="C7" s="2155" t="s">
        <v>327</v>
      </c>
      <c r="D7" s="177" t="s">
        <v>123</v>
      </c>
      <c r="E7" s="179"/>
      <c r="F7" s="1762" t="s">
        <v>2112</v>
      </c>
      <c r="G7" s="178"/>
      <c r="H7" s="1762" t="s">
        <v>2113</v>
      </c>
      <c r="I7" s="203"/>
    </row>
    <row r="8" spans="2:12" ht="24" x14ac:dyDescent="0.2">
      <c r="B8" s="259" t="s">
        <v>328</v>
      </c>
      <c r="C8" s="433" t="s">
        <v>329</v>
      </c>
      <c r="D8" s="433" t="s">
        <v>1452</v>
      </c>
      <c r="E8" s="1721" t="s">
        <v>66</v>
      </c>
      <c r="F8" s="335" t="s">
        <v>330</v>
      </c>
      <c r="G8" s="1856" t="s">
        <v>66</v>
      </c>
      <c r="H8" s="1857" t="s">
        <v>330</v>
      </c>
      <c r="I8" s="1839" t="s">
        <v>66</v>
      </c>
    </row>
    <row r="9" spans="2:12" ht="12" customHeight="1" thickBot="1" x14ac:dyDescent="0.25">
      <c r="B9" s="2179"/>
      <c r="C9" s="1773" t="s">
        <v>331</v>
      </c>
      <c r="D9" s="1748" t="s">
        <v>332</v>
      </c>
      <c r="E9" s="1772"/>
      <c r="F9" s="1748" t="s">
        <v>73</v>
      </c>
      <c r="G9" s="344"/>
      <c r="H9" s="1748" t="s">
        <v>73</v>
      </c>
      <c r="I9" s="345"/>
    </row>
    <row r="10" spans="2:12" ht="18" customHeight="1" thickTop="1" x14ac:dyDescent="0.2">
      <c r="B10" s="2180" t="s">
        <v>333</v>
      </c>
      <c r="C10" s="3078">
        <f>SUM(C11,C18)</f>
        <v>466.23138999999998</v>
      </c>
      <c r="D10" s="3127"/>
      <c r="E10" s="3127"/>
      <c r="F10" s="3078">
        <f>SUM(F11,F18)</f>
        <v>1123.8387397148263</v>
      </c>
      <c r="G10" s="3078">
        <f>SUM(G11,G18)</f>
        <v>1212.9142005812864</v>
      </c>
      <c r="H10" s="3078">
        <f>H11</f>
        <v>-23.74944661912</v>
      </c>
      <c r="I10" s="3128" t="s">
        <v>2146</v>
      </c>
      <c r="L10" s="3750"/>
    </row>
    <row r="11" spans="2:12" ht="18" customHeight="1" x14ac:dyDescent="0.2">
      <c r="B11" s="1252" t="s">
        <v>334</v>
      </c>
      <c r="C11" s="3033">
        <v>86.520449999999997</v>
      </c>
      <c r="D11" s="3078">
        <f>IFERROR(SUM(F11,H11)/$C$11,"NA")</f>
        <v>9.4025535466858763</v>
      </c>
      <c r="E11" s="3078">
        <f>IFERROR(SUM(G11,I11)/$C$11,"NA")</f>
        <v>12.633121307062124</v>
      </c>
      <c r="F11" s="3078">
        <f>SUM(F12:F16)</f>
        <v>837.26261062747801</v>
      </c>
      <c r="G11" s="3078">
        <f>SUM(G12:G16)</f>
        <v>1093.0233403916031</v>
      </c>
      <c r="H11" s="3078">
        <f>H12</f>
        <v>-23.74944661912</v>
      </c>
      <c r="I11" s="3128" t="s">
        <v>2146</v>
      </c>
    </row>
    <row r="12" spans="2:12" ht="18" customHeight="1" x14ac:dyDescent="0.2">
      <c r="B12" s="160" t="s">
        <v>335</v>
      </c>
      <c r="C12" s="3046"/>
      <c r="D12" s="3078">
        <f t="shared" ref="D12:D14" si="0">IFERROR(SUM(F12,H12)/$C$11,"NA")</f>
        <v>8.3793059265026457</v>
      </c>
      <c r="E12" s="3078">
        <f>IFERROR(SUM(G12,I12)/$C$11,"NA")</f>
        <v>11.857866917068444</v>
      </c>
      <c r="F12" s="3126">
        <v>748.7307660677958</v>
      </c>
      <c r="G12" s="3126">
        <v>1025.9479817048743</v>
      </c>
      <c r="H12" s="3126">
        <v>-23.74944661912</v>
      </c>
      <c r="I12" s="3034" t="s">
        <v>2146</v>
      </c>
    </row>
    <row r="13" spans="2:12" ht="18" customHeight="1" x14ac:dyDescent="0.2">
      <c r="B13" s="160" t="s">
        <v>336</v>
      </c>
      <c r="C13" s="3046"/>
      <c r="D13" s="3078">
        <f t="shared" si="0"/>
        <v>0.36782321377318322</v>
      </c>
      <c r="E13" s="3078" t="s">
        <v>2147</v>
      </c>
      <c r="F13" s="3126">
        <v>31.824229976102007</v>
      </c>
      <c r="G13" s="3126" t="s">
        <v>2154</v>
      </c>
      <c r="H13" s="3126" t="s">
        <v>2146</v>
      </c>
      <c r="I13" s="3034" t="s">
        <v>2146</v>
      </c>
    </row>
    <row r="14" spans="2:12" ht="18" customHeight="1" x14ac:dyDescent="0.2">
      <c r="B14" s="160" t="s">
        <v>337</v>
      </c>
      <c r="C14" s="3046"/>
      <c r="D14" s="3078">
        <f t="shared" si="0"/>
        <v>0.65296041958913731</v>
      </c>
      <c r="E14" s="3078" t="s">
        <v>2147</v>
      </c>
      <c r="F14" s="3126">
        <v>56.494429335040977</v>
      </c>
      <c r="G14" s="3126" t="s">
        <v>2147</v>
      </c>
      <c r="H14" s="3126" t="s">
        <v>2146</v>
      </c>
      <c r="I14" s="3034" t="s">
        <v>2146</v>
      </c>
    </row>
    <row r="15" spans="2:12" ht="18" customHeight="1" x14ac:dyDescent="0.2">
      <c r="B15" s="160" t="s">
        <v>338</v>
      </c>
      <c r="C15" s="3033">
        <v>2.3749446619119999E-2</v>
      </c>
      <c r="D15" s="3078">
        <f>IFERROR(SUM(F15,H15)/$C15,"NA")</f>
        <v>8.9764301441696066</v>
      </c>
      <c r="E15" s="3078">
        <f>IFERROR(SUM(G15,I15)/$C15,"NA")</f>
        <v>2824.2914356045844</v>
      </c>
      <c r="F15" s="3126">
        <v>0.21318524853921572</v>
      </c>
      <c r="G15" s="3126">
        <v>67.075358686728862</v>
      </c>
      <c r="H15" s="3129"/>
      <c r="I15" s="3130"/>
    </row>
    <row r="16" spans="2:12" ht="18" customHeight="1" x14ac:dyDescent="0.2">
      <c r="B16" s="160" t="s">
        <v>339</v>
      </c>
      <c r="C16" s="3046"/>
      <c r="D16" s="3046"/>
      <c r="E16" s="3046"/>
      <c r="F16" s="3078" t="str">
        <f>F17</f>
        <v>NA</v>
      </c>
      <c r="G16" s="3131" t="str">
        <f t="shared" ref="G16:I16" si="1">G17</f>
        <v>NA</v>
      </c>
      <c r="H16" s="3078" t="str">
        <f t="shared" si="1"/>
        <v>NA</v>
      </c>
      <c r="I16" s="3128" t="str">
        <f t="shared" si="1"/>
        <v>NA</v>
      </c>
    </row>
    <row r="17" spans="2:9" ht="18" customHeight="1" x14ac:dyDescent="0.2">
      <c r="B17" s="3124" t="s">
        <v>2147</v>
      </c>
      <c r="C17" s="3046"/>
      <c r="D17" s="3078" t="s">
        <v>2147</v>
      </c>
      <c r="E17" s="3078" t="s">
        <v>2147</v>
      </c>
      <c r="F17" s="3126" t="s">
        <v>2147</v>
      </c>
      <c r="G17" s="3126" t="s">
        <v>2147</v>
      </c>
      <c r="H17" s="3126" t="s">
        <v>2147</v>
      </c>
      <c r="I17" s="3034" t="s">
        <v>2147</v>
      </c>
    </row>
    <row r="18" spans="2:9" ht="18" customHeight="1" x14ac:dyDescent="0.2">
      <c r="B18" s="1252" t="s">
        <v>340</v>
      </c>
      <c r="C18" s="3033">
        <v>379.71093999999999</v>
      </c>
      <c r="D18" s="3078">
        <f>IFERROR(SUM(F18,H18)/$C$18,"NA")</f>
        <v>0.75472181309115893</v>
      </c>
      <c r="E18" s="3078">
        <f>IFERROR(SUM(G18,I18)/$C$18,"NA")</f>
        <v>0.31574244394876633</v>
      </c>
      <c r="F18" s="3078">
        <f>SUM(F19:F21)</f>
        <v>286.57612908734825</v>
      </c>
      <c r="G18" s="3131">
        <f t="shared" ref="G18" si="2">SUM(G19:G21)</f>
        <v>119.89086018968338</v>
      </c>
      <c r="H18" s="3078" t="s">
        <v>2146</v>
      </c>
      <c r="I18" s="3128" t="s">
        <v>2146</v>
      </c>
    </row>
    <row r="19" spans="2:9" ht="18" customHeight="1" x14ac:dyDescent="0.2">
      <c r="B19" s="160" t="s">
        <v>341</v>
      </c>
      <c r="C19" s="3046"/>
      <c r="D19" s="3078">
        <f>IFERROR(SUM(F19,H19)/$C$18,"NA")</f>
        <v>0.75472181309115893</v>
      </c>
      <c r="E19" s="3078">
        <f>IFERROR(SUM(G19,I19)/$C$18,"NA")</f>
        <v>0.31574244394876633</v>
      </c>
      <c r="F19" s="3126">
        <v>286.57612908734825</v>
      </c>
      <c r="G19" s="3126">
        <v>119.89086018968338</v>
      </c>
      <c r="H19" s="3126" t="s">
        <v>2146</v>
      </c>
      <c r="I19" s="3034" t="s">
        <v>2146</v>
      </c>
    </row>
    <row r="20" spans="2:9" ht="18" customHeight="1" x14ac:dyDescent="0.2">
      <c r="B20" s="1253" t="s">
        <v>342</v>
      </c>
      <c r="C20" s="3132"/>
      <c r="D20" s="3133" t="s">
        <v>2147</v>
      </c>
      <c r="E20" s="3133" t="s">
        <v>2147</v>
      </c>
      <c r="F20" s="3134" t="s">
        <v>2153</v>
      </c>
      <c r="G20" s="3134" t="s">
        <v>2154</v>
      </c>
      <c r="H20" s="3134" t="s">
        <v>2146</v>
      </c>
      <c r="I20" s="3038" t="s">
        <v>2146</v>
      </c>
    </row>
    <row r="21" spans="2:9" ht="18" customHeight="1" x14ac:dyDescent="0.2">
      <c r="B21" s="160" t="s">
        <v>343</v>
      </c>
      <c r="C21" s="3132"/>
      <c r="D21" s="3046"/>
      <c r="E21" s="3046"/>
      <c r="F21" s="3078" t="str">
        <f>F22</f>
        <v>NA</v>
      </c>
      <c r="G21" s="3131" t="str">
        <f t="shared" ref="G21" si="3">G22</f>
        <v>NA</v>
      </c>
      <c r="H21" s="3078" t="str">
        <f t="shared" ref="H21" si="4">H22</f>
        <v>NA</v>
      </c>
      <c r="I21" s="3128" t="str">
        <f t="shared" ref="I21" si="5">I22</f>
        <v>NA</v>
      </c>
    </row>
    <row r="22" spans="2:9" ht="18" customHeight="1" x14ac:dyDescent="0.2">
      <c r="B22" s="3124" t="s">
        <v>2147</v>
      </c>
      <c r="C22" s="3046"/>
      <c r="D22" s="3078" t="s">
        <v>2147</v>
      </c>
      <c r="E22" s="3078" t="s">
        <v>2147</v>
      </c>
      <c r="F22" s="3126" t="s">
        <v>2147</v>
      </c>
      <c r="G22" s="3126" t="s">
        <v>2147</v>
      </c>
      <c r="H22" s="3126" t="s">
        <v>2147</v>
      </c>
      <c r="I22" s="3034" t="s">
        <v>2147</v>
      </c>
    </row>
    <row r="23" spans="2:9" ht="18" customHeight="1" x14ac:dyDescent="0.2">
      <c r="B23" s="2181" t="s">
        <v>344</v>
      </c>
      <c r="C23" s="3046"/>
      <c r="D23" s="3046"/>
      <c r="E23" s="3046"/>
      <c r="F23" s="3131" t="s">
        <v>2157</v>
      </c>
      <c r="G23" s="3131" t="s">
        <v>2157</v>
      </c>
      <c r="H23" s="3131" t="s">
        <v>2157</v>
      </c>
      <c r="I23" s="3128" t="s">
        <v>2147</v>
      </c>
    </row>
    <row r="24" spans="2:9" ht="18" customHeight="1" x14ac:dyDescent="0.2">
      <c r="B24" s="1275" t="s">
        <v>345</v>
      </c>
      <c r="C24" s="3129"/>
      <c r="D24" s="3135"/>
      <c r="E24" s="3135"/>
      <c r="F24" s="3135"/>
      <c r="G24" s="3135"/>
      <c r="H24" s="3135"/>
      <c r="I24" s="3136"/>
    </row>
    <row r="25" spans="2:9" ht="18" customHeight="1" x14ac:dyDescent="0.2">
      <c r="B25" s="1252" t="s">
        <v>346</v>
      </c>
      <c r="C25" s="3033" t="s">
        <v>2154</v>
      </c>
      <c r="D25" s="3078" t="str">
        <f>IFERROR(SUM(F25,H25)/$C25,"NA")</f>
        <v>NA</v>
      </c>
      <c r="E25" s="3078" t="str">
        <f>IFERROR(SUM(G25,I25)/$C25,"NA")</f>
        <v>NA</v>
      </c>
      <c r="F25" s="3033" t="s">
        <v>2154</v>
      </c>
      <c r="G25" s="3129"/>
      <c r="H25" s="3033" t="s">
        <v>2146</v>
      </c>
      <c r="I25" s="3034" t="s">
        <v>2146</v>
      </c>
    </row>
    <row r="26" spans="2:9" ht="18" customHeight="1" x14ac:dyDescent="0.2">
      <c r="B26" s="1252" t="s">
        <v>347</v>
      </c>
      <c r="C26" s="3033" t="s">
        <v>2153</v>
      </c>
      <c r="D26" s="3078" t="s">
        <v>2147</v>
      </c>
      <c r="E26" s="3078" t="s">
        <v>2147</v>
      </c>
      <c r="F26" s="3033" t="s">
        <v>2153</v>
      </c>
      <c r="G26" s="3126" t="s">
        <v>2153</v>
      </c>
      <c r="H26" s="3033" t="s">
        <v>2153</v>
      </c>
      <c r="I26" s="3034" t="s">
        <v>2146</v>
      </c>
    </row>
    <row r="27" spans="2:9" ht="18" customHeight="1" x14ac:dyDescent="0.2">
      <c r="B27" s="1252" t="s">
        <v>348</v>
      </c>
      <c r="C27" s="3033" t="s">
        <v>2146</v>
      </c>
      <c r="D27" s="3078" t="s">
        <v>2147</v>
      </c>
      <c r="E27" s="3078" t="s">
        <v>2147</v>
      </c>
      <c r="F27" s="3033" t="s">
        <v>2146</v>
      </c>
      <c r="G27" s="3033" t="s">
        <v>2146</v>
      </c>
      <c r="H27" s="3033" t="s">
        <v>2146</v>
      </c>
      <c r="I27" s="3034" t="s">
        <v>2146</v>
      </c>
    </row>
    <row r="28" spans="2:9" ht="18" customHeight="1" x14ac:dyDescent="0.2">
      <c r="B28" s="1252" t="s">
        <v>349</v>
      </c>
      <c r="C28" s="3033" t="s">
        <v>2146</v>
      </c>
      <c r="D28" s="3078" t="s">
        <v>2147</v>
      </c>
      <c r="E28" s="3078" t="s">
        <v>2147</v>
      </c>
      <c r="F28" s="3033" t="s">
        <v>2146</v>
      </c>
      <c r="G28" s="3033" t="s">
        <v>2146</v>
      </c>
      <c r="H28" s="3033" t="s">
        <v>2146</v>
      </c>
      <c r="I28" s="3034" t="s">
        <v>2146</v>
      </c>
    </row>
    <row r="29" spans="2:9" ht="18" customHeight="1" x14ac:dyDescent="0.2">
      <c r="B29" s="1252" t="s">
        <v>350</v>
      </c>
      <c r="C29" s="3046"/>
      <c r="D29" s="3046"/>
      <c r="E29" s="3046"/>
      <c r="F29" s="3078" t="str">
        <f>F30</f>
        <v>NA</v>
      </c>
      <c r="G29" s="3131" t="str">
        <f t="shared" ref="G29:I29" si="6">G30</f>
        <v>NA</v>
      </c>
      <c r="H29" s="3078" t="str">
        <f t="shared" si="6"/>
        <v>NA</v>
      </c>
      <c r="I29" s="3128" t="str">
        <f t="shared" si="6"/>
        <v>NA</v>
      </c>
    </row>
    <row r="30" spans="2:9" ht="18" customHeight="1" x14ac:dyDescent="0.2">
      <c r="B30" s="3125" t="s">
        <v>2147</v>
      </c>
      <c r="C30" s="3033" t="s">
        <v>2147</v>
      </c>
      <c r="D30" s="3078" t="s">
        <v>2147</v>
      </c>
      <c r="E30" s="3078" t="s">
        <v>2147</v>
      </c>
      <c r="F30" s="3033" t="s">
        <v>2147</v>
      </c>
      <c r="G30" s="3126" t="s">
        <v>2147</v>
      </c>
      <c r="H30" s="3033" t="s">
        <v>2147</v>
      </c>
      <c r="I30" s="3034" t="s">
        <v>2147</v>
      </c>
    </row>
    <row r="31" spans="2:9" ht="18" customHeight="1" x14ac:dyDescent="0.2">
      <c r="B31" s="2181" t="s">
        <v>351</v>
      </c>
      <c r="C31" s="3046"/>
      <c r="D31" s="1931"/>
      <c r="E31" s="1931"/>
      <c r="F31" s="3078" t="str">
        <f>F32</f>
        <v>NA</v>
      </c>
      <c r="G31" s="3131" t="str">
        <f t="shared" ref="G31" si="7">G32</f>
        <v>NA</v>
      </c>
      <c r="H31" s="3078" t="str">
        <f t="shared" ref="H31" si="8">H32</f>
        <v>NA</v>
      </c>
      <c r="I31" s="3128" t="str">
        <f t="shared" ref="I31" si="9">I32</f>
        <v>NA</v>
      </c>
    </row>
    <row r="32" spans="2:9" ht="18" customHeight="1" thickBot="1" x14ac:dyDescent="0.25">
      <c r="B32" s="2126" t="s">
        <v>2147</v>
      </c>
      <c r="C32" s="3137" t="s">
        <v>2147</v>
      </c>
      <c r="D32" s="3138" t="s">
        <v>2147</v>
      </c>
      <c r="E32" s="3138" t="s">
        <v>2147</v>
      </c>
      <c r="F32" s="3137" t="s">
        <v>2147</v>
      </c>
      <c r="G32" s="3139" t="s">
        <v>2147</v>
      </c>
      <c r="H32" s="3137" t="s">
        <v>2147</v>
      </c>
      <c r="I32" s="3140" t="s">
        <v>2147</v>
      </c>
    </row>
    <row r="33" spans="2:9" ht="12" customHeight="1" x14ac:dyDescent="0.2">
      <c r="B33" s="8"/>
      <c r="C33" s="8"/>
      <c r="D33" s="8"/>
      <c r="E33" s="8"/>
      <c r="F33" s="8"/>
      <c r="G33" s="8"/>
      <c r="H33" s="8"/>
      <c r="I33" s="8"/>
    </row>
    <row r="34" spans="2:9" ht="12" customHeight="1" x14ac:dyDescent="0.2">
      <c r="B34" s="994"/>
      <c r="C34" s="994"/>
      <c r="D34" s="994"/>
      <c r="E34" s="994"/>
    </row>
    <row r="35" spans="2:9" ht="12" customHeight="1" x14ac:dyDescent="0.2">
      <c r="B35" s="2182"/>
      <c r="C35" s="2182"/>
      <c r="D35" s="2182"/>
      <c r="E35" s="2182"/>
    </row>
    <row r="36" spans="2:9" ht="12" customHeight="1" x14ac:dyDescent="0.2">
      <c r="B36" s="2182"/>
      <c r="C36" s="2182"/>
      <c r="D36" s="2182"/>
    </row>
    <row r="37" spans="2:9" ht="12" customHeight="1" x14ac:dyDescent="0.2">
      <c r="B37" s="994"/>
      <c r="C37" s="994"/>
      <c r="D37" s="994"/>
      <c r="E37" s="994"/>
      <c r="F37" s="994"/>
      <c r="H37" s="994"/>
    </row>
    <row r="38" spans="2:9" ht="12" customHeight="1" x14ac:dyDescent="0.2">
      <c r="B38" s="809"/>
      <c r="C38" s="809"/>
      <c r="D38" s="809"/>
    </row>
    <row r="39" spans="2:9" ht="12" customHeight="1" x14ac:dyDescent="0.2">
      <c r="B39" s="2182"/>
      <c r="C39" s="2182"/>
      <c r="D39" s="2182"/>
      <c r="E39" s="2182"/>
    </row>
    <row r="47" spans="2:9" ht="12" customHeight="1" x14ac:dyDescent="0.2">
      <c r="B47" s="2172"/>
      <c r="C47" s="2172"/>
      <c r="D47" s="2172"/>
      <c r="E47" s="2172"/>
      <c r="F47" s="2172"/>
      <c r="G47" s="2172"/>
      <c r="H47" s="2172"/>
      <c r="I47" s="2172"/>
    </row>
    <row r="48" spans="2:9" ht="12" customHeight="1" thickBot="1" x14ac:dyDescent="0.25"/>
    <row r="49" spans="2:9" ht="12" customHeight="1" x14ac:dyDescent="0.2">
      <c r="B49" s="223" t="s">
        <v>352</v>
      </c>
      <c r="C49" s="224"/>
      <c r="D49" s="224"/>
      <c r="E49" s="224"/>
      <c r="F49" s="224"/>
      <c r="G49" s="224"/>
      <c r="H49" s="224"/>
      <c r="I49" s="225"/>
    </row>
    <row r="50" spans="2:9" ht="12" customHeight="1" x14ac:dyDescent="0.2">
      <c r="B50" s="1460"/>
      <c r="C50" s="1461"/>
      <c r="D50" s="1461"/>
      <c r="E50" s="1461"/>
      <c r="F50" s="1461"/>
      <c r="G50" s="1461"/>
      <c r="H50" s="1461"/>
      <c r="I50" s="1462"/>
    </row>
    <row r="51" spans="2:9" ht="12" customHeight="1" x14ac:dyDescent="0.2">
      <c r="B51" s="2173"/>
      <c r="C51" s="2174"/>
      <c r="D51" s="2174"/>
      <c r="E51" s="2174"/>
      <c r="F51" s="2174"/>
      <c r="G51" s="2174"/>
      <c r="H51" s="2174"/>
      <c r="I51" s="2175"/>
    </row>
    <row r="52" spans="2:9" ht="12" customHeight="1" x14ac:dyDescent="0.2">
      <c r="B52" s="2173"/>
      <c r="C52" s="2174"/>
      <c r="D52" s="2174"/>
      <c r="E52" s="2174"/>
      <c r="F52" s="2174"/>
      <c r="G52" s="2174"/>
      <c r="H52" s="2174"/>
      <c r="I52" s="2175"/>
    </row>
    <row r="53" spans="2:9" ht="12" customHeight="1" x14ac:dyDescent="0.2">
      <c r="B53" s="2173"/>
      <c r="C53" s="2174"/>
      <c r="D53" s="2174"/>
      <c r="E53" s="2174"/>
      <c r="F53" s="2174"/>
      <c r="G53" s="2174"/>
      <c r="H53" s="2174"/>
      <c r="I53" s="2175"/>
    </row>
    <row r="54" spans="2:9" ht="12" customHeight="1" x14ac:dyDescent="0.2">
      <c r="B54" s="2173"/>
      <c r="C54" s="2174"/>
      <c r="D54" s="2174"/>
      <c r="E54" s="2174"/>
      <c r="F54" s="2174"/>
      <c r="G54" s="2174"/>
      <c r="H54" s="2174"/>
      <c r="I54" s="2175"/>
    </row>
    <row r="55" spans="2:9" ht="12" customHeight="1" x14ac:dyDescent="0.2">
      <c r="B55" s="2173"/>
      <c r="C55" s="2174"/>
      <c r="D55" s="2174"/>
      <c r="E55" s="2174"/>
      <c r="F55" s="2174"/>
      <c r="G55" s="2174"/>
      <c r="H55" s="2174"/>
      <c r="I55" s="2175"/>
    </row>
    <row r="56" spans="2:9" ht="12" customHeight="1" x14ac:dyDescent="0.2">
      <c r="B56" s="1315"/>
      <c r="C56" s="1321"/>
      <c r="D56" s="1321"/>
      <c r="E56" s="1321"/>
      <c r="F56" s="1321"/>
      <c r="G56" s="1321"/>
      <c r="H56" s="1321"/>
      <c r="I56" s="1322"/>
    </row>
    <row r="57" spans="2:9" ht="27" customHeight="1" thickBot="1" x14ac:dyDescent="0.25">
      <c r="B57" s="4477" t="s">
        <v>2158</v>
      </c>
      <c r="C57" s="4478"/>
      <c r="D57" s="4478"/>
      <c r="E57" s="4478"/>
      <c r="F57" s="4478"/>
      <c r="G57" s="4478"/>
      <c r="H57" s="4478"/>
      <c r="I57" s="4479"/>
    </row>
    <row r="58" spans="2:9" ht="12" customHeight="1" x14ac:dyDescent="0.2">
      <c r="B58" s="1"/>
      <c r="C58" s="1"/>
      <c r="D58" s="1"/>
      <c r="E58" s="1"/>
      <c r="F58" s="1"/>
      <c r="G58" s="1"/>
    </row>
  </sheetData>
  <mergeCells count="1">
    <mergeCell ref="B57:I57"/>
  </mergeCells>
  <phoneticPr fontId="49" type="noConversion"/>
  <dataValidations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71"/>
  <sheetViews>
    <sheetView showGridLines="0" zoomScale="80" zoomScaleNormal="80" workbookViewId="0">
      <pane xSplit="2" ySplit="9" topLeftCell="I17" activePane="bottomRight" state="frozen"/>
      <selection pane="topRight" activeCell="C1" sqref="C1"/>
      <selection pane="bottomLeft" activeCell="A10" sqref="A10"/>
      <selection pane="bottomRight" activeCell="L24" sqref="L24"/>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7" t="s">
        <v>353</v>
      </c>
      <c r="C1" s="987"/>
      <c r="K1" s="226"/>
      <c r="L1" s="14" t="s">
        <v>2521</v>
      </c>
    </row>
    <row r="2" spans="2:12" ht="15.75" customHeight="1" x14ac:dyDescent="0.25">
      <c r="B2" s="987" t="s">
        <v>354</v>
      </c>
      <c r="C2" s="987"/>
      <c r="K2" s="226"/>
      <c r="L2" s="14" t="s">
        <v>2522</v>
      </c>
    </row>
    <row r="3" spans="2:12" ht="15.75" customHeight="1" x14ac:dyDescent="0.25">
      <c r="B3" s="987" t="s">
        <v>62</v>
      </c>
      <c r="J3" s="226"/>
      <c r="K3" s="226"/>
      <c r="L3" s="14" t="s">
        <v>2144</v>
      </c>
    </row>
    <row r="4" spans="2:12" ht="15.75" customHeight="1" x14ac:dyDescent="0.25">
      <c r="B4" s="987"/>
      <c r="J4" s="226"/>
      <c r="K4" s="226"/>
      <c r="L4" s="226"/>
    </row>
    <row r="5" spans="2:12" ht="15.75" hidden="1" customHeight="1" x14ac:dyDescent="0.25">
      <c r="B5" s="987"/>
      <c r="J5" s="226"/>
      <c r="K5" s="226"/>
      <c r="L5" s="226"/>
    </row>
    <row r="6" spans="2:12" ht="12.75" customHeight="1" thickBot="1" x14ac:dyDescent="0.25">
      <c r="B6" s="2449" t="s">
        <v>64</v>
      </c>
      <c r="C6" s="1011"/>
      <c r="D6" s="1011"/>
      <c r="E6" s="1011"/>
      <c r="F6" s="1011"/>
      <c r="G6" s="1011"/>
      <c r="H6" s="1011"/>
      <c r="I6" s="1011"/>
      <c r="J6" s="1011"/>
      <c r="K6" s="1011"/>
    </row>
    <row r="7" spans="2:12" ht="15" customHeight="1" x14ac:dyDescent="0.2">
      <c r="B7" s="223" t="s">
        <v>326</v>
      </c>
      <c r="C7" s="1744" t="s">
        <v>355</v>
      </c>
      <c r="D7" s="1816"/>
      <c r="E7" s="1817"/>
      <c r="F7" s="177" t="s">
        <v>356</v>
      </c>
      <c r="G7" s="178"/>
      <c r="H7" s="179"/>
      <c r="I7" s="177" t="s">
        <v>124</v>
      </c>
      <c r="J7" s="178"/>
      <c r="K7" s="179"/>
      <c r="L7" s="1096" t="s">
        <v>2111</v>
      </c>
    </row>
    <row r="8" spans="2:12" ht="12" customHeight="1" x14ac:dyDescent="0.2">
      <c r="B8" s="1318" t="s">
        <v>328</v>
      </c>
      <c r="C8" s="1863" t="s">
        <v>357</v>
      </c>
      <c r="D8" s="1863" t="s">
        <v>358</v>
      </c>
      <c r="E8" s="1721" t="s">
        <v>359</v>
      </c>
      <c r="F8" s="1863" t="s">
        <v>2012</v>
      </c>
      <c r="G8" s="1863" t="s">
        <v>67</v>
      </c>
      <c r="H8" s="1721" t="s">
        <v>68</v>
      </c>
      <c r="I8" s="335" t="s">
        <v>1938</v>
      </c>
      <c r="J8" s="1721" t="s">
        <v>361</v>
      </c>
      <c r="K8" s="1859" t="s">
        <v>68</v>
      </c>
      <c r="L8" s="1855" t="s">
        <v>66</v>
      </c>
    </row>
    <row r="9" spans="2:12" ht="15" customHeight="1" thickBot="1" x14ac:dyDescent="0.25">
      <c r="B9" s="2163"/>
      <c r="C9" s="268"/>
      <c r="D9" s="268"/>
      <c r="E9" s="268"/>
      <c r="F9" s="1864" t="s">
        <v>2013</v>
      </c>
      <c r="G9" s="1032"/>
      <c r="H9" s="1033"/>
      <c r="I9" s="1748" t="s">
        <v>73</v>
      </c>
      <c r="J9" s="344"/>
      <c r="K9" s="1772"/>
      <c r="L9" s="345" t="s">
        <v>73</v>
      </c>
    </row>
    <row r="10" spans="2:12" ht="18" customHeight="1" thickTop="1" x14ac:dyDescent="0.2">
      <c r="B10" s="1254" t="s">
        <v>362</v>
      </c>
      <c r="C10" s="2164"/>
      <c r="D10" s="2164"/>
      <c r="E10" s="3143"/>
      <c r="F10" s="3144"/>
      <c r="G10" s="3144"/>
      <c r="H10" s="3144"/>
      <c r="I10" s="3145">
        <f>IF(SUM(I11:I16)=0,"NO",SUM(I11:I16))</f>
        <v>398.12117440353597</v>
      </c>
      <c r="J10" s="3145">
        <f>IF(SUM(J11:J16)=0,"NO",SUM(J11:J16))</f>
        <v>3.0057938012096277</v>
      </c>
      <c r="K10" s="1913">
        <f>IF(SUM(K11:K16)=0,"NO",SUM(K11:K16))</f>
        <v>1.1986443012435894E-2</v>
      </c>
      <c r="L10" s="3146" t="s">
        <v>2146</v>
      </c>
    </row>
    <row r="11" spans="2:12" ht="18" customHeight="1" x14ac:dyDescent="0.2">
      <c r="B11" s="1252" t="s">
        <v>363</v>
      </c>
      <c r="C11" s="2165" t="s">
        <v>2159</v>
      </c>
      <c r="D11" s="2165" t="s">
        <v>2275</v>
      </c>
      <c r="E11" s="691">
        <v>159.29311221609501</v>
      </c>
      <c r="F11" s="1913">
        <f>I11*1000000/$E11</f>
        <v>3200.0000000000082</v>
      </c>
      <c r="G11" s="1913">
        <f>J11*1000000/$E11</f>
        <v>0.33333333333333415</v>
      </c>
      <c r="H11" s="1913">
        <f>K11*1000000/$E11</f>
        <v>0.22580645161290377</v>
      </c>
      <c r="I11" s="3141">
        <v>0.50973795909150532</v>
      </c>
      <c r="J11" s="691">
        <v>5.3097704072031793E-5</v>
      </c>
      <c r="K11" s="3142">
        <v>3.5969412435892507E-5</v>
      </c>
      <c r="L11" s="3093" t="s">
        <v>2146</v>
      </c>
    </row>
    <row r="12" spans="2:12" ht="18" customHeight="1" x14ac:dyDescent="0.2">
      <c r="B12" s="1252" t="s">
        <v>364</v>
      </c>
      <c r="C12" s="2165" t="s">
        <v>2160</v>
      </c>
      <c r="D12" s="2165" t="s">
        <v>2161</v>
      </c>
      <c r="E12" s="691">
        <v>856.60500000000002</v>
      </c>
      <c r="F12" s="1913" t="s">
        <v>2147</v>
      </c>
      <c r="G12" s="1913">
        <f>J12*1000000/$E12</f>
        <v>577.86260878701376</v>
      </c>
      <c r="H12" s="3096"/>
      <c r="I12" s="3147" t="s">
        <v>2147</v>
      </c>
      <c r="J12" s="691">
        <v>0.49499999999999994</v>
      </c>
      <c r="K12" s="3046"/>
      <c r="L12" s="3093" t="s">
        <v>2146</v>
      </c>
    </row>
    <row r="13" spans="2:12" ht="18" customHeight="1" x14ac:dyDescent="0.2">
      <c r="B13" s="1252" t="s">
        <v>365</v>
      </c>
      <c r="C13" s="2165" t="s">
        <v>2162</v>
      </c>
      <c r="D13" s="2165" t="s">
        <v>2161</v>
      </c>
      <c r="E13" s="691">
        <v>734.79100000000005</v>
      </c>
      <c r="F13" s="1913" t="s">
        <v>2147</v>
      </c>
      <c r="G13" s="1913">
        <f>J13*1000000/$E13</f>
        <v>278.81165528701365</v>
      </c>
      <c r="H13" s="3096"/>
      <c r="I13" s="3147" t="s">
        <v>2147</v>
      </c>
      <c r="J13" s="691">
        <v>0.20486829500000003</v>
      </c>
      <c r="K13" s="3046"/>
      <c r="L13" s="3093" t="s">
        <v>2146</v>
      </c>
    </row>
    <row r="14" spans="2:12" ht="18" customHeight="1" x14ac:dyDescent="0.2">
      <c r="B14" s="1252" t="s">
        <v>366</v>
      </c>
      <c r="C14" s="2165" t="s">
        <v>2163</v>
      </c>
      <c r="D14" s="2165" t="s">
        <v>2161</v>
      </c>
      <c r="E14" s="691">
        <v>1407.3789999999999</v>
      </c>
      <c r="F14" s="1913">
        <f>I14*1000000/$E14</f>
        <v>282519.09147745173</v>
      </c>
      <c r="G14" s="1913">
        <f>J14*1000000/$E14</f>
        <v>1593.6497102454678</v>
      </c>
      <c r="H14" s="1913">
        <f>K14*1000000/$E14</f>
        <v>8.4912973690811082</v>
      </c>
      <c r="I14" s="3147">
        <v>397.61143644444445</v>
      </c>
      <c r="J14" s="691">
        <v>2.2428691355555559</v>
      </c>
      <c r="K14" s="3142">
        <v>1.1950473600000001E-2</v>
      </c>
      <c r="L14" s="3093" t="s">
        <v>2146</v>
      </c>
    </row>
    <row r="15" spans="2:12" ht="18" customHeight="1" x14ac:dyDescent="0.2">
      <c r="B15" s="1252" t="s">
        <v>367</v>
      </c>
      <c r="C15" s="2165" t="s">
        <v>2147</v>
      </c>
      <c r="D15" s="2165" t="s">
        <v>2147</v>
      </c>
      <c r="E15" s="691" t="s">
        <v>2146</v>
      </c>
      <c r="F15" s="1913" t="s">
        <v>2147</v>
      </c>
      <c r="G15" s="1913" t="s">
        <v>2147</v>
      </c>
      <c r="H15" s="3096"/>
      <c r="I15" s="3147" t="s">
        <v>2146</v>
      </c>
      <c r="J15" s="691" t="s">
        <v>2146</v>
      </c>
      <c r="K15" s="3046"/>
      <c r="L15" s="3093" t="s">
        <v>2146</v>
      </c>
    </row>
    <row r="16" spans="2:12" ht="18" customHeight="1" x14ac:dyDescent="0.2">
      <c r="B16" s="2414" t="s">
        <v>368</v>
      </c>
      <c r="C16" s="621"/>
      <c r="D16" s="621"/>
      <c r="E16" s="628"/>
      <c r="F16" s="628"/>
      <c r="G16" s="628"/>
      <c r="H16" s="3148"/>
      <c r="I16" s="1913" t="str">
        <f>IF(I18=0,"NO",I18)</f>
        <v>NA</v>
      </c>
      <c r="J16" s="1913">
        <f>IF(J18=0,"NO",J18)</f>
        <v>6.3003272949999994E-2</v>
      </c>
      <c r="K16" s="3132"/>
      <c r="L16" s="3149" t="str">
        <f>IF(L18=0,"NO",L18)</f>
        <v>NO</v>
      </c>
    </row>
    <row r="17" spans="2:12" ht="18" customHeight="1" x14ac:dyDescent="0.2">
      <c r="B17" s="2383" t="s">
        <v>345</v>
      </c>
      <c r="C17" s="2103"/>
      <c r="D17" s="2285"/>
      <c r="E17" s="3097"/>
      <c r="F17" s="3097"/>
      <c r="G17" s="3097"/>
      <c r="H17" s="3097"/>
      <c r="I17" s="3097"/>
      <c r="J17" s="3097"/>
      <c r="K17" s="3097"/>
      <c r="L17" s="3111"/>
    </row>
    <row r="18" spans="2:12" ht="18" customHeight="1" x14ac:dyDescent="0.2">
      <c r="B18" s="2415" t="s">
        <v>369</v>
      </c>
      <c r="C18" s="2165" t="s">
        <v>2156</v>
      </c>
      <c r="D18" s="2165" t="s">
        <v>2155</v>
      </c>
      <c r="E18" s="691">
        <v>2457</v>
      </c>
      <c r="F18" s="1913" t="s">
        <v>2147</v>
      </c>
      <c r="G18" s="1913">
        <f>J18*1000000/$E18</f>
        <v>25.642357733007728</v>
      </c>
      <c r="H18" s="3148"/>
      <c r="I18" s="3150" t="s">
        <v>2147</v>
      </c>
      <c r="J18" s="2190">
        <v>6.3003272949999994E-2</v>
      </c>
      <c r="K18" s="3132"/>
      <c r="L18" s="3102" t="s">
        <v>2146</v>
      </c>
    </row>
    <row r="19" spans="2:12" ht="18" customHeight="1" x14ac:dyDescent="0.2">
      <c r="B19" s="1242" t="s">
        <v>370</v>
      </c>
      <c r="C19" s="2103"/>
      <c r="D19" s="2285"/>
      <c r="E19" s="3097"/>
      <c r="F19" s="3097"/>
      <c r="G19" s="3097"/>
      <c r="H19" s="3097"/>
      <c r="I19" s="1913" t="str">
        <f>I20</f>
        <v>NA</v>
      </c>
      <c r="J19" s="1913" t="str">
        <f>J20</f>
        <v>NA</v>
      </c>
      <c r="K19" s="3046"/>
      <c r="L19" s="3065" t="str">
        <f>L20</f>
        <v>NA</v>
      </c>
    </row>
    <row r="20" spans="2:12" ht="18" customHeight="1" thickBot="1" x14ac:dyDescent="0.25">
      <c r="B20" s="2588" t="s">
        <v>2147</v>
      </c>
      <c r="C20" s="1308" t="s">
        <v>2147</v>
      </c>
      <c r="D20" s="1308" t="s">
        <v>2147</v>
      </c>
      <c r="E20" s="692" t="s">
        <v>2147</v>
      </c>
      <c r="F20" s="3145" t="s">
        <v>2147</v>
      </c>
      <c r="G20" s="3145" t="s">
        <v>2147</v>
      </c>
      <c r="H20" s="3151"/>
      <c r="I20" s="692" t="s">
        <v>2147</v>
      </c>
      <c r="J20" s="692" t="s">
        <v>2147</v>
      </c>
      <c r="K20" s="3152"/>
      <c r="L20" s="3153" t="s">
        <v>2147</v>
      </c>
    </row>
    <row r="21" spans="2:12" ht="18" customHeight="1" x14ac:dyDescent="0.2">
      <c r="B21" s="1255" t="s">
        <v>104</v>
      </c>
      <c r="C21" s="2167"/>
      <c r="D21" s="2167"/>
      <c r="E21" s="3154"/>
      <c r="F21" s="1930"/>
      <c r="G21" s="1930"/>
      <c r="H21" s="1930"/>
      <c r="I21" s="3155">
        <f>IF(SUM(I22:I27)=0,"NO",SUM(I22:I27))</f>
        <v>27.607509577353458</v>
      </c>
      <c r="J21" s="3155">
        <f>IF(SUM(J22:J27)=0,"NO",SUM(J22:J27))</f>
        <v>144.5753991208374</v>
      </c>
      <c r="K21" s="3067">
        <f>IF(SUM(K22:K27)=0,"NO",SUM(K22:K27))</f>
        <v>5.4769184249978706E-4</v>
      </c>
      <c r="L21" s="3068" t="str">
        <f>IF(SUM(L22:L27)=0,"NO",SUM(L22:L27))</f>
        <v>NO</v>
      </c>
    </row>
    <row r="22" spans="2:12" ht="18" customHeight="1" x14ac:dyDescent="0.2">
      <c r="B22" s="1469" t="s">
        <v>371</v>
      </c>
      <c r="C22" s="2165" t="s">
        <v>2164</v>
      </c>
      <c r="D22" s="2165" t="s">
        <v>2147</v>
      </c>
      <c r="E22" s="691">
        <v>382.07533815590062</v>
      </c>
      <c r="F22" s="1913">
        <f>I22*1000000/$E22</f>
        <v>48710.656578827999</v>
      </c>
      <c r="G22" s="1913">
        <f>J22*1000000/$E22</f>
        <v>2017.7247566314256</v>
      </c>
      <c r="H22" s="1913">
        <f>K22*1000000/$E22</f>
        <v>1.433465570280563</v>
      </c>
      <c r="I22" s="3141">
        <v>18.611140584151652</v>
      </c>
      <c r="J22" s="692">
        <v>0.77092286869548421</v>
      </c>
      <c r="K22" s="4141">
        <v>5.4769184249978706E-4</v>
      </c>
      <c r="L22" s="3156" t="s">
        <v>2146</v>
      </c>
    </row>
    <row r="23" spans="2:12" ht="18" customHeight="1" x14ac:dyDescent="0.2">
      <c r="B23" s="1252" t="s">
        <v>372</v>
      </c>
      <c r="C23" s="2165" t="s">
        <v>2165</v>
      </c>
      <c r="D23" s="2165" t="s">
        <v>2161</v>
      </c>
      <c r="E23" s="691">
        <v>2916.5339410881302</v>
      </c>
      <c r="F23" s="1913">
        <f>I23*1000000/$E23</f>
        <v>174.44610688082034</v>
      </c>
      <c r="G23" s="1913">
        <f>J23*1000000/$E23</f>
        <v>4006.1759105619199</v>
      </c>
      <c r="H23" s="3096"/>
      <c r="I23" s="3147">
        <v>0.50877799160860016</v>
      </c>
      <c r="J23" s="691">
        <v>11.684148017123485</v>
      </c>
      <c r="K23" s="3046"/>
      <c r="L23" s="3156" t="s">
        <v>2146</v>
      </c>
    </row>
    <row r="24" spans="2:12" ht="18" customHeight="1" x14ac:dyDescent="0.2">
      <c r="B24" s="1252" t="s">
        <v>373</v>
      </c>
      <c r="C24" s="2165" t="s">
        <v>2165</v>
      </c>
      <c r="D24" s="2165" t="s">
        <v>2161</v>
      </c>
      <c r="E24" s="691">
        <v>2916.5339410881302</v>
      </c>
      <c r="F24" s="1913">
        <f t="shared" ref="F24:F26" si="0">I24*1000000/$E24</f>
        <v>892.38187714236255</v>
      </c>
      <c r="G24" s="1913">
        <f t="shared" ref="G24:G26" si="1">J24*1000000/$E24</f>
        <v>5455.6150532763631</v>
      </c>
      <c r="H24" s="1879"/>
      <c r="I24" s="691">
        <v>2.6026620330976384</v>
      </c>
      <c r="J24" s="691">
        <v>15.911486472391841</v>
      </c>
      <c r="K24" s="1914"/>
      <c r="L24" s="3093" t="str">
        <f>IF(Table1.C!E21="NO","NO",-Table1.C!E21)</f>
        <v>NO</v>
      </c>
    </row>
    <row r="25" spans="2:12" ht="18" customHeight="1" x14ac:dyDescent="0.2">
      <c r="B25" s="1252" t="s">
        <v>374</v>
      </c>
      <c r="C25" s="2165" t="s">
        <v>2276</v>
      </c>
      <c r="D25" s="2165" t="s">
        <v>2171</v>
      </c>
      <c r="E25" s="691">
        <v>24301</v>
      </c>
      <c r="F25" s="1913">
        <f t="shared" si="0"/>
        <v>20</v>
      </c>
      <c r="G25" s="1913">
        <f t="shared" si="1"/>
        <v>414.28571428571422</v>
      </c>
      <c r="H25" s="3096"/>
      <c r="I25" s="3147">
        <v>0.48602000000000001</v>
      </c>
      <c r="J25" s="691">
        <v>10.067557142857142</v>
      </c>
      <c r="K25" s="3046"/>
      <c r="L25" s="3093" t="s">
        <v>2146</v>
      </c>
    </row>
    <row r="26" spans="2:12" ht="18" customHeight="1" x14ac:dyDescent="0.2">
      <c r="B26" s="1252" t="s">
        <v>375</v>
      </c>
      <c r="C26" s="2165" t="s">
        <v>2166</v>
      </c>
      <c r="D26" s="2165" t="s">
        <v>2161</v>
      </c>
      <c r="E26" s="691">
        <v>383.25788930023498</v>
      </c>
      <c r="F26" s="1913">
        <f t="shared" si="0"/>
        <v>12789.235601757782</v>
      </c>
      <c r="G26" s="1913">
        <f t="shared" si="1"/>
        <v>230344.7312137447</v>
      </c>
      <c r="H26" s="3096"/>
      <c r="I26" s="3147">
        <v>4.9015754424931082</v>
      </c>
      <c r="J26" s="691">
        <v>88.281435496409742</v>
      </c>
      <c r="K26" s="3046"/>
      <c r="L26" s="3093" t="s">
        <v>2146</v>
      </c>
    </row>
    <row r="27" spans="2:12" ht="18" customHeight="1" x14ac:dyDescent="0.2">
      <c r="B27" s="2414" t="s">
        <v>376</v>
      </c>
      <c r="C27" s="621"/>
      <c r="D27" s="621"/>
      <c r="E27" s="628"/>
      <c r="F27" s="628"/>
      <c r="G27" s="628"/>
      <c r="H27" s="3148"/>
      <c r="I27" s="1913">
        <f>IF(SUM(I29:I31)=0,"NO",SUM(I29:I31))</f>
        <v>0.49733352600246128</v>
      </c>
      <c r="J27" s="1913">
        <f>IF(SUM(J29:J31)=0,"NO",SUM(J29:J31))</f>
        <v>17.859849123359702</v>
      </c>
      <c r="K27" s="3132"/>
      <c r="L27" s="3149" t="str">
        <f>IF(SUM(L29:L31)=0,"NO",SUM(L29:L31))</f>
        <v>NO</v>
      </c>
    </row>
    <row r="28" spans="2:12" ht="18" customHeight="1" x14ac:dyDescent="0.2">
      <c r="B28" s="2383" t="s">
        <v>345</v>
      </c>
      <c r="C28" s="2103"/>
      <c r="D28" s="2285"/>
      <c r="E28" s="3097"/>
      <c r="F28" s="3097"/>
      <c r="G28" s="3097"/>
      <c r="H28" s="3097"/>
      <c r="I28" s="3097"/>
      <c r="J28" s="3097"/>
      <c r="K28" s="3097"/>
      <c r="L28" s="3111"/>
    </row>
    <row r="29" spans="2:12" ht="18" customHeight="1" x14ac:dyDescent="0.2">
      <c r="B29" s="2415" t="s">
        <v>377</v>
      </c>
      <c r="C29" s="2165" t="s">
        <v>2167</v>
      </c>
      <c r="D29" s="2165" t="s">
        <v>2147</v>
      </c>
      <c r="E29" s="691" t="s">
        <v>2147</v>
      </c>
      <c r="F29" s="1913" t="s">
        <v>2147</v>
      </c>
      <c r="G29" s="1913" t="s">
        <v>2147</v>
      </c>
      <c r="H29" s="3148"/>
      <c r="I29" s="3150">
        <v>0.49733352600246128</v>
      </c>
      <c r="J29" s="3150">
        <v>10.468084458509702</v>
      </c>
      <c r="K29" s="3132"/>
      <c r="L29" s="3102" t="s">
        <v>2146</v>
      </c>
    </row>
    <row r="30" spans="2:12" ht="18" customHeight="1" x14ac:dyDescent="0.2">
      <c r="B30" s="2415" t="s">
        <v>378</v>
      </c>
      <c r="C30" s="2165" t="s">
        <v>2156</v>
      </c>
      <c r="D30" s="2165" t="s">
        <v>2155</v>
      </c>
      <c r="E30" s="691">
        <v>8277</v>
      </c>
      <c r="F30" s="1913" t="s">
        <v>2147</v>
      </c>
      <c r="G30" s="1913">
        <f t="shared" ref="G30" si="2">J30*1000000/$E30</f>
        <v>23.047561296363416</v>
      </c>
      <c r="H30" s="3148"/>
      <c r="I30" s="3150" t="s">
        <v>2147</v>
      </c>
      <c r="J30" s="3150">
        <v>0.19076466485000002</v>
      </c>
      <c r="K30" s="3132"/>
      <c r="L30" s="3102" t="s">
        <v>2146</v>
      </c>
    </row>
    <row r="31" spans="2:12" ht="18" customHeight="1" x14ac:dyDescent="0.2">
      <c r="B31" s="1242" t="s">
        <v>379</v>
      </c>
      <c r="C31" s="621"/>
      <c r="D31" s="621"/>
      <c r="E31" s="628"/>
      <c r="F31" s="628"/>
      <c r="G31" s="628"/>
      <c r="H31" s="3148"/>
      <c r="I31" s="1913" t="s">
        <v>2147</v>
      </c>
      <c r="J31" s="1913">
        <f>IF(SUM(J32:J34)=0,"NO",SUM(J32:J34))</f>
        <v>7.2009999999999996</v>
      </c>
      <c r="K31" s="3132"/>
      <c r="L31" s="3149" t="str">
        <f>IF(SUM(L32:L34)=0,"NO",SUM(L32:L34))</f>
        <v>NO</v>
      </c>
    </row>
    <row r="32" spans="2:12" ht="18" customHeight="1" x14ac:dyDescent="0.2">
      <c r="B32" s="2592" t="s">
        <v>2173</v>
      </c>
      <c r="C32" s="310" t="s">
        <v>2172</v>
      </c>
      <c r="D32" s="310" t="s">
        <v>2172</v>
      </c>
      <c r="E32" s="2190">
        <v>6</v>
      </c>
      <c r="F32" s="3095" t="s">
        <v>2147</v>
      </c>
      <c r="G32" s="3095">
        <f t="shared" ref="G32:G33" si="3">J32*1000000/$E32</f>
        <v>369666.66666666669</v>
      </c>
      <c r="H32" s="3148"/>
      <c r="I32" s="3150" t="s">
        <v>2147</v>
      </c>
      <c r="J32" s="3150">
        <v>2.218</v>
      </c>
      <c r="K32" s="3132"/>
      <c r="L32" s="3102" t="s">
        <v>2146</v>
      </c>
    </row>
    <row r="33" spans="2:12" ht="18" customHeight="1" x14ac:dyDescent="0.2">
      <c r="B33" s="2592" t="s">
        <v>2174</v>
      </c>
      <c r="C33" s="277" t="s">
        <v>2172</v>
      </c>
      <c r="D33" s="277" t="s">
        <v>2172</v>
      </c>
      <c r="E33" s="691">
        <v>3</v>
      </c>
      <c r="F33" s="1913" t="s">
        <v>2147</v>
      </c>
      <c r="G33" s="1913">
        <f t="shared" si="3"/>
        <v>921000</v>
      </c>
      <c r="H33" s="3096"/>
      <c r="I33" s="3147" t="s">
        <v>2147</v>
      </c>
      <c r="J33" s="3147">
        <v>2.7629999999999999</v>
      </c>
      <c r="K33" s="3046"/>
      <c r="L33" s="3093" t="s">
        <v>2146</v>
      </c>
    </row>
    <row r="34" spans="2:12" ht="18" customHeight="1" thickBot="1" x14ac:dyDescent="0.25">
      <c r="B34" s="2590" t="s">
        <v>2175</v>
      </c>
      <c r="C34" s="2591" t="s">
        <v>2172</v>
      </c>
      <c r="D34" s="2591" t="s">
        <v>2172</v>
      </c>
      <c r="E34" s="2912">
        <v>2</v>
      </c>
      <c r="F34" s="3157" t="s">
        <v>2147</v>
      </c>
      <c r="G34" s="3157">
        <f t="shared" ref="G34" si="4">J34*1000000/$E34</f>
        <v>1109999.9999999998</v>
      </c>
      <c r="H34" s="3158"/>
      <c r="I34" s="3159" t="s">
        <v>2147</v>
      </c>
      <c r="J34" s="3159">
        <v>2.2199999999999998</v>
      </c>
      <c r="K34" s="3160"/>
      <c r="L34" s="3161" t="s">
        <v>2146</v>
      </c>
    </row>
    <row r="35" spans="2:12" ht="18" customHeight="1" x14ac:dyDescent="0.2">
      <c r="B35" s="1255" t="s">
        <v>380</v>
      </c>
      <c r="C35" s="2167"/>
      <c r="D35" s="2167"/>
      <c r="E35" s="3216"/>
      <c r="F35" s="3216"/>
      <c r="G35" s="3216"/>
      <c r="H35" s="3216"/>
      <c r="I35" s="3155">
        <f>IF(SUM(I36,I40)=0,"NO",SUM(I36,I40))</f>
        <v>5407.7509020406178</v>
      </c>
      <c r="J35" s="3067">
        <f>IF(SUM(J36,J40)=0,"NO",SUM(J36,J40))</f>
        <v>58.595831788934227</v>
      </c>
      <c r="K35" s="3067">
        <f>IF(SUM(K36,K40)=0,"NO",SUM(K36,K40))</f>
        <v>6.8507161030767094E-2</v>
      </c>
      <c r="L35" s="3068" t="str">
        <f>IF(SUM(L36,L40)=0,"NO",SUM(L36,L40))</f>
        <v>NO</v>
      </c>
    </row>
    <row r="36" spans="2:12" ht="18" customHeight="1" x14ac:dyDescent="0.2">
      <c r="B36" s="1468" t="s">
        <v>381</v>
      </c>
      <c r="C36" s="2170"/>
      <c r="D36" s="2170"/>
      <c r="E36" s="3025"/>
      <c r="F36" s="3025"/>
      <c r="G36" s="3025"/>
      <c r="H36" s="3025"/>
      <c r="I36" s="3162">
        <f>IF(SUM(I37:I39)=0,"NO",SUM(I37:I39))</f>
        <v>3292.8114325962129</v>
      </c>
      <c r="J36" s="1913">
        <f>IF(SUM(J37:J39)=0,"NO",SUM(J37:J39))</f>
        <v>45.360466432287538</v>
      </c>
      <c r="K36" s="3132"/>
      <c r="L36" s="3065" t="str">
        <f>IF(SUM(L37:L39)=0,"NO",SUM(L37:L39))</f>
        <v>NO</v>
      </c>
    </row>
    <row r="37" spans="2:12" ht="18" customHeight="1" x14ac:dyDescent="0.2">
      <c r="B37" s="1470" t="s">
        <v>382</v>
      </c>
      <c r="C37" s="277" t="s">
        <v>2147</v>
      </c>
      <c r="D37" s="277" t="s">
        <v>2147</v>
      </c>
      <c r="E37" s="691" t="s">
        <v>2147</v>
      </c>
      <c r="F37" s="1913" t="s">
        <v>2147</v>
      </c>
      <c r="G37" s="1913" t="s">
        <v>2147</v>
      </c>
      <c r="H37" s="1913" t="s">
        <v>2147</v>
      </c>
      <c r="I37" s="692" t="s">
        <v>2147</v>
      </c>
      <c r="J37" s="692" t="s">
        <v>2147</v>
      </c>
      <c r="K37" s="3132"/>
      <c r="L37" s="3156" t="s">
        <v>2146</v>
      </c>
    </row>
    <row r="38" spans="2:12" ht="18" customHeight="1" x14ac:dyDescent="0.2">
      <c r="B38" s="1470" t="s">
        <v>383</v>
      </c>
      <c r="C38" s="277" t="s">
        <v>2147</v>
      </c>
      <c r="D38" s="277" t="s">
        <v>2147</v>
      </c>
      <c r="E38" s="691" t="s">
        <v>2147</v>
      </c>
      <c r="F38" s="1913" t="s">
        <v>2147</v>
      </c>
      <c r="G38" s="1913" t="s">
        <v>2147</v>
      </c>
      <c r="H38" s="1913" t="s">
        <v>2147</v>
      </c>
      <c r="I38" s="692" t="s">
        <v>2147</v>
      </c>
      <c r="J38" s="692" t="s">
        <v>2147</v>
      </c>
      <c r="K38" s="3132"/>
      <c r="L38" s="3156" t="s">
        <v>2146</v>
      </c>
    </row>
    <row r="39" spans="2:12" ht="18" customHeight="1" x14ac:dyDescent="0.2">
      <c r="B39" s="1470" t="s">
        <v>384</v>
      </c>
      <c r="C39" s="277" t="s">
        <v>2168</v>
      </c>
      <c r="D39" s="277" t="s">
        <v>2161</v>
      </c>
      <c r="E39" s="691">
        <f>SUM(E24,E12)</f>
        <v>3773.1389410881302</v>
      </c>
      <c r="F39" s="1913">
        <f t="shared" ref="F39" si="5">SUM(I39,L39)*1000000/$E39</f>
        <v>872698.16564099374</v>
      </c>
      <c r="G39" s="1913">
        <f t="shared" ref="G39" si="6">J39*1000000/$E39</f>
        <v>12021.944365294456</v>
      </c>
      <c r="H39" s="1913">
        <f t="shared" ref="H39" si="7">K39*1000000/$E39</f>
        <v>0</v>
      </c>
      <c r="I39" s="691">
        <v>3292.8114325962129</v>
      </c>
      <c r="J39" s="691">
        <v>45.360466432287538</v>
      </c>
      <c r="K39" s="3132"/>
      <c r="L39" s="3093" t="s">
        <v>2146</v>
      </c>
    </row>
    <row r="40" spans="2:12" ht="18" customHeight="1" x14ac:dyDescent="0.2">
      <c r="B40" s="1468" t="s">
        <v>385</v>
      </c>
      <c r="C40" s="2170"/>
      <c r="D40" s="2170"/>
      <c r="E40" s="3025"/>
      <c r="F40" s="3025"/>
      <c r="G40" s="3025"/>
      <c r="H40" s="3025"/>
      <c r="I40" s="3162">
        <f>IF(SUM(I41:I43)=0,"NO",SUM(I41:I43))</f>
        <v>2114.9394694444045</v>
      </c>
      <c r="J40" s="3162">
        <f>IF(SUM(J41:J43)=0,"NO",SUM(J41:J43))</f>
        <v>13.235365356646691</v>
      </c>
      <c r="K40" s="1913">
        <f>IF(SUM(K41:K43)=0,"NO",SUM(K41:K43))</f>
        <v>6.8507161030767094E-2</v>
      </c>
      <c r="L40" s="3065" t="str">
        <f>IF(SUM(L41:L43)=0,"NO",SUM(L41:L43))</f>
        <v>NO</v>
      </c>
    </row>
    <row r="41" spans="2:12" ht="18" customHeight="1" x14ac:dyDescent="0.2">
      <c r="B41" s="1470" t="s">
        <v>386</v>
      </c>
      <c r="C41" s="277" t="s">
        <v>2169</v>
      </c>
      <c r="D41" s="277" t="s">
        <v>2170</v>
      </c>
      <c r="E41" s="691">
        <v>318.05917307608541</v>
      </c>
      <c r="F41" s="1913">
        <f t="shared" ref="F41:F42" si="8">SUM(I41,L41)*1000000/$E41</f>
        <v>2899999.9999999995</v>
      </c>
      <c r="G41" s="1913">
        <f t="shared" ref="G41:H42" si="9">J41*1000000/$E41</f>
        <v>35000.000000000007</v>
      </c>
      <c r="H41" s="1913">
        <f t="shared" si="9"/>
        <v>81</v>
      </c>
      <c r="I41" s="692">
        <v>922.37160192064766</v>
      </c>
      <c r="J41" s="692">
        <v>11.132071057662992</v>
      </c>
      <c r="K41" s="692">
        <v>2.576279301916292E-2</v>
      </c>
      <c r="L41" s="3156" t="s">
        <v>2146</v>
      </c>
    </row>
    <row r="42" spans="2:12" ht="18" customHeight="1" x14ac:dyDescent="0.2">
      <c r="B42" s="1470" t="s">
        <v>387</v>
      </c>
      <c r="C42" s="277" t="s">
        <v>2169</v>
      </c>
      <c r="D42" s="277" t="s">
        <v>2170</v>
      </c>
      <c r="E42" s="691">
        <v>25587.3936460974</v>
      </c>
      <c r="F42" s="1913">
        <f t="shared" si="8"/>
        <v>46607.633587786215</v>
      </c>
      <c r="G42" s="1913">
        <f t="shared" si="9"/>
        <v>82.20041197140425</v>
      </c>
      <c r="H42" s="1913">
        <f t="shared" si="9"/>
        <v>1.6705245013543444</v>
      </c>
      <c r="I42" s="691">
        <v>1192.5678675237568</v>
      </c>
      <c r="J42" s="691">
        <v>2.1032942989836978</v>
      </c>
      <c r="K42" s="691">
        <v>4.2744368011604181E-2</v>
      </c>
      <c r="L42" s="3093" t="s">
        <v>2146</v>
      </c>
    </row>
    <row r="43" spans="2:12" ht="18" customHeight="1" thickBot="1" x14ac:dyDescent="0.25">
      <c r="B43" s="1471" t="s">
        <v>388</v>
      </c>
      <c r="C43" s="304" t="s">
        <v>2147</v>
      </c>
      <c r="D43" s="304" t="s">
        <v>2147</v>
      </c>
      <c r="E43" s="1559" t="s">
        <v>2147</v>
      </c>
      <c r="F43" s="2880" t="s">
        <v>2147</v>
      </c>
      <c r="G43" s="2880" t="s">
        <v>2147</v>
      </c>
      <c r="H43" s="2880" t="s">
        <v>2147</v>
      </c>
      <c r="I43" s="1559" t="s">
        <v>2147</v>
      </c>
      <c r="J43" s="1559" t="s">
        <v>2147</v>
      </c>
      <c r="K43" s="1559" t="s">
        <v>2147</v>
      </c>
      <c r="L43" s="3163" t="s">
        <v>2147</v>
      </c>
    </row>
    <row r="44" spans="2:12" ht="18" customHeight="1" x14ac:dyDescent="0.2">
      <c r="B44" s="1255" t="s">
        <v>2068</v>
      </c>
      <c r="C44" s="2051"/>
      <c r="D44" s="2051"/>
      <c r="E44" s="3143"/>
      <c r="F44" s="3144"/>
      <c r="G44" s="3144"/>
      <c r="H44" s="3144"/>
      <c r="I44" s="3145" t="str">
        <f>I45</f>
        <v>NA</v>
      </c>
      <c r="J44" s="3145" t="str">
        <f t="shared" ref="J44:K44" si="10">J45</f>
        <v>NA</v>
      </c>
      <c r="K44" s="3145" t="str">
        <f t="shared" si="10"/>
        <v>NA</v>
      </c>
      <c r="L44" s="3164" t="str">
        <f>L45</f>
        <v>NA</v>
      </c>
    </row>
    <row r="45" spans="2:12" ht="18" customHeight="1" thickBot="1" x14ac:dyDescent="0.25">
      <c r="B45" s="2589" t="s">
        <v>2147</v>
      </c>
      <c r="C45" s="304" t="s">
        <v>2147</v>
      </c>
      <c r="D45" s="304" t="s">
        <v>2147</v>
      </c>
      <c r="E45" s="1559" t="s">
        <v>2147</v>
      </c>
      <c r="F45" s="2880" t="s">
        <v>2147</v>
      </c>
      <c r="G45" s="2880" t="s">
        <v>2147</v>
      </c>
      <c r="H45" s="2880" t="s">
        <v>2147</v>
      </c>
      <c r="I45" s="1559" t="s">
        <v>2147</v>
      </c>
      <c r="J45" s="1559" t="s">
        <v>2147</v>
      </c>
      <c r="K45" s="1559" t="s">
        <v>2147</v>
      </c>
      <c r="L45" s="3163" t="s">
        <v>2147</v>
      </c>
    </row>
    <row r="46" spans="2:12" ht="12" customHeight="1" x14ac:dyDescent="0.2">
      <c r="B46" s="8"/>
      <c r="C46" s="8"/>
      <c r="D46" s="8"/>
      <c r="E46" s="8"/>
      <c r="F46" s="8"/>
      <c r="G46" s="8"/>
      <c r="H46" s="8"/>
      <c r="I46" s="8"/>
      <c r="J46" s="8"/>
      <c r="K46" s="8"/>
    </row>
    <row r="47" spans="2:12" ht="12" customHeight="1" x14ac:dyDescent="0.2">
      <c r="B47" s="72"/>
      <c r="C47" s="72"/>
      <c r="D47" s="72"/>
      <c r="E47" s="72"/>
      <c r="F47" s="72"/>
      <c r="G47" s="72"/>
      <c r="H47" s="72"/>
      <c r="I47" s="72"/>
      <c r="J47" s="72"/>
      <c r="K47" s="72"/>
    </row>
    <row r="48" spans="2:12" ht="12" customHeight="1" x14ac:dyDescent="0.2">
      <c r="B48" s="994"/>
      <c r="C48" s="994"/>
      <c r="D48" s="994"/>
    </row>
    <row r="49" spans="2:12" ht="12" customHeight="1" x14ac:dyDescent="0.2">
      <c r="B49" s="994"/>
      <c r="C49" s="994"/>
      <c r="F49" t="s">
        <v>389</v>
      </c>
    </row>
    <row r="50" spans="2:12" s="84" customFormat="1" ht="12" customHeight="1" x14ac:dyDescent="0.2">
      <c r="B50" s="173"/>
      <c r="C50" s="173"/>
      <c r="L50"/>
    </row>
    <row r="51" spans="2:12" ht="12" customHeight="1" x14ac:dyDescent="0.2">
      <c r="B51" s="994"/>
      <c r="C51" s="994"/>
      <c r="D51" s="994"/>
      <c r="E51" s="994"/>
    </row>
    <row r="52" spans="2:12" ht="12" customHeight="1" x14ac:dyDescent="0.2">
      <c r="B52" s="994"/>
      <c r="C52" s="994"/>
      <c r="D52" s="994"/>
      <c r="E52" s="994"/>
      <c r="F52" s="994"/>
      <c r="G52" s="994"/>
      <c r="H52" s="994"/>
      <c r="I52" s="994"/>
    </row>
    <row r="53" spans="2:12" ht="12" customHeight="1" x14ac:dyDescent="0.2">
      <c r="B53" s="994"/>
      <c r="C53" s="994"/>
      <c r="D53" s="994"/>
      <c r="E53" s="994"/>
    </row>
    <row r="54" spans="2:12" ht="12" customHeight="1" x14ac:dyDescent="0.2">
      <c r="B54" s="994"/>
      <c r="C54" s="994"/>
      <c r="D54" s="994"/>
      <c r="E54" s="994"/>
    </row>
    <row r="55" spans="2:12" ht="12" customHeight="1" x14ac:dyDescent="0.2">
      <c r="B55" s="994"/>
      <c r="C55" s="994"/>
      <c r="D55" s="994"/>
      <c r="E55" s="994"/>
    </row>
    <row r="56" spans="2:12" ht="12" customHeight="1" x14ac:dyDescent="0.2">
      <c r="B56" s="994"/>
      <c r="C56" s="994"/>
      <c r="D56" s="994"/>
      <c r="E56" s="994"/>
    </row>
    <row r="57" spans="2:12" ht="12" customHeight="1" x14ac:dyDescent="0.2">
      <c r="B57" s="994"/>
      <c r="C57" s="994"/>
      <c r="D57" s="994"/>
      <c r="L57" s="2172"/>
    </row>
    <row r="58" spans="2:12" ht="12" customHeight="1" x14ac:dyDescent="0.2">
      <c r="B58" s="994"/>
      <c r="C58" s="994"/>
      <c r="D58" s="994"/>
      <c r="L58" s="2172"/>
    </row>
    <row r="59" spans="2:12" ht="12" customHeight="1" x14ac:dyDescent="0.2">
      <c r="B59" s="994"/>
      <c r="C59" s="994"/>
      <c r="D59" s="994"/>
      <c r="L59" s="2172"/>
    </row>
    <row r="60" spans="2:12" ht="12" customHeight="1" x14ac:dyDescent="0.2">
      <c r="B60" s="994"/>
      <c r="C60" s="994"/>
      <c r="D60" s="994"/>
      <c r="L60" s="2172"/>
    </row>
    <row r="61" spans="2:12" ht="12" customHeight="1" thickBot="1" x14ac:dyDescent="0.25">
      <c r="B61" s="994"/>
      <c r="C61" s="994"/>
      <c r="D61" s="994"/>
      <c r="L61" s="2172"/>
    </row>
    <row r="62" spans="2:12" ht="12" customHeight="1" x14ac:dyDescent="0.2">
      <c r="B62" s="223" t="s">
        <v>390</v>
      </c>
      <c r="C62" s="224"/>
      <c r="D62" s="224"/>
      <c r="E62" s="224"/>
      <c r="F62" s="224"/>
      <c r="G62" s="224"/>
      <c r="H62" s="224"/>
      <c r="I62" s="224"/>
      <c r="J62" s="224"/>
      <c r="K62" s="224"/>
      <c r="L62" s="225"/>
    </row>
    <row r="63" spans="2:12" ht="12" customHeight="1" x14ac:dyDescent="0.2">
      <c r="B63" s="1460"/>
      <c r="C63" s="1461"/>
      <c r="D63" s="1461"/>
      <c r="E63" s="1461"/>
      <c r="F63" s="1461"/>
      <c r="G63" s="1461"/>
      <c r="H63" s="1461"/>
      <c r="I63" s="1461"/>
      <c r="J63" s="1461"/>
      <c r="K63" s="1461"/>
      <c r="L63" s="1462"/>
    </row>
    <row r="64" spans="2:12" ht="12" customHeight="1" x14ac:dyDescent="0.2">
      <c r="B64" s="2173"/>
      <c r="C64" s="2174"/>
      <c r="D64" s="2174"/>
      <c r="E64" s="2174"/>
      <c r="F64" s="2174"/>
      <c r="G64" s="2174"/>
      <c r="H64" s="2174"/>
      <c r="I64" s="2174"/>
      <c r="J64" s="2174"/>
      <c r="K64" s="2174"/>
      <c r="L64" s="2175"/>
    </row>
    <row r="65" spans="2:12" ht="12" customHeight="1" x14ac:dyDescent="0.2">
      <c r="B65" s="2173"/>
      <c r="C65" s="2174"/>
      <c r="D65" s="2174"/>
      <c r="E65" s="2174"/>
      <c r="F65" s="2174"/>
      <c r="G65" s="2174"/>
      <c r="H65" s="2174"/>
      <c r="I65" s="2174"/>
      <c r="J65" s="2174"/>
      <c r="K65" s="2174"/>
      <c r="L65" s="2175"/>
    </row>
    <row r="66" spans="2:12" ht="12" customHeight="1" x14ac:dyDescent="0.2">
      <c r="B66" s="2173"/>
      <c r="C66" s="2174"/>
      <c r="D66" s="2174"/>
      <c r="E66" s="2174"/>
      <c r="F66" s="2174"/>
      <c r="G66" s="2174"/>
      <c r="H66" s="2174"/>
      <c r="I66" s="2174"/>
      <c r="J66" s="2174"/>
      <c r="K66" s="2174"/>
      <c r="L66" s="2175"/>
    </row>
    <row r="67" spans="2:12" ht="12" customHeight="1" x14ac:dyDescent="0.2">
      <c r="B67" s="2173"/>
      <c r="C67" s="2174"/>
      <c r="D67" s="2174"/>
      <c r="E67" s="2174"/>
      <c r="F67" s="2174"/>
      <c r="G67" s="2174"/>
      <c r="H67" s="2174"/>
      <c r="I67" s="2174"/>
      <c r="J67" s="2174"/>
      <c r="K67" s="2174"/>
      <c r="L67" s="2175"/>
    </row>
    <row r="68" spans="2:12" ht="12" customHeight="1" x14ac:dyDescent="0.2">
      <c r="B68" s="2173"/>
      <c r="C68" s="2174"/>
      <c r="D68" s="2174"/>
      <c r="E68" s="2174"/>
      <c r="F68" s="2174"/>
      <c r="G68" s="2174"/>
      <c r="H68" s="2174"/>
      <c r="I68" s="2174"/>
      <c r="J68" s="2174"/>
      <c r="K68" s="2174"/>
      <c r="L68" s="2175"/>
    </row>
    <row r="69" spans="2:12" ht="12" customHeight="1" thickBot="1" x14ac:dyDescent="0.25">
      <c r="B69" s="2176"/>
      <c r="C69" s="2177"/>
      <c r="D69" s="2177"/>
      <c r="E69" s="2177"/>
      <c r="F69" s="2177"/>
      <c r="G69" s="2177"/>
      <c r="H69" s="2177"/>
      <c r="I69" s="2177"/>
      <c r="J69" s="2177"/>
      <c r="K69" s="2177"/>
      <c r="L69" s="2178"/>
    </row>
    <row r="70" spans="2:12" ht="50.25" customHeight="1" thickBot="1" x14ac:dyDescent="0.25">
      <c r="B70" s="4480" t="s">
        <v>2176</v>
      </c>
      <c r="C70" s="4481"/>
      <c r="D70" s="4481"/>
      <c r="E70" s="4481"/>
      <c r="F70" s="4481"/>
      <c r="G70" s="4481"/>
      <c r="H70" s="4481"/>
      <c r="I70" s="4481"/>
      <c r="J70" s="4481"/>
      <c r="K70" s="4481"/>
      <c r="L70" s="4482"/>
    </row>
    <row r="71" spans="2:12" ht="12" customHeight="1" x14ac:dyDescent="0.2">
      <c r="B71" s="1"/>
      <c r="C71" s="1"/>
      <c r="D71" s="1"/>
      <c r="E71" s="1"/>
      <c r="F71" s="1"/>
      <c r="G71" s="1"/>
      <c r="H71" s="1"/>
      <c r="I71" s="1"/>
      <c r="J71" s="1"/>
      <c r="K71" s="1"/>
    </row>
  </sheetData>
  <mergeCells count="1">
    <mergeCell ref="B70:L70"/>
  </mergeCells>
  <dataValidations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showGridLines="0" zoomScale="80" zoomScaleNormal="80" workbookViewId="0">
      <pane xSplit="2" ySplit="9" topLeftCell="E10" activePane="bottomRight" state="frozen"/>
      <selection pane="topRight" activeCell="C1" sqref="C1"/>
      <selection pane="bottomLeft" activeCell="A10" sqref="A10"/>
      <selection pane="bottomRight" activeCell="E21" sqref="E21"/>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391</v>
      </c>
      <c r="C1" s="209"/>
      <c r="E1" s="14" t="s">
        <v>2521</v>
      </c>
    </row>
    <row r="2" spans="1:10" ht="17.25" x14ac:dyDescent="0.3">
      <c r="B2" s="115" t="s">
        <v>392</v>
      </c>
      <c r="E2" s="14" t="s">
        <v>2522</v>
      </c>
    </row>
    <row r="3" spans="1:10" ht="15.75" x14ac:dyDescent="0.25">
      <c r="B3" s="115" t="s">
        <v>62</v>
      </c>
      <c r="E3" s="14" t="s">
        <v>2144</v>
      </c>
    </row>
    <row r="4" spans="1:10" ht="12" customHeight="1" x14ac:dyDescent="0.25">
      <c r="B4" s="115"/>
      <c r="E4" s="2"/>
    </row>
    <row r="5" spans="1:10" ht="12" customHeight="1" x14ac:dyDescent="0.25">
      <c r="B5" s="115"/>
      <c r="E5" s="2"/>
    </row>
    <row r="6" spans="1:10" ht="13.5" thickBot="1" x14ac:dyDescent="0.25">
      <c r="B6" s="2446" t="s">
        <v>64</v>
      </c>
    </row>
    <row r="7" spans="1:10" x14ac:dyDescent="0.2">
      <c r="B7" s="223" t="s">
        <v>326</v>
      </c>
      <c r="C7" s="2155" t="s">
        <v>327</v>
      </c>
      <c r="D7" s="2156" t="s">
        <v>356</v>
      </c>
      <c r="E7" s="2157" t="s">
        <v>124</v>
      </c>
    </row>
    <row r="8" spans="1:10" ht="14.25" x14ac:dyDescent="0.2">
      <c r="B8" s="1318" t="s">
        <v>328</v>
      </c>
      <c r="C8" s="1827" t="s">
        <v>393</v>
      </c>
      <c r="D8" s="1856" t="s">
        <v>66</v>
      </c>
      <c r="E8" s="2158" t="s">
        <v>360</v>
      </c>
    </row>
    <row r="9" spans="1:10" ht="12" customHeight="1" thickBot="1" x14ac:dyDescent="0.25">
      <c r="A9"/>
      <c r="B9" s="2094"/>
      <c r="C9" s="268" t="s">
        <v>73</v>
      </c>
      <c r="D9" s="1747" t="s">
        <v>394</v>
      </c>
      <c r="E9" s="2159" t="s">
        <v>73</v>
      </c>
    </row>
    <row r="10" spans="1:10" ht="18" customHeight="1" thickTop="1" x14ac:dyDescent="0.2">
      <c r="B10" s="1256" t="s">
        <v>395</v>
      </c>
      <c r="C10" s="3025"/>
      <c r="D10" s="3025"/>
      <c r="E10" s="420" t="s">
        <v>2146</v>
      </c>
    </row>
    <row r="11" spans="1:10" ht="18" customHeight="1" x14ac:dyDescent="0.2">
      <c r="B11" s="1239" t="s">
        <v>396</v>
      </c>
      <c r="C11" s="3045" t="str">
        <f>IF(E21=0,"NO",E21)</f>
        <v>NO</v>
      </c>
      <c r="D11" s="1913" t="s">
        <v>2147</v>
      </c>
      <c r="E11" s="3061" t="s">
        <v>2146</v>
      </c>
    </row>
    <row r="12" spans="1:10" ht="18" customHeight="1" x14ac:dyDescent="0.2">
      <c r="B12" s="1239" t="s">
        <v>397</v>
      </c>
      <c r="C12" s="3045" t="s">
        <v>2146</v>
      </c>
      <c r="D12" s="1913" t="s">
        <v>2147</v>
      </c>
      <c r="E12" s="3061" t="s">
        <v>2146</v>
      </c>
    </row>
    <row r="13" spans="1:10" ht="18" customHeight="1" x14ac:dyDescent="0.2">
      <c r="B13" s="1239" t="s">
        <v>398</v>
      </c>
      <c r="C13" s="1913" t="str">
        <f>C14</f>
        <v>NA</v>
      </c>
      <c r="D13" s="1913" t="str">
        <f>D14</f>
        <v>NA</v>
      </c>
      <c r="E13" s="3085" t="str">
        <f>E14</f>
        <v>NA</v>
      </c>
    </row>
    <row r="14" spans="1:10" ht="18" customHeight="1" x14ac:dyDescent="0.2">
      <c r="B14" s="2238" t="s">
        <v>2147</v>
      </c>
      <c r="C14" s="3045" t="s">
        <v>2147</v>
      </c>
      <c r="D14" s="1913" t="s">
        <v>2147</v>
      </c>
      <c r="E14" s="3061" t="s">
        <v>2147</v>
      </c>
    </row>
    <row r="15" spans="1:10" ht="18" customHeight="1" x14ac:dyDescent="0.2">
      <c r="B15" s="1257" t="s">
        <v>399</v>
      </c>
      <c r="C15" s="1914"/>
      <c r="D15" s="1914"/>
      <c r="E15" s="3085" t="str">
        <f>E16</f>
        <v>NO</v>
      </c>
      <c r="J15" s="125"/>
    </row>
    <row r="16" spans="1:10" ht="18" customHeight="1" x14ac:dyDescent="0.2">
      <c r="B16" s="1239" t="s">
        <v>400</v>
      </c>
      <c r="C16" s="3045" t="str">
        <f>IF(E21=0,"NO",E21)</f>
        <v>NO</v>
      </c>
      <c r="D16" s="1913" t="str">
        <f>IFERROR(IF(E16=0,"NA",E16*1000000/C16),"NA")</f>
        <v>NA</v>
      </c>
      <c r="E16" s="3061" t="s">
        <v>2146</v>
      </c>
    </row>
    <row r="17" spans="2:5" ht="18" customHeight="1" x14ac:dyDescent="0.2">
      <c r="B17" s="1239" t="s">
        <v>401</v>
      </c>
      <c r="C17" s="3166" t="str">
        <f>IF(SUM(E21)=0,"NO",E21-E16)</f>
        <v>NO</v>
      </c>
      <c r="D17" s="1913" t="s">
        <v>2147</v>
      </c>
      <c r="E17" s="3165" t="s">
        <v>2146</v>
      </c>
    </row>
    <row r="18" spans="2:5" ht="18" customHeight="1" x14ac:dyDescent="0.2">
      <c r="B18" s="2298" t="s">
        <v>402</v>
      </c>
      <c r="C18" s="1913" t="str">
        <f>C19</f>
        <v>NA</v>
      </c>
      <c r="D18" s="1913" t="str">
        <f>D19</f>
        <v>NA</v>
      </c>
      <c r="E18" s="3085" t="str">
        <f>E19</f>
        <v>NA</v>
      </c>
    </row>
    <row r="19" spans="2:5" ht="18" customHeight="1" thickBot="1" x14ac:dyDescent="0.25">
      <c r="B19" s="2593" t="s">
        <v>2147</v>
      </c>
      <c r="C19" s="3167" t="s">
        <v>2147</v>
      </c>
      <c r="D19" s="3168" t="s">
        <v>2147</v>
      </c>
      <c r="E19" s="3169" t="s">
        <v>2147</v>
      </c>
    </row>
    <row r="20" spans="2:5" ht="18" customHeight="1" thickBot="1" x14ac:dyDescent="0.25">
      <c r="B20" s="2381" t="s">
        <v>403</v>
      </c>
      <c r="C20" s="3170"/>
      <c r="D20" s="3170"/>
      <c r="E20" s="3171"/>
    </row>
    <row r="21" spans="2:5" ht="18" customHeight="1" x14ac:dyDescent="0.2">
      <c r="B21" s="2382" t="s">
        <v>404</v>
      </c>
      <c r="C21" s="3172"/>
      <c r="D21" s="3172"/>
      <c r="E21" s="3061" t="s">
        <v>2146</v>
      </c>
    </row>
    <row r="22" spans="2:5" ht="18" customHeight="1" x14ac:dyDescent="0.2">
      <c r="B22" s="1257" t="s">
        <v>405</v>
      </c>
      <c r="C22" s="3173"/>
      <c r="D22" s="3173"/>
      <c r="E22" s="3061" t="s">
        <v>2146</v>
      </c>
    </row>
    <row r="23" spans="2:5" ht="18" customHeight="1" x14ac:dyDescent="0.2">
      <c r="B23" s="2160"/>
      <c r="C23" s="3174"/>
      <c r="D23" s="3175" t="s">
        <v>406</v>
      </c>
      <c r="E23" s="3085" t="str">
        <f>IF(SUM(E21:E22)=0,"NO",SUM(E21:E22))</f>
        <v>NO</v>
      </c>
    </row>
    <row r="24" spans="2:5" ht="18" customHeight="1" x14ac:dyDescent="0.2">
      <c r="B24" s="1257" t="s">
        <v>407</v>
      </c>
      <c r="C24" s="3173"/>
      <c r="D24" s="3173"/>
      <c r="E24" s="3061" t="s">
        <v>2146</v>
      </c>
    </row>
    <row r="25" spans="2:5" ht="18" customHeight="1" x14ac:dyDescent="0.2">
      <c r="B25" s="1257" t="s">
        <v>408</v>
      </c>
      <c r="C25" s="3173"/>
      <c r="D25" s="3173"/>
      <c r="E25" s="3061" t="str">
        <f>C17</f>
        <v>NO</v>
      </c>
    </row>
    <row r="26" spans="2:5" ht="18" customHeight="1" x14ac:dyDescent="0.2">
      <c r="B26" s="1257" t="s">
        <v>409</v>
      </c>
      <c r="C26" s="3173"/>
      <c r="D26" s="3173"/>
      <c r="E26" s="3061" t="s">
        <v>2146</v>
      </c>
    </row>
    <row r="27" spans="2:5" ht="18" customHeight="1" x14ac:dyDescent="0.2">
      <c r="B27" s="1051" t="s">
        <v>410</v>
      </c>
      <c r="C27" s="3173"/>
      <c r="D27" s="3173"/>
      <c r="E27" s="3061" t="str">
        <f>E16</f>
        <v>NO</v>
      </c>
    </row>
    <row r="28" spans="2:5" ht="18" customHeight="1" x14ac:dyDescent="0.2">
      <c r="B28" s="2161"/>
      <c r="C28" s="3176"/>
      <c r="D28" s="3177" t="s">
        <v>411</v>
      </c>
      <c r="E28" s="3085" t="str">
        <f>IF(SUM(E24:E27)=0,"NO",SUM(E24:E27))</f>
        <v>NO</v>
      </c>
    </row>
    <row r="29" spans="2:5" ht="18" customHeight="1" thickBot="1" x14ac:dyDescent="0.25">
      <c r="B29" s="2162"/>
      <c r="C29" s="3178"/>
      <c r="D29" s="3179" t="s">
        <v>412</v>
      </c>
      <c r="E29" s="1173" t="str">
        <f>IF(E23="NO","NA",E23-E28)</f>
        <v>NA</v>
      </c>
    </row>
    <row r="30" spans="2:5" ht="12" customHeight="1" x14ac:dyDescent="0.2"/>
    <row r="31" spans="2:5" ht="12" customHeight="1" x14ac:dyDescent="0.2">
      <c r="B31" s="989"/>
      <c r="C31" s="989"/>
      <c r="D31" s="1034"/>
      <c r="E31" s="1034"/>
    </row>
    <row r="32" spans="2:5" ht="12" customHeight="1" x14ac:dyDescent="0.2">
      <c r="B32" s="989"/>
      <c r="C32" s="989"/>
      <c r="D32" s="1034"/>
      <c r="E32" s="1034"/>
    </row>
    <row r="33" spans="2:14" ht="12" customHeight="1" x14ac:dyDescent="0.2">
      <c r="B33" s="1026"/>
      <c r="C33" s="1035"/>
      <c r="D33" s="1035"/>
      <c r="E33" s="1035"/>
      <c r="N33" s="110" t="s">
        <v>413</v>
      </c>
    </row>
    <row r="34" spans="2:14" ht="12" customHeight="1" x14ac:dyDescent="0.2">
      <c r="B34" s="989"/>
      <c r="C34" s="989"/>
      <c r="D34" s="989"/>
      <c r="E34" s="989"/>
    </row>
    <row r="35" spans="2:14" ht="12" customHeight="1" x14ac:dyDescent="0.2">
      <c r="B35" s="989"/>
      <c r="C35" s="989"/>
      <c r="D35" s="989"/>
      <c r="E35" s="989"/>
    </row>
    <row r="36" spans="2:14" ht="12" customHeight="1" x14ac:dyDescent="0.2">
      <c r="B36" s="989"/>
      <c r="C36" s="989"/>
      <c r="D36" s="989"/>
      <c r="E36" s="989"/>
    </row>
    <row r="37" spans="2:14" ht="12" customHeight="1" x14ac:dyDescent="0.2">
      <c r="B37" s="989"/>
      <c r="C37" s="989"/>
      <c r="D37" s="989"/>
      <c r="E37" s="989"/>
    </row>
    <row r="38" spans="2:14" ht="12" customHeight="1" x14ac:dyDescent="0.2">
      <c r="B38" s="989"/>
      <c r="C38" s="989"/>
      <c r="D38" s="989"/>
      <c r="E38" s="989"/>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390</v>
      </c>
      <c r="C48" s="224"/>
      <c r="D48" s="224"/>
      <c r="E48" s="225"/>
    </row>
    <row r="49" spans="2:5" ht="12" customHeight="1" x14ac:dyDescent="0.2">
      <c r="B49" s="1318"/>
      <c r="C49" s="1319"/>
      <c r="D49" s="1319"/>
      <c r="E49" s="1320"/>
    </row>
    <row r="50" spans="2:5" ht="12" customHeight="1" x14ac:dyDescent="0.2">
      <c r="B50" s="1318"/>
      <c r="C50" s="1319"/>
      <c r="D50" s="1319"/>
      <c r="E50" s="1320"/>
    </row>
    <row r="51" spans="2:5" ht="12" customHeight="1" x14ac:dyDescent="0.2">
      <c r="B51" s="1318"/>
      <c r="C51" s="1319"/>
      <c r="D51" s="1319"/>
      <c r="E51" s="1320"/>
    </row>
    <row r="52" spans="2:5" ht="12" customHeight="1" x14ac:dyDescent="0.2">
      <c r="B52" s="1054"/>
      <c r="C52" s="1055"/>
      <c r="D52" s="1055"/>
      <c r="E52" s="1056"/>
    </row>
    <row r="53" spans="2:5" ht="12" customHeight="1" thickBot="1" x14ac:dyDescent="0.25">
      <c r="B53" s="2410"/>
      <c r="C53" s="2411" t="s">
        <v>414</v>
      </c>
      <c r="D53" s="2412"/>
      <c r="E53" s="2413"/>
    </row>
  </sheetData>
  <phoneticPr fontId="49" type="noConversion"/>
  <dataValidations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showGridLines="0" zoomScale="80" zoomScaleNormal="80" workbookViewId="0">
      <selection activeCell="C11" sqref="C11"/>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415</v>
      </c>
      <c r="C1" s="209"/>
      <c r="D1" s="209"/>
      <c r="I1" s="2"/>
      <c r="M1" s="14" t="s">
        <v>2521</v>
      </c>
    </row>
    <row r="2" spans="1:13" ht="15.75" customHeight="1" x14ac:dyDescent="0.25">
      <c r="B2" s="211" t="s">
        <v>416</v>
      </c>
      <c r="C2" s="211"/>
      <c r="D2" s="211"/>
      <c r="E2" s="211"/>
      <c r="F2" s="211"/>
      <c r="G2" s="211"/>
      <c r="I2" s="2"/>
      <c r="M2" s="14" t="s">
        <v>2522</v>
      </c>
    </row>
    <row r="3" spans="1:13" ht="15.75" customHeight="1" x14ac:dyDescent="0.25">
      <c r="B3" s="115" t="s">
        <v>62</v>
      </c>
      <c r="I3" s="2"/>
      <c r="L3" s="2"/>
      <c r="M3" s="14" t="s">
        <v>2144</v>
      </c>
    </row>
    <row r="4" spans="1:13" ht="12" customHeight="1" x14ac:dyDescent="0.25">
      <c r="B4" s="115"/>
      <c r="I4" s="2"/>
      <c r="L4" s="2"/>
      <c r="M4" s="2"/>
    </row>
    <row r="5" spans="1:13" ht="12" customHeight="1" x14ac:dyDescent="0.25">
      <c r="B5" s="115"/>
      <c r="I5" s="2"/>
      <c r="L5" s="2"/>
      <c r="M5" s="2"/>
    </row>
    <row r="6" spans="1:13" ht="12.75" customHeight="1" thickBot="1" x14ac:dyDescent="0.25">
      <c r="B6" s="2446" t="s">
        <v>64</v>
      </c>
      <c r="K6" s="10" t="s">
        <v>417</v>
      </c>
    </row>
    <row r="7" spans="1:13" ht="14.25" customHeight="1" x14ac:dyDescent="0.2">
      <c r="B7" s="124" t="s">
        <v>418</v>
      </c>
      <c r="C7" s="53" t="s">
        <v>419</v>
      </c>
      <c r="D7" s="201" t="s">
        <v>123</v>
      </c>
      <c r="E7" s="202"/>
      <c r="F7" s="180"/>
      <c r="G7" s="201" t="s">
        <v>124</v>
      </c>
      <c r="H7" s="202"/>
      <c r="I7" s="181"/>
      <c r="J7" s="4"/>
      <c r="K7" s="58" t="s">
        <v>420</v>
      </c>
      <c r="L7" s="201" t="s">
        <v>421</v>
      </c>
      <c r="M7" s="181"/>
    </row>
    <row r="8" spans="1:13" ht="13.5" customHeight="1" x14ac:dyDescent="0.2">
      <c r="B8" s="46" t="s">
        <v>422</v>
      </c>
      <c r="C8" s="59" t="s">
        <v>125</v>
      </c>
      <c r="D8" s="60" t="s">
        <v>423</v>
      </c>
      <c r="E8" s="61" t="s">
        <v>424</v>
      </c>
      <c r="F8" s="62" t="s">
        <v>425</v>
      </c>
      <c r="G8" s="60" t="s">
        <v>423</v>
      </c>
      <c r="H8" s="61" t="s">
        <v>424</v>
      </c>
      <c r="I8" s="63" t="s">
        <v>425</v>
      </c>
      <c r="J8" s="4"/>
      <c r="K8" s="64" t="s">
        <v>426</v>
      </c>
      <c r="L8" s="65" t="s">
        <v>427</v>
      </c>
      <c r="M8" s="7" t="s">
        <v>428</v>
      </c>
    </row>
    <row r="9" spans="1:13" ht="18" customHeight="1" thickBot="1" x14ac:dyDescent="0.25">
      <c r="A9"/>
      <c r="B9" s="66"/>
      <c r="C9" s="67" t="s">
        <v>127</v>
      </c>
      <c r="D9" s="12" t="s">
        <v>129</v>
      </c>
      <c r="E9" s="204" t="s">
        <v>130</v>
      </c>
      <c r="F9" s="205"/>
      <c r="G9" s="1036" t="s">
        <v>73</v>
      </c>
      <c r="H9" s="1037"/>
      <c r="I9" s="1038"/>
      <c r="J9" s="4"/>
      <c r="K9" s="50" t="s">
        <v>429</v>
      </c>
      <c r="L9" s="3314">
        <f>100-M9</f>
        <v>40.213185908764792</v>
      </c>
      <c r="M9" s="3358">
        <f>100*C10/SUM(C10,'Table1.A(a)s3'!C16)</f>
        <v>59.786814091235208</v>
      </c>
    </row>
    <row r="10" spans="1:13" ht="18" customHeight="1" thickTop="1" thickBot="1" x14ac:dyDescent="0.25">
      <c r="B10" s="223" t="s">
        <v>430</v>
      </c>
      <c r="C10" s="3338">
        <f>IF(SUM(C11:C13)=0,"NO",SUM(C11:C13))</f>
        <v>120600</v>
      </c>
      <c r="D10" s="3339"/>
      <c r="E10" s="3340"/>
      <c r="F10" s="3340"/>
      <c r="G10" s="3338">
        <f>IF(SUM(G11:G13)=0,"NO",SUM(G11:G13))</f>
        <v>8393.76</v>
      </c>
      <c r="H10" s="3338">
        <f>IF(SUM(H11:H13)=0,"NO",SUM(H11:H13))</f>
        <v>1.5065205000000002E-2</v>
      </c>
      <c r="I10" s="1154">
        <f>IF(SUM(I11:I13)=0,"NO",SUM(I11:I13))</f>
        <v>4.4115413534210515E-2</v>
      </c>
      <c r="J10" s="4"/>
      <c r="K10" s="68" t="s">
        <v>431</v>
      </c>
      <c r="L10" s="3359">
        <f>100-M10</f>
        <v>38.285779957523282</v>
      </c>
      <c r="M10" s="3360">
        <f>100*C14/SUM(C14,'Table1.A(a)s3'!C88)</f>
        <v>61.714220042476718</v>
      </c>
    </row>
    <row r="11" spans="1:13" ht="18" customHeight="1" x14ac:dyDescent="0.2">
      <c r="B11" s="1258" t="s">
        <v>178</v>
      </c>
      <c r="C11" s="3341">
        <v>120600</v>
      </c>
      <c r="D11" s="116">
        <f>IF(G11="NO","NA",G11*1000/$C11)</f>
        <v>69.599999999999994</v>
      </c>
      <c r="E11" s="116">
        <f t="shared" ref="E11:F13" si="0">IF(H11="NO","NA",H11*1000000/$C11)</f>
        <v>0.12491878109452738</v>
      </c>
      <c r="F11" s="116">
        <f t="shared" si="0"/>
        <v>0.36579944887405069</v>
      </c>
      <c r="G11" s="3062">
        <v>8393.76</v>
      </c>
      <c r="H11" s="3062">
        <v>1.5065205000000002E-2</v>
      </c>
      <c r="I11" s="3063">
        <v>4.4115413534210515E-2</v>
      </c>
      <c r="J11" s="4"/>
      <c r="K11" s="4"/>
      <c r="L11" s="4"/>
      <c r="M11" s="4"/>
    </row>
    <row r="12" spans="1:13" ht="18" customHeight="1" x14ac:dyDescent="0.2">
      <c r="B12" s="1259" t="s">
        <v>177</v>
      </c>
      <c r="C12" s="3341" t="s">
        <v>2146</v>
      </c>
      <c r="D12" s="116" t="str">
        <f>IF(G12="NO","NA",G12*1000/$C12)</f>
        <v>NA</v>
      </c>
      <c r="E12" s="116" t="str">
        <f t="shared" si="0"/>
        <v>NA</v>
      </c>
      <c r="F12" s="116" t="str">
        <f t="shared" si="0"/>
        <v>NA</v>
      </c>
      <c r="G12" s="3062" t="s">
        <v>2146</v>
      </c>
      <c r="H12" s="3062" t="s">
        <v>2146</v>
      </c>
      <c r="I12" s="3063" t="s">
        <v>2146</v>
      </c>
      <c r="J12" s="4"/>
      <c r="K12" s="4"/>
      <c r="L12" s="4"/>
      <c r="M12" s="4"/>
    </row>
    <row r="13" spans="1:13" ht="18" customHeight="1" thickBot="1" x14ac:dyDescent="0.25">
      <c r="B13" s="1259" t="s">
        <v>179</v>
      </c>
      <c r="C13" s="3342" t="s">
        <v>2146</v>
      </c>
      <c r="D13" s="3343" t="str">
        <f>IF(G13="NO","NA",G13*1000/$C13)</f>
        <v>NA</v>
      </c>
      <c r="E13" s="3343" t="str">
        <f t="shared" si="0"/>
        <v>NA</v>
      </c>
      <c r="F13" s="3344" t="str">
        <f t="shared" si="0"/>
        <v>NA</v>
      </c>
      <c r="G13" s="3345" t="s">
        <v>2146</v>
      </c>
      <c r="H13" s="3345" t="s">
        <v>2146</v>
      </c>
      <c r="I13" s="3346" t="s">
        <v>2146</v>
      </c>
      <c r="J13" s="4"/>
      <c r="K13" s="1048"/>
      <c r="L13" s="1048"/>
      <c r="M13" s="1048"/>
    </row>
    <row r="14" spans="1:13" ht="18" customHeight="1" x14ac:dyDescent="0.2">
      <c r="B14" s="223" t="s">
        <v>432</v>
      </c>
      <c r="C14" s="3347">
        <f>IF(SUM(C15:C18,C20:C22)=0,"NO",SUM(C15:C18,C20:C22))</f>
        <v>43400</v>
      </c>
      <c r="D14" s="3348"/>
      <c r="E14" s="3349"/>
      <c r="F14" s="3350"/>
      <c r="G14" s="3347">
        <f>IF(SUM(G15:G18,G20:G22)=0,"NO",SUM(G15:G18,G20:G22))</f>
        <v>3160.9399999999996</v>
      </c>
      <c r="H14" s="3347">
        <f>IF(SUM(H15:H18,H20:H22)=0,"NO",SUM(H15:H18,H20:H22))</f>
        <v>0.30379999999999996</v>
      </c>
      <c r="I14" s="1155">
        <f>IF(SUM(I15:I18,I20:I22)=0,"NO",SUM(I15:I18,I20:I22))</f>
        <v>8.6800000000000002E-2</v>
      </c>
      <c r="J14" s="4"/>
      <c r="K14" s="1047"/>
      <c r="L14" s="1047"/>
      <c r="M14" s="1047"/>
    </row>
    <row r="15" spans="1:13" ht="18" customHeight="1" x14ac:dyDescent="0.2">
      <c r="B15" s="1260" t="s">
        <v>190</v>
      </c>
      <c r="C15" s="143">
        <v>34400</v>
      </c>
      <c r="D15" s="116">
        <f>IF(G15="NO","NA",G15*1000/$C15)</f>
        <v>73.599999999999966</v>
      </c>
      <c r="E15" s="116">
        <f t="shared" ref="E15:F17" si="1">IF(H15="NO","NA",H15*1000000/$C15)</f>
        <v>7</v>
      </c>
      <c r="F15" s="116">
        <f t="shared" si="1"/>
        <v>2</v>
      </c>
      <c r="G15" s="3064">
        <v>2531.8399999999992</v>
      </c>
      <c r="H15" s="3064">
        <v>0.24079999999999999</v>
      </c>
      <c r="I15" s="135">
        <v>6.88E-2</v>
      </c>
      <c r="J15" s="4"/>
      <c r="K15" s="1047"/>
      <c r="L15" s="1047"/>
      <c r="M15" s="1047"/>
    </row>
    <row r="16" spans="1:13" ht="18" customHeight="1" x14ac:dyDescent="0.2">
      <c r="B16" s="1260" t="s">
        <v>191</v>
      </c>
      <c r="C16" s="3351">
        <v>9000</v>
      </c>
      <c r="D16" s="116">
        <f>IF(G16="NO","NA",G16*1000/$C16)</f>
        <v>69.90000000000002</v>
      </c>
      <c r="E16" s="116">
        <f t="shared" si="1"/>
        <v>7</v>
      </c>
      <c r="F16" s="116">
        <f t="shared" si="1"/>
        <v>2.0000000000000004</v>
      </c>
      <c r="G16" s="3064">
        <v>629.10000000000014</v>
      </c>
      <c r="H16" s="3064">
        <v>6.3E-2</v>
      </c>
      <c r="I16" s="135">
        <v>1.8000000000000002E-2</v>
      </c>
      <c r="J16" s="4"/>
      <c r="K16" s="1047"/>
      <c r="L16" s="1047"/>
      <c r="M16" s="1047"/>
    </row>
    <row r="17" spans="2:13" ht="18" customHeight="1" x14ac:dyDescent="0.2">
      <c r="B17" s="1260" t="s">
        <v>167</v>
      </c>
      <c r="C17" s="3341" t="s">
        <v>2146</v>
      </c>
      <c r="D17" s="116" t="str">
        <f>IF(G17="NO","NA",G17*1000/$C17)</f>
        <v>NA</v>
      </c>
      <c r="E17" s="116" t="str">
        <f t="shared" si="1"/>
        <v>NA</v>
      </c>
      <c r="F17" s="116" t="str">
        <f t="shared" si="1"/>
        <v>NA</v>
      </c>
      <c r="G17" s="3062" t="s">
        <v>2146</v>
      </c>
      <c r="H17" s="3062" t="s">
        <v>2146</v>
      </c>
      <c r="I17" s="3063" t="s">
        <v>2146</v>
      </c>
      <c r="J17" s="4"/>
      <c r="K17" s="1047"/>
      <c r="L17" s="1047"/>
      <c r="M17" s="1047"/>
    </row>
    <row r="18" spans="2:13" ht="18" customHeight="1" x14ac:dyDescent="0.2">
      <c r="B18" s="1260" t="s">
        <v>192</v>
      </c>
      <c r="C18" s="116" t="str">
        <f>C19</f>
        <v>NA</v>
      </c>
      <c r="D18" s="630"/>
      <c r="E18" s="3352"/>
      <c r="F18" s="3352"/>
      <c r="G18" s="116" t="str">
        <f>G19</f>
        <v>NA</v>
      </c>
      <c r="H18" s="116" t="str">
        <f>H19</f>
        <v>NA</v>
      </c>
      <c r="I18" s="142" t="str">
        <f>I19</f>
        <v>NA</v>
      </c>
      <c r="J18" s="4"/>
      <c r="K18" s="1047"/>
      <c r="L18" s="1047"/>
      <c r="M18" s="1047"/>
    </row>
    <row r="19" spans="2:13" ht="18" customHeight="1" x14ac:dyDescent="0.2">
      <c r="B19" s="2595" t="s">
        <v>2147</v>
      </c>
      <c r="C19" s="3341" t="s">
        <v>2147</v>
      </c>
      <c r="D19" s="116" t="s">
        <v>2147</v>
      </c>
      <c r="E19" s="116" t="s">
        <v>2147</v>
      </c>
      <c r="F19" s="116" t="s">
        <v>2147</v>
      </c>
      <c r="G19" s="3062" t="s">
        <v>2147</v>
      </c>
      <c r="H19" s="3062" t="s">
        <v>2147</v>
      </c>
      <c r="I19" s="3063" t="s">
        <v>2147</v>
      </c>
      <c r="J19" s="4"/>
      <c r="K19" s="1047"/>
      <c r="L19" s="1047"/>
      <c r="M19" s="1047"/>
    </row>
    <row r="20" spans="2:13" ht="18" customHeight="1" x14ac:dyDescent="0.2">
      <c r="B20" s="1260" t="s">
        <v>433</v>
      </c>
      <c r="C20" s="3341" t="s">
        <v>2146</v>
      </c>
      <c r="D20" s="116" t="str">
        <f>IF(G20="NO","NA",G20*1000/$C20)</f>
        <v>NA</v>
      </c>
      <c r="E20" s="116" t="str">
        <f t="shared" ref="E20:F21" si="2">IF(H20="NO","NA",H20*1000000/$C20)</f>
        <v>NA</v>
      </c>
      <c r="F20" s="116" t="str">
        <f t="shared" si="2"/>
        <v>NA</v>
      </c>
      <c r="G20" s="3062" t="s">
        <v>2146</v>
      </c>
      <c r="H20" s="3062" t="s">
        <v>2146</v>
      </c>
      <c r="I20" s="3063" t="s">
        <v>2146</v>
      </c>
      <c r="J20" s="4"/>
      <c r="K20" s="1047"/>
      <c r="L20" s="1047"/>
      <c r="M20" s="1047"/>
    </row>
    <row r="21" spans="2:13" ht="18" customHeight="1" x14ac:dyDescent="0.2">
      <c r="B21" s="1260" t="s">
        <v>179</v>
      </c>
      <c r="C21" s="3341" t="s">
        <v>2146</v>
      </c>
      <c r="D21" s="116" t="str">
        <f>IF(G21="NO","NA",G21*1000/$C21)</f>
        <v>NA</v>
      </c>
      <c r="E21" s="116" t="str">
        <f t="shared" si="2"/>
        <v>NA</v>
      </c>
      <c r="F21" s="116" t="str">
        <f t="shared" si="2"/>
        <v>NA</v>
      </c>
      <c r="G21" s="3062" t="s">
        <v>2146</v>
      </c>
      <c r="H21" s="3062" t="s">
        <v>2146</v>
      </c>
      <c r="I21" s="3063" t="s">
        <v>2146</v>
      </c>
      <c r="J21" s="4"/>
      <c r="K21" s="1047"/>
      <c r="L21" s="1047"/>
      <c r="M21" s="1047"/>
    </row>
    <row r="22" spans="2:13" ht="18" customHeight="1" x14ac:dyDescent="0.2">
      <c r="B22" s="1260" t="s">
        <v>434</v>
      </c>
      <c r="C22" s="116" t="str">
        <f>C23</f>
        <v>NA</v>
      </c>
      <c r="D22" s="630"/>
      <c r="E22" s="3352"/>
      <c r="F22" s="3352"/>
      <c r="G22" s="116" t="str">
        <f>G23</f>
        <v>NA</v>
      </c>
      <c r="H22" s="116" t="str">
        <f>H23</f>
        <v>NA</v>
      </c>
      <c r="I22" s="142" t="str">
        <f>I23</f>
        <v>NA</v>
      </c>
      <c r="J22" s="4"/>
      <c r="K22" s="1047"/>
      <c r="L22" s="1047"/>
      <c r="M22" s="1047"/>
    </row>
    <row r="23" spans="2:13" ht="18" customHeight="1" thickBot="1" x14ac:dyDescent="0.25">
      <c r="B23" s="2594" t="s">
        <v>2147</v>
      </c>
      <c r="C23" s="3341" t="s">
        <v>2147</v>
      </c>
      <c r="D23" s="116" t="s">
        <v>2147</v>
      </c>
      <c r="E23" s="116" t="s">
        <v>2147</v>
      </c>
      <c r="F23" s="116" t="s">
        <v>2147</v>
      </c>
      <c r="G23" s="3062" t="s">
        <v>2147</v>
      </c>
      <c r="H23" s="3062" t="s">
        <v>2147</v>
      </c>
      <c r="I23" s="3063" t="s">
        <v>2147</v>
      </c>
      <c r="J23" s="4"/>
      <c r="K23" s="1047"/>
      <c r="L23" s="1047"/>
      <c r="M23" s="1047"/>
    </row>
    <row r="24" spans="2:13" ht="18" customHeight="1" thickBot="1" x14ac:dyDescent="0.25">
      <c r="B24" s="1261" t="s">
        <v>435</v>
      </c>
      <c r="C24" s="3353" t="s">
        <v>2154</v>
      </c>
      <c r="D24" s="3354" t="s">
        <v>2147</v>
      </c>
      <c r="E24" s="3354" t="s">
        <v>2147</v>
      </c>
      <c r="F24" s="3355" t="s">
        <v>2147</v>
      </c>
      <c r="G24" s="3356" t="s">
        <v>2154</v>
      </c>
      <c r="H24" s="3356" t="s">
        <v>2154</v>
      </c>
      <c r="I24" s="3357" t="s">
        <v>2154</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5"/>
      <c r="C26" s="996"/>
      <c r="D26" s="996"/>
      <c r="E26" s="996"/>
      <c r="F26" s="996"/>
      <c r="G26" s="996"/>
      <c r="H26" s="996"/>
      <c r="I26"/>
      <c r="J26"/>
      <c r="K26"/>
      <c r="L26"/>
      <c r="M26"/>
    </row>
    <row r="27" spans="2:13" ht="13.5" x14ac:dyDescent="0.2">
      <c r="B27" s="989"/>
      <c r="C27" s="1034"/>
      <c r="D27" s="1034"/>
      <c r="E27" s="1034"/>
      <c r="F27" s="1034"/>
      <c r="G27" s="1034"/>
      <c r="H27" s="1034"/>
      <c r="I27" s="1034"/>
      <c r="K27" s="110" t="s">
        <v>284</v>
      </c>
    </row>
    <row r="28" spans="2:13" ht="13.5" x14ac:dyDescent="0.2">
      <c r="B28" s="27"/>
      <c r="C28" s="27"/>
      <c r="D28" s="27"/>
      <c r="E28" s="27"/>
      <c r="F28" s="27"/>
      <c r="G28" s="27"/>
      <c r="H28" s="27"/>
      <c r="I28" s="27"/>
      <c r="J28" s="989"/>
      <c r="K28" s="989"/>
      <c r="L28" s="989"/>
      <c r="M28" s="989"/>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91" t="s">
        <v>118</v>
      </c>
      <c r="C36" s="1039"/>
      <c r="D36" s="1039"/>
      <c r="E36" s="1039"/>
      <c r="F36" s="1039"/>
      <c r="G36" s="1039"/>
      <c r="H36" s="1039"/>
      <c r="I36" s="1040"/>
    </row>
    <row r="37" spans="2:13" ht="12.75" x14ac:dyDescent="0.2">
      <c r="B37" s="1041"/>
      <c r="C37" s="1042"/>
      <c r="D37" s="1042"/>
      <c r="E37" s="1042"/>
      <c r="F37" s="1042"/>
      <c r="G37" s="1042"/>
      <c r="H37" s="1042"/>
      <c r="I37" s="1043"/>
    </row>
    <row r="38" spans="2:13" ht="12.75" x14ac:dyDescent="0.2">
      <c r="B38" s="1041"/>
      <c r="C38" s="1042"/>
      <c r="D38" s="1042"/>
      <c r="E38" s="1042"/>
      <c r="F38" s="1042"/>
      <c r="G38" s="1042"/>
      <c r="H38" s="1042"/>
      <c r="I38" s="1043"/>
    </row>
    <row r="39" spans="2:13" ht="12.75" x14ac:dyDescent="0.2">
      <c r="B39" s="1041"/>
      <c r="C39" s="1042"/>
      <c r="D39" s="1042"/>
      <c r="E39" s="1042"/>
      <c r="F39" s="1042"/>
      <c r="G39" s="1042"/>
      <c r="H39" s="1042"/>
      <c r="I39" s="1043"/>
    </row>
    <row r="40" spans="2:13" ht="12.75" x14ac:dyDescent="0.2">
      <c r="B40" s="1041"/>
      <c r="C40" s="1042"/>
      <c r="D40" s="1042"/>
      <c r="E40" s="1042"/>
      <c r="F40" s="1042"/>
      <c r="G40" s="1042"/>
      <c r="H40" s="1042"/>
      <c r="I40" s="1043"/>
    </row>
    <row r="41" spans="2:13" ht="12.75" x14ac:dyDescent="0.2">
      <c r="B41" s="1041"/>
      <c r="C41" s="1042"/>
      <c r="D41" s="1042"/>
      <c r="E41" s="1042"/>
      <c r="F41" s="1042"/>
      <c r="G41" s="1042"/>
      <c r="H41" s="1042"/>
      <c r="I41" s="1043"/>
    </row>
    <row r="42" spans="2:13" ht="12.75" x14ac:dyDescent="0.2">
      <c r="B42" s="1044"/>
      <c r="C42" s="1045"/>
      <c r="D42" s="1045"/>
      <c r="E42" s="1045"/>
      <c r="F42" s="1045"/>
      <c r="G42" s="1045"/>
      <c r="H42" s="1045"/>
      <c r="I42" s="1046"/>
    </row>
    <row r="43" spans="2:13" ht="54" customHeight="1" thickBot="1" x14ac:dyDescent="0.25">
      <c r="B43" s="4474" t="s">
        <v>2177</v>
      </c>
      <c r="C43" s="4475"/>
      <c r="D43" s="4475"/>
      <c r="E43" s="4475"/>
      <c r="F43" s="4475"/>
      <c r="G43" s="4475"/>
      <c r="H43" s="4475"/>
      <c r="I43" s="4476"/>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436</v>
      </c>
      <c r="C1" s="209"/>
      <c r="D1" s="209"/>
      <c r="E1" s="209"/>
      <c r="F1" s="209"/>
      <c r="N1" s="2"/>
      <c r="O1" s="14" t="s">
        <v>2521</v>
      </c>
    </row>
    <row r="2" spans="1:15" ht="15.75" customHeight="1" x14ac:dyDescent="0.2">
      <c r="B2" s="3" t="s">
        <v>62</v>
      </c>
      <c r="G2" s="110" t="s">
        <v>284</v>
      </c>
      <c r="N2" s="2"/>
      <c r="O2" s="14" t="s">
        <v>2522</v>
      </c>
    </row>
    <row r="3" spans="1:15" ht="12" customHeight="1" x14ac:dyDescent="0.2">
      <c r="B3" s="51"/>
      <c r="M3" s="2"/>
      <c r="N3" s="2"/>
      <c r="O3" s="14" t="s">
        <v>2144</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46" t="s">
        <v>64</v>
      </c>
      <c r="N7" s="137"/>
    </row>
    <row r="8" spans="1:15" ht="49.5" x14ac:dyDescent="0.2">
      <c r="B8" s="2127" t="s">
        <v>65</v>
      </c>
      <c r="C8" s="2128" t="s">
        <v>66</v>
      </c>
      <c r="D8" s="2128" t="s">
        <v>67</v>
      </c>
      <c r="E8" s="2128" t="s">
        <v>68</v>
      </c>
      <c r="F8" s="2129" t="s">
        <v>437</v>
      </c>
      <c r="G8" s="2129" t="s">
        <v>438</v>
      </c>
      <c r="H8" s="2130" t="s">
        <v>439</v>
      </c>
      <c r="I8" s="2128" t="s">
        <v>440</v>
      </c>
      <c r="J8" s="2131" t="s">
        <v>441</v>
      </c>
      <c r="K8" s="2128" t="s">
        <v>442</v>
      </c>
      <c r="L8" s="2129" t="s">
        <v>70</v>
      </c>
      <c r="M8" s="2129" t="s">
        <v>71</v>
      </c>
      <c r="N8" s="16" t="s">
        <v>72</v>
      </c>
      <c r="O8" s="2473" t="s">
        <v>2015</v>
      </c>
    </row>
    <row r="9" spans="1:15" ht="14.25" thickBot="1" x14ac:dyDescent="0.25">
      <c r="A9"/>
      <c r="B9" s="2132"/>
      <c r="C9" s="2040" t="s">
        <v>73</v>
      </c>
      <c r="D9" s="2038"/>
      <c r="E9" s="2039"/>
      <c r="F9" s="2040" t="s">
        <v>2016</v>
      </c>
      <c r="G9" s="2038"/>
      <c r="H9" s="2038"/>
      <c r="I9" s="2040" t="s">
        <v>73</v>
      </c>
      <c r="J9" s="2038"/>
      <c r="K9" s="2038"/>
      <c r="L9" s="2038"/>
      <c r="M9" s="2038"/>
      <c r="N9" s="2133"/>
      <c r="O9" s="1800" t="s">
        <v>979</v>
      </c>
    </row>
    <row r="10" spans="1:15" ht="18" customHeight="1" thickTop="1" thickBot="1" x14ac:dyDescent="0.25">
      <c r="B10" s="1262" t="s">
        <v>443</v>
      </c>
      <c r="C10" s="3019">
        <f>IF(SUM(C11,C16,C27,C35,C39,C45,C52,C57)=0,"NO",SUM(C11,C16,C27,C35,C39,C45,C52,C57))</f>
        <v>23245.05679168686</v>
      </c>
      <c r="D10" s="2913">
        <f t="shared" ref="D10:N10" si="0">IF(SUM(D11,D16,D27,D35,D39,D45,D52,D57)=0,"NO",SUM(D11,D16,D27,D35,D39,D45,D52,D57))</f>
        <v>3.5465822636148943</v>
      </c>
      <c r="E10" s="2913">
        <f t="shared" si="0"/>
        <v>8.8797618051027403</v>
      </c>
      <c r="F10" s="2913">
        <f t="shared" si="0"/>
        <v>4108.7147366727786</v>
      </c>
      <c r="G10" s="2913">
        <f t="shared" si="0"/>
        <v>617.93925336459722</v>
      </c>
      <c r="H10" s="2913" t="str">
        <f t="shared" si="0"/>
        <v>NO</v>
      </c>
      <c r="I10" s="2913">
        <f t="shared" si="0"/>
        <v>8.1609069599868894E-3</v>
      </c>
      <c r="J10" s="2913" t="str">
        <f t="shared" si="0"/>
        <v>NO</v>
      </c>
      <c r="K10" s="2913">
        <f t="shared" si="0"/>
        <v>38.506250117455558</v>
      </c>
      <c r="L10" s="2914">
        <f t="shared" si="0"/>
        <v>10.314809980880625</v>
      </c>
      <c r="M10" s="2915">
        <f t="shared" si="0"/>
        <v>239.36323775397858</v>
      </c>
      <c r="N10" s="2916">
        <f t="shared" si="0"/>
        <v>1695.8069667956652</v>
      </c>
      <c r="O10" s="3020">
        <f t="shared" ref="O10:O58" si="1">IF(SUM(C10:J10)=0,"NO",SUM(C10,F10:H10)+28*SUM(D10)+265*SUM(E10)+23500*SUM(I10)+16100*SUM(J10))</f>
        <v>30615.933277017375</v>
      </c>
    </row>
    <row r="11" spans="1:15" ht="18" customHeight="1" x14ac:dyDescent="0.2">
      <c r="B11" s="1263" t="s">
        <v>444</v>
      </c>
      <c r="C11" s="2137">
        <f>IF(SUM(C12:C15)=0,"NO",SUM(C12:C15))</f>
        <v>6668.9977667490357</v>
      </c>
      <c r="D11" s="2882"/>
      <c r="E11" s="2882"/>
      <c r="F11" s="1929"/>
      <c r="G11" s="1929"/>
      <c r="H11" s="2134"/>
      <c r="I11" s="1929"/>
      <c r="J11" s="2135"/>
      <c r="K11" s="2137" t="str">
        <f>IF(SUM(K12:K15)=0,"NO",SUM(K12:K15))</f>
        <v>NO</v>
      </c>
      <c r="L11" s="2137" t="str">
        <f t="shared" ref="L11:N11" si="2">IF(SUM(L12:L15)=0,"NO",SUM(L12:L15))</f>
        <v>NO</v>
      </c>
      <c r="M11" s="2917" t="str">
        <f t="shared" si="2"/>
        <v>NO</v>
      </c>
      <c r="N11" s="2918" t="str">
        <f t="shared" si="2"/>
        <v>NO</v>
      </c>
      <c r="O11" s="2941">
        <f t="shared" si="1"/>
        <v>6668.9977667490357</v>
      </c>
    </row>
    <row r="12" spans="1:15" ht="18" customHeight="1" x14ac:dyDescent="0.2">
      <c r="B12" s="1264" t="s">
        <v>445</v>
      </c>
      <c r="C12" s="2920">
        <f>'Table2(I).A-H'!H11</f>
        <v>3888.0615680000001</v>
      </c>
      <c r="D12" s="2136"/>
      <c r="E12" s="2136"/>
      <c r="F12" s="628"/>
      <c r="G12" s="628"/>
      <c r="H12" s="2135"/>
      <c r="I12" s="628"/>
      <c r="J12" s="2135"/>
      <c r="K12" s="2135"/>
      <c r="L12" s="2135"/>
      <c r="M12" s="2135"/>
      <c r="N12" s="2919" t="s">
        <v>2146</v>
      </c>
      <c r="O12" s="2934">
        <f t="shared" si="1"/>
        <v>3888.0615680000001</v>
      </c>
    </row>
    <row r="13" spans="1:15" ht="18" customHeight="1" x14ac:dyDescent="0.2">
      <c r="B13" s="1264" t="s">
        <v>446</v>
      </c>
      <c r="C13" s="1878">
        <f>'Table2(I).A-H'!H12</f>
        <v>1101.812078394084</v>
      </c>
      <c r="D13" s="2108"/>
      <c r="E13" s="2108"/>
      <c r="F13" s="628"/>
      <c r="G13" s="628"/>
      <c r="H13" s="2135"/>
      <c r="I13" s="628"/>
      <c r="J13" s="2135"/>
      <c r="K13" s="628"/>
      <c r="L13" s="628"/>
      <c r="M13" s="628"/>
      <c r="N13" s="1838"/>
      <c r="O13" s="1880">
        <f t="shared" si="1"/>
        <v>1101.812078394084</v>
      </c>
    </row>
    <row r="14" spans="1:15" ht="18" customHeight="1" x14ac:dyDescent="0.2">
      <c r="B14" s="1264" t="s">
        <v>447</v>
      </c>
      <c r="C14" s="1878">
        <f>'Table2(I).A-H'!H13</f>
        <v>105.02986829605214</v>
      </c>
      <c r="D14" s="2108"/>
      <c r="E14" s="2108"/>
      <c r="F14" s="628"/>
      <c r="G14" s="628"/>
      <c r="H14" s="2135"/>
      <c r="I14" s="628"/>
      <c r="J14" s="2135"/>
      <c r="K14" s="628"/>
      <c r="L14" s="628"/>
      <c r="M14" s="628"/>
      <c r="N14" s="1838"/>
      <c r="O14" s="1880">
        <f t="shared" si="1"/>
        <v>105.02986829605214</v>
      </c>
    </row>
    <row r="15" spans="1:15" ht="18" customHeight="1" thickBot="1" x14ac:dyDescent="0.25">
      <c r="B15" s="1264" t="s">
        <v>448</v>
      </c>
      <c r="C15" s="1878">
        <f>'Table2(I).A-H'!H14</f>
        <v>1574.0942520588994</v>
      </c>
      <c r="D15" s="1879"/>
      <c r="E15" s="1879"/>
      <c r="F15" s="3021"/>
      <c r="G15" s="3021"/>
      <c r="H15" s="3021"/>
      <c r="I15" s="3021"/>
      <c r="J15" s="3021"/>
      <c r="K15" s="2606" t="s">
        <v>2146</v>
      </c>
      <c r="L15" s="2606" t="s">
        <v>2146</v>
      </c>
      <c r="M15" s="2606" t="s">
        <v>2146</v>
      </c>
      <c r="N15" s="2607" t="s">
        <v>2146</v>
      </c>
      <c r="O15" s="1880">
        <f t="shared" si="1"/>
        <v>1574.0942520588994</v>
      </c>
    </row>
    <row r="16" spans="1:15" ht="18" customHeight="1" x14ac:dyDescent="0.2">
      <c r="B16" s="1265" t="s">
        <v>449</v>
      </c>
      <c r="C16" s="2137">
        <f>IF(SUM(C17:C26)=0,"NO",SUM(C17:C26))</f>
        <v>3442.2998770693698</v>
      </c>
      <c r="D16" s="2137">
        <f t="shared" ref="D16:N16" si="3">IF(SUM(D17:D26)=0,"NO",SUM(D17:D26))</f>
        <v>0.5693838</v>
      </c>
      <c r="E16" s="2137">
        <f t="shared" si="3"/>
        <v>8.8043569476129075</v>
      </c>
      <c r="F16" s="2138" t="str">
        <f t="shared" si="3"/>
        <v>NO</v>
      </c>
      <c r="G16" s="2138" t="str">
        <f t="shared" si="3"/>
        <v>NO</v>
      </c>
      <c r="H16" s="2138" t="str">
        <f t="shared" si="3"/>
        <v>NO</v>
      </c>
      <c r="I16" s="2138" t="str">
        <f t="shared" si="3"/>
        <v>NO</v>
      </c>
      <c r="J16" s="2138" t="str">
        <f t="shared" si="3"/>
        <v>NO</v>
      </c>
      <c r="K16" s="2920" t="str">
        <f t="shared" si="3"/>
        <v>NO</v>
      </c>
      <c r="L16" s="2137" t="str">
        <f t="shared" si="3"/>
        <v>NO</v>
      </c>
      <c r="M16" s="2137">
        <f t="shared" si="3"/>
        <v>2.8051172450999995</v>
      </c>
      <c r="N16" s="2918" t="str">
        <f t="shared" si="3"/>
        <v>NO</v>
      </c>
      <c r="O16" s="2941">
        <f t="shared" si="1"/>
        <v>5791.3972145867901</v>
      </c>
    </row>
    <row r="17" spans="2:15" ht="18" customHeight="1" x14ac:dyDescent="0.2">
      <c r="B17" s="1266" t="s">
        <v>450</v>
      </c>
      <c r="C17" s="2920">
        <f>SUM('Table2(I).A-H'!H23,'Table2(I).A-H'!K23:L23)</f>
        <v>1935.2314714803197</v>
      </c>
      <c r="D17" s="2139" t="str">
        <f>'Table2(I).A-H'!I23</f>
        <v>NO</v>
      </c>
      <c r="E17" s="2139" t="str">
        <f>'Table2(I).A-H'!J23</f>
        <v>NO</v>
      </c>
      <c r="F17" s="2135"/>
      <c r="G17" s="2135"/>
      <c r="H17" s="2135"/>
      <c r="I17" s="2135"/>
      <c r="J17" s="2135"/>
      <c r="K17" s="692" t="s">
        <v>2146</v>
      </c>
      <c r="L17" s="692" t="s">
        <v>2146</v>
      </c>
      <c r="M17" s="692" t="s">
        <v>2146</v>
      </c>
      <c r="N17" s="692" t="s">
        <v>2146</v>
      </c>
      <c r="O17" s="2934">
        <f t="shared" si="1"/>
        <v>1935.2314714803197</v>
      </c>
    </row>
    <row r="18" spans="2:15" ht="18" customHeight="1" x14ac:dyDescent="0.2">
      <c r="B18" s="1264" t="s">
        <v>451</v>
      </c>
      <c r="C18" s="1910"/>
      <c r="D18" s="2136"/>
      <c r="E18" s="2139">
        <f>'Table2(I).A-H'!J24</f>
        <v>8.8043569476129075</v>
      </c>
      <c r="F18" s="628"/>
      <c r="G18" s="628"/>
      <c r="H18" s="2135"/>
      <c r="I18" s="628"/>
      <c r="J18" s="2135"/>
      <c r="K18" s="692" t="s">
        <v>2146</v>
      </c>
      <c r="L18" s="628"/>
      <c r="M18" s="628"/>
      <c r="N18" s="1838"/>
      <c r="O18" s="2934">
        <f t="shared" si="1"/>
        <v>2333.1545911174203</v>
      </c>
    </row>
    <row r="19" spans="2:15" ht="18" customHeight="1" x14ac:dyDescent="0.2">
      <c r="B19" s="1264" t="s">
        <v>452</v>
      </c>
      <c r="C19" s="2139" t="str">
        <f>'Table2(I).A-H'!H25</f>
        <v>NO</v>
      </c>
      <c r="D19" s="628"/>
      <c r="E19" s="2139" t="str">
        <f>'Table2(I).A-H'!J25</f>
        <v>NO</v>
      </c>
      <c r="F19" s="628"/>
      <c r="G19" s="628"/>
      <c r="H19" s="2135"/>
      <c r="I19" s="628"/>
      <c r="J19" s="2135"/>
      <c r="K19" s="692" t="s">
        <v>2146</v>
      </c>
      <c r="L19" s="692" t="s">
        <v>2146</v>
      </c>
      <c r="M19" s="692" t="s">
        <v>2146</v>
      </c>
      <c r="N19" s="1838"/>
      <c r="O19" s="1880" t="str">
        <f t="shared" si="1"/>
        <v>NO</v>
      </c>
    </row>
    <row r="20" spans="2:15" ht="18" customHeight="1" x14ac:dyDescent="0.2">
      <c r="B20" s="1264" t="s">
        <v>453</v>
      </c>
      <c r="C20" s="2139" t="str">
        <f>'Table2(I).A-H'!H26</f>
        <v>NO</v>
      </c>
      <c r="D20" s="628"/>
      <c r="E20" s="2139" t="str">
        <f>'Table2(I).A-H'!J26</f>
        <v>NO</v>
      </c>
      <c r="F20" s="628"/>
      <c r="G20" s="628"/>
      <c r="H20" s="2135"/>
      <c r="I20" s="628"/>
      <c r="J20" s="2135"/>
      <c r="K20" s="1914"/>
      <c r="L20" s="1914"/>
      <c r="M20" s="692" t="s">
        <v>2146</v>
      </c>
      <c r="N20" s="2141" t="s">
        <v>2146</v>
      </c>
      <c r="O20" s="1880" t="str">
        <f t="shared" si="1"/>
        <v>NO</v>
      </c>
    </row>
    <row r="21" spans="2:15" ht="18" customHeight="1" x14ac:dyDescent="0.2">
      <c r="B21" s="1264" t="s">
        <v>454</v>
      </c>
      <c r="C21" s="1878" t="str">
        <f>'Table2(I).A-H'!H30</f>
        <v>IE</v>
      </c>
      <c r="D21" s="1878" t="str">
        <f>'Table2(I).A-H'!I30</f>
        <v>NO</v>
      </c>
      <c r="E21" s="628"/>
      <c r="F21" s="628"/>
      <c r="G21" s="628"/>
      <c r="H21" s="2135"/>
      <c r="I21" s="628"/>
      <c r="J21" s="2135"/>
      <c r="K21" s="692" t="s">
        <v>2146</v>
      </c>
      <c r="L21" s="692" t="s">
        <v>2146</v>
      </c>
      <c r="M21" s="692" t="s">
        <v>2146</v>
      </c>
      <c r="N21" s="692" t="s">
        <v>2146</v>
      </c>
      <c r="O21" s="1880" t="str">
        <f t="shared" si="1"/>
        <v>NO</v>
      </c>
    </row>
    <row r="22" spans="2:15" ht="18" customHeight="1" x14ac:dyDescent="0.2">
      <c r="B22" s="1264" t="s">
        <v>455</v>
      </c>
      <c r="C22" s="1878">
        <f>'Table2(I).A-H'!H33</f>
        <v>1330.9299818626614</v>
      </c>
      <c r="D22" s="1914"/>
      <c r="E22" s="628"/>
      <c r="F22" s="628"/>
      <c r="G22" s="628"/>
      <c r="H22" s="2135"/>
      <c r="I22" s="628"/>
      <c r="J22" s="2135"/>
      <c r="K22" s="1914"/>
      <c r="L22" s="1914"/>
      <c r="M22" s="1914"/>
      <c r="N22" s="2921"/>
      <c r="O22" s="1880">
        <f t="shared" si="1"/>
        <v>1330.9299818626614</v>
      </c>
    </row>
    <row r="23" spans="2:15" ht="18" customHeight="1" x14ac:dyDescent="0.2">
      <c r="B23" s="1264" t="s">
        <v>456</v>
      </c>
      <c r="C23" s="1878" t="str">
        <f>'Table2(I).A-H'!H34</f>
        <v>IE</v>
      </c>
      <c r="D23" s="1914"/>
      <c r="E23" s="628"/>
      <c r="F23" s="628"/>
      <c r="G23" s="628"/>
      <c r="H23" s="2135"/>
      <c r="I23" s="628"/>
      <c r="J23" s="2135"/>
      <c r="K23" s="1914"/>
      <c r="L23" s="1914"/>
      <c r="M23" s="1914"/>
      <c r="N23" s="2921"/>
      <c r="O23" s="1880" t="str">
        <f t="shared" si="1"/>
        <v>NO</v>
      </c>
    </row>
    <row r="24" spans="2:15" ht="18" customHeight="1" x14ac:dyDescent="0.2">
      <c r="B24" s="1264" t="s">
        <v>457</v>
      </c>
      <c r="C24" s="1878">
        <f>'Table2(I).A-H'!H35</f>
        <v>46.86107299999999</v>
      </c>
      <c r="D24" s="1878">
        <f>'Table2(I).A-H'!I35</f>
        <v>0.5693838</v>
      </c>
      <c r="E24" s="628"/>
      <c r="F24" s="628"/>
      <c r="G24" s="628"/>
      <c r="H24" s="2135"/>
      <c r="I24" s="628"/>
      <c r="J24" s="2135"/>
      <c r="K24" s="692" t="s">
        <v>2146</v>
      </c>
      <c r="L24" s="692" t="s">
        <v>2146</v>
      </c>
      <c r="M24" s="691">
        <v>2.8051172450999995</v>
      </c>
      <c r="N24" s="692" t="s">
        <v>2146</v>
      </c>
      <c r="O24" s="1880">
        <f t="shared" si="1"/>
        <v>62.803819399999995</v>
      </c>
    </row>
    <row r="25" spans="2:15" ht="18" customHeight="1" x14ac:dyDescent="0.2">
      <c r="B25" s="1264" t="s">
        <v>458</v>
      </c>
      <c r="C25" s="1914"/>
      <c r="D25" s="1914"/>
      <c r="E25" s="628"/>
      <c r="F25" s="2140" t="str">
        <f>'Table2(II)'!W40</f>
        <v>NO</v>
      </c>
      <c r="G25" s="2140" t="str">
        <f>'Table2(II)'!AH40</f>
        <v>NO</v>
      </c>
      <c r="H25" s="2139" t="str">
        <f>'Table2(II)'!AI40</f>
        <v>NO</v>
      </c>
      <c r="I25" s="2140" t="str">
        <f>'Table2(II)'!AJ40</f>
        <v>NO</v>
      </c>
      <c r="J25" s="2139" t="str">
        <f>'Table2(II)'!AK40</f>
        <v>NO</v>
      </c>
      <c r="K25" s="1914"/>
      <c r="L25" s="1914"/>
      <c r="M25" s="1914"/>
      <c r="N25" s="2921"/>
      <c r="O25" s="1880" t="str">
        <f t="shared" si="1"/>
        <v>NO</v>
      </c>
    </row>
    <row r="26" spans="2:15" ht="18" customHeight="1" thickBot="1" x14ac:dyDescent="0.25">
      <c r="B26" s="1264" t="s">
        <v>2110</v>
      </c>
      <c r="C26" s="1878">
        <f>'Table2(I).A-H'!H47</f>
        <v>129.27735072638853</v>
      </c>
      <c r="D26" s="1878" t="str">
        <f>'Table2(I).A-H'!I47</f>
        <v>IE,NO</v>
      </c>
      <c r="E26" s="1878" t="str">
        <f>'Table2(I).A-H'!J47</f>
        <v>NO</v>
      </c>
      <c r="F26" s="1881" t="s">
        <v>2146</v>
      </c>
      <c r="G26" s="1881" t="s">
        <v>2146</v>
      </c>
      <c r="H26" s="1881" t="s">
        <v>2146</v>
      </c>
      <c r="I26" s="1881" t="s">
        <v>2146</v>
      </c>
      <c r="J26" s="1881" t="s">
        <v>2146</v>
      </c>
      <c r="K26" s="2606" t="s">
        <v>2146</v>
      </c>
      <c r="L26" s="2606" t="s">
        <v>2146</v>
      </c>
      <c r="M26" s="2606" t="s">
        <v>2146</v>
      </c>
      <c r="N26" s="2607" t="s">
        <v>2146</v>
      </c>
      <c r="O26" s="1880">
        <f t="shared" si="1"/>
        <v>129.27735072638853</v>
      </c>
    </row>
    <row r="27" spans="2:15" ht="18" customHeight="1" x14ac:dyDescent="0.2">
      <c r="B27" s="1263" t="s">
        <v>459</v>
      </c>
      <c r="C27" s="2137">
        <f>IF(SUM(C28:C34)=0,"NO",SUM(C28:C34))</f>
        <v>12730.761169823347</v>
      </c>
      <c r="D27" s="2137">
        <f t="shared" ref="D27:N27" si="4">IF(SUM(D28:D34)=0,"NO",SUM(D28:D34))</f>
        <v>2.9771984636148945</v>
      </c>
      <c r="E27" s="2137">
        <f t="shared" si="4"/>
        <v>7.5404857489833013E-2</v>
      </c>
      <c r="F27" s="2138" t="str">
        <f t="shared" si="4"/>
        <v>NO</v>
      </c>
      <c r="G27" s="2138">
        <f t="shared" si="4"/>
        <v>617.93925336459722</v>
      </c>
      <c r="H27" s="2138" t="str">
        <f t="shared" si="4"/>
        <v>NO</v>
      </c>
      <c r="I27" s="2138" t="str">
        <f t="shared" si="4"/>
        <v>NO</v>
      </c>
      <c r="J27" s="2138" t="str">
        <f t="shared" si="4"/>
        <v>NO</v>
      </c>
      <c r="K27" s="2137">
        <f t="shared" si="4"/>
        <v>38.506250117455558</v>
      </c>
      <c r="L27" s="2137">
        <f t="shared" si="4"/>
        <v>10.314809980880625</v>
      </c>
      <c r="M27" s="2917">
        <f t="shared" si="4"/>
        <v>9.3871641778285775E-2</v>
      </c>
      <c r="N27" s="2918">
        <f t="shared" si="4"/>
        <v>1695.8069667956652</v>
      </c>
      <c r="O27" s="2941">
        <f t="shared" si="1"/>
        <v>13452.044267403966</v>
      </c>
    </row>
    <row r="28" spans="2:15" ht="18" customHeight="1" x14ac:dyDescent="0.2">
      <c r="B28" s="1264" t="s">
        <v>460</v>
      </c>
      <c r="C28" s="2920" t="str">
        <f>'Table2(I).A-H'!H53</f>
        <v>IE</v>
      </c>
      <c r="D28" s="2920" t="str">
        <f>'Table2(I).A-H'!I53</f>
        <v>IE</v>
      </c>
      <c r="E28" s="2136"/>
      <c r="F28" s="2135"/>
      <c r="G28" s="2135"/>
      <c r="H28" s="2135"/>
      <c r="I28" s="2135"/>
      <c r="J28" s="2135"/>
      <c r="K28" s="692" t="s">
        <v>2153</v>
      </c>
      <c r="L28" s="692" t="s">
        <v>2153</v>
      </c>
      <c r="M28" s="692" t="s">
        <v>2153</v>
      </c>
      <c r="N28" s="2919" t="s">
        <v>2153</v>
      </c>
      <c r="O28" s="2934" t="str">
        <f t="shared" si="1"/>
        <v>NO</v>
      </c>
    </row>
    <row r="29" spans="2:15" ht="18" customHeight="1" x14ac:dyDescent="0.2">
      <c r="B29" s="1264" t="s">
        <v>461</v>
      </c>
      <c r="C29" s="1878" t="str">
        <f>'Table2(I).A-H'!H62</f>
        <v>IE</v>
      </c>
      <c r="D29" s="1878" t="str">
        <f>'Table2(I).A-H'!I62</f>
        <v>NO</v>
      </c>
      <c r="E29" s="2108"/>
      <c r="F29" s="628"/>
      <c r="G29" s="628"/>
      <c r="H29" s="2135"/>
      <c r="I29" s="628"/>
      <c r="J29" s="2135"/>
      <c r="K29" s="691" t="s">
        <v>2147</v>
      </c>
      <c r="L29" s="691" t="s">
        <v>2147</v>
      </c>
      <c r="M29" s="691" t="s">
        <v>2147</v>
      </c>
      <c r="N29" s="2911" t="s">
        <v>2147</v>
      </c>
      <c r="O29" s="1880" t="str">
        <f t="shared" si="1"/>
        <v>NO</v>
      </c>
    </row>
    <row r="30" spans="2:15" ht="18" customHeight="1" x14ac:dyDescent="0.2">
      <c r="B30" s="1264" t="s">
        <v>462</v>
      </c>
      <c r="C30" s="1878">
        <f>'Table2(I).A-H'!H63</f>
        <v>3087.9193322580832</v>
      </c>
      <c r="D30" s="1879"/>
      <c r="E30" s="628"/>
      <c r="F30" s="628"/>
      <c r="G30" s="2140">
        <f>SUM('Table2(II)'!X41:Y41)</f>
        <v>617.93925336459722</v>
      </c>
      <c r="H30" s="2136"/>
      <c r="I30" s="2142" t="s">
        <v>2146</v>
      </c>
      <c r="J30" s="2135"/>
      <c r="K30" s="691" t="s">
        <v>2147</v>
      </c>
      <c r="L30" s="691" t="s">
        <v>2147</v>
      </c>
      <c r="M30" s="691" t="s">
        <v>2147</v>
      </c>
      <c r="N30" s="2911">
        <v>48.832479999999997</v>
      </c>
      <c r="O30" s="1880">
        <f t="shared" si="1"/>
        <v>3705.8585856226805</v>
      </c>
    </row>
    <row r="31" spans="2:15" ht="18" customHeight="1" x14ac:dyDescent="0.2">
      <c r="B31" s="1267" t="s">
        <v>463</v>
      </c>
      <c r="C31" s="1878" t="str">
        <f>'Table2(I).A-H'!H64</f>
        <v>NO</v>
      </c>
      <c r="D31" s="2143"/>
      <c r="E31" s="2108"/>
      <c r="F31" s="2139" t="s">
        <v>2146</v>
      </c>
      <c r="G31" s="2139" t="s">
        <v>2146</v>
      </c>
      <c r="H31" s="2139" t="s">
        <v>2146</v>
      </c>
      <c r="I31" s="3022" t="str">
        <f>IFERROR('Table2(II).B-Hs1'!G28/1000,'Table2(II).B-Hs1'!G28)</f>
        <v>NO</v>
      </c>
      <c r="J31" s="2135"/>
      <c r="K31" s="691" t="s">
        <v>2147</v>
      </c>
      <c r="L31" s="691" t="s">
        <v>2147</v>
      </c>
      <c r="M31" s="691" t="s">
        <v>2147</v>
      </c>
      <c r="N31" s="2911" t="s">
        <v>2147</v>
      </c>
      <c r="O31" s="2145" t="str">
        <f t="shared" si="1"/>
        <v>NO</v>
      </c>
    </row>
    <row r="32" spans="2:15" ht="18" customHeight="1" x14ac:dyDescent="0.2">
      <c r="B32" s="1268" t="s">
        <v>464</v>
      </c>
      <c r="C32" s="1878" t="str">
        <f>'Table2(I).A-H'!H65</f>
        <v>IE</v>
      </c>
      <c r="D32" s="2143"/>
      <c r="E32" s="2108"/>
      <c r="F32" s="2135"/>
      <c r="G32" s="2135"/>
      <c r="H32" s="2135"/>
      <c r="I32" s="3023"/>
      <c r="J32" s="2135"/>
      <c r="K32" s="692" t="s">
        <v>2153</v>
      </c>
      <c r="L32" s="692" t="s">
        <v>2153</v>
      </c>
      <c r="M32" s="692" t="s">
        <v>2153</v>
      </c>
      <c r="N32" s="2919" t="s">
        <v>2153</v>
      </c>
      <c r="O32" s="2145" t="str">
        <f t="shared" si="1"/>
        <v>NO</v>
      </c>
    </row>
    <row r="33" spans="2:15" ht="18" customHeight="1" x14ac:dyDescent="0.2">
      <c r="B33" s="1268" t="s">
        <v>465</v>
      </c>
      <c r="C33" s="1878" t="str">
        <f>'Table2(I).A-H'!H66</f>
        <v>NO</v>
      </c>
      <c r="D33" s="2143"/>
      <c r="E33" s="2108"/>
      <c r="F33" s="2135"/>
      <c r="G33" s="2135"/>
      <c r="H33" s="2135"/>
      <c r="I33" s="3023"/>
      <c r="J33" s="2135"/>
      <c r="K33" s="691" t="s">
        <v>2147</v>
      </c>
      <c r="L33" s="691" t="s">
        <v>2147</v>
      </c>
      <c r="M33" s="691" t="s">
        <v>2147</v>
      </c>
      <c r="N33" s="2144" t="s">
        <v>2153</v>
      </c>
      <c r="O33" s="2145" t="str">
        <f t="shared" si="1"/>
        <v>NO</v>
      </c>
    </row>
    <row r="34" spans="2:15" ht="18" customHeight="1" thickBot="1" x14ac:dyDescent="0.25">
      <c r="B34" s="1269" t="s">
        <v>2109</v>
      </c>
      <c r="C34" s="1881">
        <f>'Table2(I).A-H'!H67</f>
        <v>9642.8418375652636</v>
      </c>
      <c r="D34" s="1881">
        <f>'Table2(I).A-H'!I67</f>
        <v>2.9771984636148945</v>
      </c>
      <c r="E34" s="1881">
        <f>'Table2(I).A-H'!J67</f>
        <v>7.5404857489833013E-2</v>
      </c>
      <c r="F34" s="2146" t="s">
        <v>2146</v>
      </c>
      <c r="G34" s="2146" t="s">
        <v>2146</v>
      </c>
      <c r="H34" s="2146" t="s">
        <v>2146</v>
      </c>
      <c r="I34" s="2146" t="s">
        <v>2146</v>
      </c>
      <c r="J34" s="2146" t="s">
        <v>2146</v>
      </c>
      <c r="K34" s="2606">
        <v>38.506250117455558</v>
      </c>
      <c r="L34" s="2606">
        <v>10.314809980880625</v>
      </c>
      <c r="M34" s="2606">
        <v>9.3871641778285775E-2</v>
      </c>
      <c r="N34" s="2607">
        <v>1646.9744867956651</v>
      </c>
      <c r="O34" s="1882">
        <f t="shared" si="1"/>
        <v>9746.1856817812859</v>
      </c>
    </row>
    <row r="35" spans="2:15" ht="18" customHeight="1" x14ac:dyDescent="0.2">
      <c r="B35" s="2470" t="s">
        <v>2014</v>
      </c>
      <c r="C35" s="2920">
        <f>IF(SUM(C36:C38)=0,"NO",SUM(C36:C38))</f>
        <v>242.50388749999999</v>
      </c>
      <c r="D35" s="2139" t="str">
        <f t="shared" ref="D35:E35" si="5">IF(SUM(D36:D38)=0,"NO",SUM(D36:D38))</f>
        <v>NO</v>
      </c>
      <c r="E35" s="2139" t="str">
        <f t="shared" si="5"/>
        <v>NO</v>
      </c>
      <c r="F35" s="2135"/>
      <c r="G35" s="2135"/>
      <c r="H35" s="2135"/>
      <c r="I35" s="2135"/>
      <c r="J35" s="2135"/>
      <c r="K35" s="2139" t="str">
        <f>IF(SUM(K36:K38)=0,"NO",SUM(K36:K38))</f>
        <v>NO</v>
      </c>
      <c r="L35" s="2139" t="str">
        <f t="shared" ref="L35" si="6">IF(SUM(L36:L38)=0,"NO",SUM(L36:L38))</f>
        <v>NO</v>
      </c>
      <c r="M35" s="2920">
        <f>IF(SUM(M36:M38)=0,"NO",SUM(M36:M38))</f>
        <v>181.13082477855505</v>
      </c>
      <c r="N35" s="2048" t="str">
        <f t="shared" ref="N35" si="7">IF(SUM(N36:N38)=0,"NO",SUM(N36:N38))</f>
        <v>NO</v>
      </c>
      <c r="O35" s="2934">
        <f t="shared" si="1"/>
        <v>242.50388749999999</v>
      </c>
    </row>
    <row r="36" spans="2:15" ht="18" customHeight="1" x14ac:dyDescent="0.2">
      <c r="B36" s="1270" t="s">
        <v>466</v>
      </c>
      <c r="C36" s="1878">
        <f>'Table2(I).A-H'!H73</f>
        <v>242.50388749999999</v>
      </c>
      <c r="D36" s="2140" t="str">
        <f>'Table2(I).A-H'!I73</f>
        <v>NO</v>
      </c>
      <c r="E36" s="2140" t="str">
        <f>'Table2(I).A-H'!J73</f>
        <v>NO</v>
      </c>
      <c r="F36" s="628"/>
      <c r="G36" s="628"/>
      <c r="H36" s="2135"/>
      <c r="I36" s="628"/>
      <c r="J36" s="2135"/>
      <c r="K36" s="2147" t="s">
        <v>2147</v>
      </c>
      <c r="L36" s="2147" t="s">
        <v>2147</v>
      </c>
      <c r="M36" s="691" t="s">
        <v>2147</v>
      </c>
      <c r="N36" s="2141" t="s">
        <v>2147</v>
      </c>
      <c r="O36" s="1880">
        <f t="shared" si="1"/>
        <v>242.50388749999999</v>
      </c>
    </row>
    <row r="37" spans="2:15" ht="18" customHeight="1" x14ac:dyDescent="0.2">
      <c r="B37" s="1270" t="s">
        <v>467</v>
      </c>
      <c r="C37" s="1878" t="str">
        <f>'Table2(I).A-H'!H74</f>
        <v>NE</v>
      </c>
      <c r="D37" s="2140" t="str">
        <f>'Table2(I).A-H'!I74</f>
        <v>NO</v>
      </c>
      <c r="E37" s="2140" t="str">
        <f>'Table2(I).A-H'!J74</f>
        <v>NO</v>
      </c>
      <c r="F37" s="628"/>
      <c r="G37" s="628"/>
      <c r="H37" s="2135"/>
      <c r="I37" s="628"/>
      <c r="J37" s="2135"/>
      <c r="K37" s="2147" t="s">
        <v>2146</v>
      </c>
      <c r="L37" s="2147" t="s">
        <v>2146</v>
      </c>
      <c r="M37" s="691" t="s">
        <v>2146</v>
      </c>
      <c r="N37" s="2141" t="s">
        <v>2146</v>
      </c>
      <c r="O37" s="1880" t="str">
        <f t="shared" si="1"/>
        <v>NO</v>
      </c>
    </row>
    <row r="38" spans="2:15" ht="18" customHeight="1" thickBot="1" x14ac:dyDescent="0.25">
      <c r="B38" s="1271" t="s">
        <v>468</v>
      </c>
      <c r="C38" s="2152" t="str">
        <f>'Table2(I).A-H'!H75</f>
        <v>NO</v>
      </c>
      <c r="D38" s="2152" t="str">
        <f>'Table2(I).A-H'!I75</f>
        <v>NO</v>
      </c>
      <c r="E38" s="2152" t="str">
        <f>'Table2(I).A-H'!J75</f>
        <v>NO</v>
      </c>
      <c r="F38" s="3024"/>
      <c r="G38" s="3024"/>
      <c r="H38" s="3024"/>
      <c r="I38" s="3024"/>
      <c r="J38" s="1923"/>
      <c r="K38" s="2606" t="s">
        <v>2146</v>
      </c>
      <c r="L38" s="2606" t="s">
        <v>2146</v>
      </c>
      <c r="M38" s="2606">
        <v>181.13082477855505</v>
      </c>
      <c r="N38" s="2607" t="s">
        <v>2146</v>
      </c>
      <c r="O38" s="2148" t="str">
        <f t="shared" si="1"/>
        <v>NO</v>
      </c>
    </row>
    <row r="39" spans="2:15" ht="18" customHeight="1" x14ac:dyDescent="0.2">
      <c r="B39" s="2471" t="s">
        <v>469</v>
      </c>
      <c r="C39" s="2135"/>
      <c r="D39" s="2135"/>
      <c r="E39" s="2139" t="str">
        <f>IF(SUM(E40:E44)=0,"NO",SUM(E40:E44))</f>
        <v>NO</v>
      </c>
      <c r="F39" s="2139" t="str">
        <f t="shared" ref="F39:J39" si="8">IF(SUM(F40:F44)=0,"NO",SUM(F40:F44))</f>
        <v>NO</v>
      </c>
      <c r="G39" s="2139" t="str">
        <f t="shared" si="8"/>
        <v>NO</v>
      </c>
      <c r="H39" s="2139" t="str">
        <f t="shared" si="8"/>
        <v>NO</v>
      </c>
      <c r="I39" s="2139" t="str">
        <f t="shared" si="8"/>
        <v>NO</v>
      </c>
      <c r="J39" s="2139" t="str">
        <f t="shared" si="8"/>
        <v>NO</v>
      </c>
      <c r="K39" s="2135"/>
      <c r="L39" s="2135"/>
      <c r="M39" s="2135"/>
      <c r="N39" s="2149"/>
      <c r="O39" s="2150" t="str">
        <f t="shared" si="1"/>
        <v>NO</v>
      </c>
    </row>
    <row r="40" spans="2:15" ht="18" customHeight="1" x14ac:dyDescent="0.2">
      <c r="B40" s="1270" t="s">
        <v>470</v>
      </c>
      <c r="C40" s="628"/>
      <c r="D40" s="628"/>
      <c r="E40" s="2140" t="str">
        <f>'Table2(I).A-H'!J83</f>
        <v>NO</v>
      </c>
      <c r="F40" s="2140" t="s">
        <v>2146</v>
      </c>
      <c r="G40" s="2140" t="s">
        <v>2146</v>
      </c>
      <c r="H40" s="2139" t="s">
        <v>2146</v>
      </c>
      <c r="I40" s="2140" t="s">
        <v>2146</v>
      </c>
      <c r="J40" s="2139" t="s">
        <v>2146</v>
      </c>
      <c r="K40" s="628"/>
      <c r="L40" s="628"/>
      <c r="M40" s="628"/>
      <c r="N40" s="1838"/>
      <c r="O40" s="2151" t="str">
        <f t="shared" si="1"/>
        <v>NO</v>
      </c>
    </row>
    <row r="41" spans="2:15" ht="18" customHeight="1" x14ac:dyDescent="0.2">
      <c r="B41" s="1270" t="s">
        <v>471</v>
      </c>
      <c r="C41" s="628"/>
      <c r="D41" s="628"/>
      <c r="E41" s="2140" t="str">
        <f>'Table2(I).A-H'!J84</f>
        <v>NO</v>
      </c>
      <c r="F41" s="2140" t="s">
        <v>2146</v>
      </c>
      <c r="G41" s="2140" t="s">
        <v>2146</v>
      </c>
      <c r="H41" s="2139" t="s">
        <v>2146</v>
      </c>
      <c r="I41" s="2140" t="s">
        <v>2146</v>
      </c>
      <c r="J41" s="2139" t="s">
        <v>2146</v>
      </c>
      <c r="K41" s="628"/>
      <c r="L41" s="628"/>
      <c r="M41" s="628"/>
      <c r="N41" s="1838"/>
      <c r="O41" s="2151" t="str">
        <f t="shared" si="1"/>
        <v>NO</v>
      </c>
    </row>
    <row r="42" spans="2:15" ht="18" customHeight="1" x14ac:dyDescent="0.2">
      <c r="B42" s="1270" t="s">
        <v>472</v>
      </c>
      <c r="C42" s="628"/>
      <c r="D42" s="628"/>
      <c r="E42" s="628"/>
      <c r="F42" s="2140" t="s">
        <v>2146</v>
      </c>
      <c r="G42" s="2140" t="s">
        <v>2146</v>
      </c>
      <c r="H42" s="2139" t="s">
        <v>2146</v>
      </c>
      <c r="I42" s="2140" t="s">
        <v>2146</v>
      </c>
      <c r="J42" s="2139" t="s">
        <v>2146</v>
      </c>
      <c r="K42" s="628"/>
      <c r="L42" s="628"/>
      <c r="M42" s="628"/>
      <c r="N42" s="1838"/>
      <c r="O42" s="2151" t="str">
        <f t="shared" si="1"/>
        <v>NO</v>
      </c>
    </row>
    <row r="43" spans="2:15" ht="18" customHeight="1" x14ac:dyDescent="0.2">
      <c r="B43" s="1270" t="s">
        <v>473</v>
      </c>
      <c r="C43" s="628"/>
      <c r="D43" s="628"/>
      <c r="E43" s="628"/>
      <c r="F43" s="2140" t="s">
        <v>2146</v>
      </c>
      <c r="G43" s="2140" t="s">
        <v>2146</v>
      </c>
      <c r="H43" s="2139" t="s">
        <v>2146</v>
      </c>
      <c r="I43" s="2140" t="s">
        <v>2146</v>
      </c>
      <c r="J43" s="2139" t="s">
        <v>2146</v>
      </c>
      <c r="K43" s="628"/>
      <c r="L43" s="628"/>
      <c r="M43" s="628"/>
      <c r="N43" s="1838"/>
      <c r="O43" s="2151" t="str">
        <f t="shared" si="1"/>
        <v>NO</v>
      </c>
    </row>
    <row r="44" spans="2:15" ht="18" customHeight="1" thickBot="1" x14ac:dyDescent="0.25">
      <c r="B44" s="1270" t="s">
        <v>2108</v>
      </c>
      <c r="C44" s="628"/>
      <c r="D44" s="628"/>
      <c r="E44" s="2140" t="str">
        <f>'Table2(I).A-H'!J85</f>
        <v>NO</v>
      </c>
      <c r="F44" s="2140" t="s">
        <v>2146</v>
      </c>
      <c r="G44" s="2140" t="s">
        <v>2146</v>
      </c>
      <c r="H44" s="2152" t="s">
        <v>2146</v>
      </c>
      <c r="I44" s="2152" t="s">
        <v>2146</v>
      </c>
      <c r="J44" s="2152" t="s">
        <v>2146</v>
      </c>
      <c r="K44" s="628"/>
      <c r="L44" s="628"/>
      <c r="M44" s="628"/>
      <c r="N44" s="1838"/>
      <c r="O44" s="2151" t="str">
        <f t="shared" si="1"/>
        <v>NO</v>
      </c>
    </row>
    <row r="45" spans="2:15" ht="18" customHeight="1" x14ac:dyDescent="0.2">
      <c r="B45" s="2472" t="s">
        <v>666</v>
      </c>
      <c r="C45" s="1929"/>
      <c r="D45" s="1929"/>
      <c r="E45" s="1929"/>
      <c r="F45" s="2137">
        <f>IF(SUM(F46:F51)=0,"NO",SUM(F46:F51))</f>
        <v>4108.7147366727786</v>
      </c>
      <c r="G45" s="2137" t="str">
        <f t="shared" ref="G45:J45" si="9">IF(SUM(G46:G51)=0,"NO",SUM(G46:G51))</f>
        <v>NO</v>
      </c>
      <c r="H45" s="2920" t="str">
        <f t="shared" si="9"/>
        <v>NO</v>
      </c>
      <c r="I45" s="2920" t="str">
        <f t="shared" si="9"/>
        <v>NO</v>
      </c>
      <c r="J45" s="2139" t="str">
        <f t="shared" si="9"/>
        <v>NO</v>
      </c>
      <c r="K45" s="1929"/>
      <c r="L45" s="1929"/>
      <c r="M45" s="1929"/>
      <c r="N45" s="2153"/>
      <c r="O45" s="2941">
        <f t="shared" si="1"/>
        <v>4108.7147366727786</v>
      </c>
    </row>
    <row r="46" spans="2:15" ht="18" customHeight="1" x14ac:dyDescent="0.2">
      <c r="B46" s="1270" t="s">
        <v>474</v>
      </c>
      <c r="C46" s="628"/>
      <c r="D46" s="628"/>
      <c r="E46" s="628"/>
      <c r="F46" s="1878">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3839.1442070342932</v>
      </c>
      <c r="G46" s="1878" t="s">
        <v>2146</v>
      </c>
      <c r="H46" s="1878" t="s">
        <v>2146</v>
      </c>
      <c r="I46" s="1878" t="s">
        <v>2146</v>
      </c>
      <c r="J46" s="2139" t="str">
        <f t="shared" ref="J46" si="10">IF(SUM(J47:J52)=0,"NO",SUM(J47:J52))</f>
        <v>NO</v>
      </c>
      <c r="K46" s="628"/>
      <c r="L46" s="628"/>
      <c r="M46" s="628"/>
      <c r="N46" s="1838"/>
      <c r="O46" s="1880">
        <f t="shared" si="1"/>
        <v>3839.1442070342932</v>
      </c>
    </row>
    <row r="47" spans="2:15" ht="18" customHeight="1" x14ac:dyDescent="0.2">
      <c r="B47" s="1270" t="s">
        <v>475</v>
      </c>
      <c r="C47" s="628"/>
      <c r="D47" s="628"/>
      <c r="E47" s="628"/>
      <c r="F47" s="1878">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34.87276172323552</v>
      </c>
      <c r="G47" s="1878" t="s">
        <v>2146</v>
      </c>
      <c r="H47" s="1878" t="s">
        <v>2146</v>
      </c>
      <c r="I47" s="1878" t="s">
        <v>2146</v>
      </c>
      <c r="J47" s="2139" t="str">
        <f t="shared" ref="J47" si="11">IF(SUM(J48:J53)=0,"NO",SUM(J48:J53))</f>
        <v>NO</v>
      </c>
      <c r="K47" s="628"/>
      <c r="L47" s="628"/>
      <c r="M47" s="628"/>
      <c r="N47" s="1838"/>
      <c r="O47" s="1880">
        <f t="shared" si="1"/>
        <v>34.87276172323552</v>
      </c>
    </row>
    <row r="48" spans="2:15" ht="18" customHeight="1" x14ac:dyDescent="0.2">
      <c r="B48" s="1270" t="s">
        <v>476</v>
      </c>
      <c r="C48" s="628"/>
      <c r="D48" s="628"/>
      <c r="E48" s="628"/>
      <c r="F48" s="1878">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22.88321626315863</v>
      </c>
      <c r="G48" s="1878" t="s">
        <v>2146</v>
      </c>
      <c r="H48" s="1878" t="s">
        <v>2146</v>
      </c>
      <c r="I48" s="1878" t="s">
        <v>2146</v>
      </c>
      <c r="J48" s="2139" t="str">
        <f t="shared" ref="J48" si="12">IF(SUM(J49:J54)=0,"NO",SUM(J49:J54))</f>
        <v>NO</v>
      </c>
      <c r="K48" s="628"/>
      <c r="L48" s="628"/>
      <c r="M48" s="628"/>
      <c r="N48" s="1838"/>
      <c r="O48" s="1880">
        <f t="shared" si="1"/>
        <v>22.88321626315863</v>
      </c>
    </row>
    <row r="49" spans="2:15" ht="18" customHeight="1" x14ac:dyDescent="0.2">
      <c r="B49" s="1270" t="s">
        <v>477</v>
      </c>
      <c r="C49" s="628"/>
      <c r="D49" s="628"/>
      <c r="E49" s="628"/>
      <c r="F49" s="1878">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122.67046162805215</v>
      </c>
      <c r="G49" s="1878" t="s">
        <v>2146</v>
      </c>
      <c r="H49" s="1878" t="s">
        <v>2146</v>
      </c>
      <c r="I49" s="1878" t="s">
        <v>2146</v>
      </c>
      <c r="J49" s="2139" t="str">
        <f t="shared" ref="J49" si="13">IF(SUM(J50:J55)=0,"NO",SUM(J50:J55))</f>
        <v>NO</v>
      </c>
      <c r="K49" s="628"/>
      <c r="L49" s="628"/>
      <c r="M49" s="628"/>
      <c r="N49" s="1838"/>
      <c r="O49" s="1880">
        <f t="shared" si="1"/>
        <v>122.67046162805215</v>
      </c>
    </row>
    <row r="50" spans="2:15" ht="18" customHeight="1" x14ac:dyDescent="0.2">
      <c r="B50" s="1270" t="s">
        <v>478</v>
      </c>
      <c r="C50" s="628"/>
      <c r="D50" s="628"/>
      <c r="E50" s="628"/>
      <c r="F50" s="1878">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89.14409002403869</v>
      </c>
      <c r="G50" s="1878" t="s">
        <v>2146</v>
      </c>
      <c r="H50" s="1878" t="s">
        <v>2146</v>
      </c>
      <c r="I50" s="1878" t="s">
        <v>2146</v>
      </c>
      <c r="J50" s="2139" t="str">
        <f t="shared" ref="J50" si="14">IF(SUM(J51:J56)=0,"NO",SUM(J51:J56))</f>
        <v>NO</v>
      </c>
      <c r="K50" s="628"/>
      <c r="L50" s="628"/>
      <c r="M50" s="628"/>
      <c r="N50" s="1838"/>
      <c r="O50" s="1880">
        <f t="shared" si="1"/>
        <v>89.14409002403869</v>
      </c>
    </row>
    <row r="51" spans="2:15" ht="18" customHeight="1" thickBot="1" x14ac:dyDescent="0.25">
      <c r="B51" s="1270" t="s">
        <v>479</v>
      </c>
      <c r="C51" s="1923"/>
      <c r="D51" s="1923"/>
      <c r="E51" s="1923"/>
      <c r="F51" s="1881" t="s">
        <v>2146</v>
      </c>
      <c r="G51" s="1881" t="s">
        <v>2146</v>
      </c>
      <c r="H51" s="1881" t="s">
        <v>2146</v>
      </c>
      <c r="I51" s="1881" t="s">
        <v>2146</v>
      </c>
      <c r="J51" s="2152" t="str">
        <f t="shared" ref="J51" si="15">IF(SUM(J52:J57)=0,"NO",SUM(J52:J57))</f>
        <v>NO</v>
      </c>
      <c r="K51" s="1923"/>
      <c r="L51" s="1923"/>
      <c r="M51" s="1923"/>
      <c r="N51" s="2154"/>
      <c r="O51" s="1882" t="str">
        <f t="shared" si="1"/>
        <v>NO</v>
      </c>
    </row>
    <row r="52" spans="2:15" ht="18" customHeight="1" x14ac:dyDescent="0.2">
      <c r="B52" s="2471" t="s">
        <v>480</v>
      </c>
      <c r="C52" s="2139" t="str">
        <f>IF(SUM(C53:C56)=0,"NO",SUM(C53:C56))</f>
        <v>NO</v>
      </c>
      <c r="D52" s="2139" t="str">
        <f t="shared" ref="D52:N52" si="16">IF(SUM(D53:D56)=0,"NO",SUM(D53:D56))</f>
        <v>NO</v>
      </c>
      <c r="E52" s="2139" t="str">
        <f>IF(SUM(E53:E56)=0,"IE",SUM(E53:E56))</f>
        <v>IE</v>
      </c>
      <c r="F52" s="2920" t="str">
        <f t="shared" si="16"/>
        <v>NO</v>
      </c>
      <c r="G52" s="2920" t="str">
        <f t="shared" si="16"/>
        <v>NO</v>
      </c>
      <c r="H52" s="2920" t="str">
        <f t="shared" si="16"/>
        <v>NO</v>
      </c>
      <c r="I52" s="2920">
        <f t="shared" si="16"/>
        <v>8.1609069599868894E-3</v>
      </c>
      <c r="J52" s="2139" t="str">
        <f t="shared" si="16"/>
        <v>NO</v>
      </c>
      <c r="K52" s="2139" t="str">
        <f t="shared" si="16"/>
        <v>NO</v>
      </c>
      <c r="L52" s="2139" t="str">
        <f t="shared" si="16"/>
        <v>NO</v>
      </c>
      <c r="M52" s="2139" t="str">
        <f t="shared" si="16"/>
        <v>NO</v>
      </c>
      <c r="N52" s="2048" t="str">
        <f t="shared" si="16"/>
        <v>NO</v>
      </c>
      <c r="O52" s="2934">
        <f t="shared" si="1"/>
        <v>191.78131355969191</v>
      </c>
    </row>
    <row r="53" spans="2:15" ht="18" customHeight="1" x14ac:dyDescent="0.2">
      <c r="B53" s="1270" t="s">
        <v>481</v>
      </c>
      <c r="C53" s="2135"/>
      <c r="D53" s="2135"/>
      <c r="E53" s="2135"/>
      <c r="F53" s="2920" t="s">
        <v>2146</v>
      </c>
      <c r="G53" s="2920" t="s">
        <v>2146</v>
      </c>
      <c r="H53" s="2920" t="s">
        <v>2146</v>
      </c>
      <c r="I53" s="2920">
        <f>SUM('Table2(II).B-Hs2'!J163:M163)/1000</f>
        <v>7.4505089372968215E-3</v>
      </c>
      <c r="J53" s="2920" t="s">
        <v>2146</v>
      </c>
      <c r="K53" s="2135"/>
      <c r="L53" s="2135"/>
      <c r="M53" s="2135"/>
      <c r="N53" s="2149"/>
      <c r="O53" s="2934">
        <f t="shared" si="1"/>
        <v>175.08696002647531</v>
      </c>
    </row>
    <row r="54" spans="2:15" ht="18" customHeight="1" x14ac:dyDescent="0.2">
      <c r="B54" s="1270" t="s">
        <v>482</v>
      </c>
      <c r="C54" s="2135"/>
      <c r="D54" s="2135"/>
      <c r="E54" s="2135"/>
      <c r="F54" s="2135"/>
      <c r="G54" s="2920" t="s">
        <v>2146</v>
      </c>
      <c r="H54" s="3025"/>
      <c r="I54" s="2920">
        <f>SUM('Table2(II).B-Hs2'!J165:M165)/1000</f>
        <v>7.1039802269006727E-4</v>
      </c>
      <c r="J54" s="2135"/>
      <c r="K54" s="2135"/>
      <c r="L54" s="2135"/>
      <c r="M54" s="2135"/>
      <c r="N54" s="2149"/>
      <c r="O54" s="2934">
        <f t="shared" si="1"/>
        <v>16.694353533216582</v>
      </c>
    </row>
    <row r="55" spans="2:15" ht="18" customHeight="1" x14ac:dyDescent="0.2">
      <c r="B55" s="1270" t="s">
        <v>483</v>
      </c>
      <c r="C55" s="2135"/>
      <c r="D55" s="2135"/>
      <c r="E55" s="2139" t="str">
        <f>'Table2(I).A-H'!J88</f>
        <v>IE</v>
      </c>
      <c r="F55" s="3025"/>
      <c r="G55" s="3025"/>
      <c r="H55" s="3025"/>
      <c r="I55" s="3025"/>
      <c r="J55" s="2135"/>
      <c r="K55" s="2135"/>
      <c r="L55" s="2135"/>
      <c r="M55" s="2135"/>
      <c r="N55" s="2149"/>
      <c r="O55" s="2934" t="str">
        <f t="shared" si="1"/>
        <v>NO</v>
      </c>
    </row>
    <row r="56" spans="2:15" ht="18" customHeight="1" thickBot="1" x14ac:dyDescent="0.25">
      <c r="B56" s="2499" t="s">
        <v>484</v>
      </c>
      <c r="C56" s="2497" t="str">
        <f>'Table2(I).A-H'!H95</f>
        <v>NO</v>
      </c>
      <c r="D56" s="2497" t="str">
        <f>'Table2(I).A-H'!I95</f>
        <v>NO</v>
      </c>
      <c r="E56" s="2497" t="str">
        <f>'Table2(I).A-H'!J95</f>
        <v>NO</v>
      </c>
      <c r="F56" s="3026" t="s">
        <v>2146</v>
      </c>
      <c r="G56" s="3026" t="s">
        <v>2146</v>
      </c>
      <c r="H56" s="3026" t="s">
        <v>2146</v>
      </c>
      <c r="I56" s="3026" t="s">
        <v>2146</v>
      </c>
      <c r="J56" s="3026" t="s">
        <v>2146</v>
      </c>
      <c r="K56" s="2606" t="s">
        <v>2146</v>
      </c>
      <c r="L56" s="2606" t="s">
        <v>2146</v>
      </c>
      <c r="M56" s="2606" t="s">
        <v>2146</v>
      </c>
      <c r="N56" s="2607" t="s">
        <v>2146</v>
      </c>
      <c r="O56" s="3027" t="str">
        <f t="shared" si="1"/>
        <v>NO</v>
      </c>
    </row>
    <row r="57" spans="2:15" ht="18" customHeight="1" x14ac:dyDescent="0.2">
      <c r="B57" s="2471" t="s">
        <v>2107</v>
      </c>
      <c r="C57" s="2501">
        <f t="shared" ref="C57:M57" si="17">C58</f>
        <v>160.49409054511213</v>
      </c>
      <c r="D57" s="2501" t="str">
        <f t="shared" si="17"/>
        <v>NO</v>
      </c>
      <c r="E57" s="2501" t="str">
        <f t="shared" si="17"/>
        <v>NO</v>
      </c>
      <c r="F57" s="2137" t="str">
        <f t="shared" si="17"/>
        <v>NO</v>
      </c>
      <c r="G57" s="2137" t="str">
        <f t="shared" si="17"/>
        <v>NO</v>
      </c>
      <c r="H57" s="2137" t="str">
        <f t="shared" si="17"/>
        <v>NO</v>
      </c>
      <c r="I57" s="2137" t="str">
        <f t="shared" si="17"/>
        <v>NO</v>
      </c>
      <c r="J57" s="2501" t="str">
        <f t="shared" si="17"/>
        <v>NO</v>
      </c>
      <c r="K57" s="2501" t="str">
        <f t="shared" si="17"/>
        <v>NA</v>
      </c>
      <c r="L57" s="2501" t="str">
        <f t="shared" si="17"/>
        <v>NA</v>
      </c>
      <c r="M57" s="2501">
        <f t="shared" si="17"/>
        <v>55.333424088545243</v>
      </c>
      <c r="N57" s="2073" t="str">
        <f>N58</f>
        <v>NA</v>
      </c>
      <c r="O57" s="2941">
        <f t="shared" si="1"/>
        <v>160.49409054511213</v>
      </c>
    </row>
    <row r="58" spans="2:15" ht="18" customHeight="1" thickBot="1" x14ac:dyDescent="0.25">
      <c r="B58" s="2596" t="s">
        <v>2180</v>
      </c>
      <c r="C58" s="2500">
        <f>'Table2(I).A-H'!H97</f>
        <v>160.49409054511213</v>
      </c>
      <c r="D58" s="2500" t="str">
        <f>'Table2(I).A-H'!I97</f>
        <v>NO</v>
      </c>
      <c r="E58" s="2500" t="str">
        <f>'Table2(I).A-H'!J97</f>
        <v>NO</v>
      </c>
      <c r="F58" s="2500" t="s">
        <v>2146</v>
      </c>
      <c r="G58" s="2500" t="s">
        <v>2146</v>
      </c>
      <c r="H58" s="2500" t="s">
        <v>2146</v>
      </c>
      <c r="I58" s="2500" t="s">
        <v>2146</v>
      </c>
      <c r="J58" s="2500" t="s">
        <v>2146</v>
      </c>
      <c r="K58" s="2912" t="s">
        <v>2147</v>
      </c>
      <c r="L58" s="2912" t="s">
        <v>2147</v>
      </c>
      <c r="M58" s="2912">
        <v>55.333424088545243</v>
      </c>
      <c r="N58" s="2922" t="s">
        <v>2147</v>
      </c>
      <c r="O58" s="2925">
        <f t="shared" si="1"/>
        <v>160.49409054511213</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6" t="s">
        <v>390</v>
      </c>
      <c r="C70" s="1157"/>
      <c r="D70" s="1157"/>
      <c r="E70" s="1157"/>
      <c r="F70" s="1157"/>
      <c r="G70" s="1157"/>
      <c r="H70" s="1157"/>
      <c r="I70" s="1157"/>
      <c r="J70" s="1157"/>
      <c r="K70" s="1157"/>
      <c r="L70" s="1157"/>
      <c r="M70" s="1157"/>
      <c r="N70" s="1157"/>
      <c r="O70" s="1158"/>
    </row>
    <row r="71" spans="2:15" ht="12" customHeight="1" x14ac:dyDescent="0.2">
      <c r="B71" s="1272"/>
      <c r="C71" s="1273"/>
      <c r="D71" s="1273"/>
      <c r="E71" s="1273"/>
      <c r="F71" s="1273"/>
      <c r="G71" s="1273"/>
      <c r="H71" s="1273"/>
      <c r="I71" s="1273"/>
      <c r="J71" s="1273"/>
      <c r="K71" s="1273"/>
      <c r="L71" s="1273"/>
      <c r="M71" s="1273"/>
      <c r="N71" s="1273"/>
      <c r="O71" s="1274"/>
    </row>
    <row r="72" spans="2:15" ht="12" customHeight="1" x14ac:dyDescent="0.2">
      <c r="B72" s="1272"/>
      <c r="C72" s="1273"/>
      <c r="D72" s="1273"/>
      <c r="E72" s="1273"/>
      <c r="F72" s="1273"/>
      <c r="G72" s="1273"/>
      <c r="H72" s="1273"/>
      <c r="I72" s="1273"/>
      <c r="J72" s="1273"/>
      <c r="K72" s="1273"/>
      <c r="L72" s="1273"/>
      <c r="M72" s="1273"/>
      <c r="N72" s="1273"/>
      <c r="O72" s="1274"/>
    </row>
    <row r="73" spans="2:15" ht="12" customHeight="1" x14ac:dyDescent="0.2">
      <c r="B73" s="1272"/>
      <c r="C73" s="1273"/>
      <c r="D73" s="1273"/>
      <c r="E73" s="1273"/>
      <c r="F73" s="1273"/>
      <c r="G73" s="1273"/>
      <c r="H73" s="1273"/>
      <c r="I73" s="1273"/>
      <c r="J73" s="1273"/>
      <c r="K73" s="1273"/>
      <c r="L73" s="1273"/>
      <c r="M73" s="1273"/>
      <c r="N73" s="1273"/>
      <c r="O73" s="1274"/>
    </row>
    <row r="74" spans="2:15" ht="12" customHeight="1" x14ac:dyDescent="0.2">
      <c r="B74" s="1159"/>
      <c r="C74" s="1160"/>
      <c r="D74" s="1160"/>
      <c r="E74" s="1160"/>
      <c r="F74" s="1160"/>
      <c r="G74" s="1160"/>
      <c r="H74" s="1160"/>
      <c r="I74" s="1160"/>
      <c r="J74" s="1160"/>
      <c r="K74" s="1160"/>
      <c r="L74" s="1160"/>
      <c r="M74" s="1160"/>
      <c r="N74" s="1160"/>
      <c r="O74" s="1161"/>
    </row>
    <row r="75" spans="2:15" ht="12" customHeight="1" thickBot="1" x14ac:dyDescent="0.25">
      <c r="B75" s="4468"/>
      <c r="C75" s="4469"/>
      <c r="D75" s="4469"/>
      <c r="E75" s="4469"/>
      <c r="F75" s="4469"/>
      <c r="G75" s="4469"/>
      <c r="H75" s="4469"/>
      <c r="I75" s="4469"/>
      <c r="J75" s="4469"/>
      <c r="K75" s="4469"/>
      <c r="L75" s="4469"/>
      <c r="M75" s="4469"/>
      <c r="N75" s="4469"/>
      <c r="O75" s="4470"/>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B10:F34 K10:N51 K58:M59 K53:N56 J54:J55"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1.5703125" customWidth="1"/>
    <col min="3" max="21" width="4.85546875" customWidth="1"/>
    <col min="22" max="23" width="9.85546875" customWidth="1"/>
    <col min="24" max="37" width="4.85546875" customWidth="1"/>
  </cols>
  <sheetData>
    <row r="1" spans="2:37" ht="17.25" customHeight="1" x14ac:dyDescent="0.2">
      <c r="B1" s="212" t="s">
        <v>557</v>
      </c>
      <c r="C1" s="212"/>
      <c r="D1" s="212"/>
      <c r="E1" s="212"/>
      <c r="F1" s="212"/>
      <c r="G1" s="212"/>
      <c r="H1" s="212"/>
      <c r="I1" s="212"/>
      <c r="J1" s="212"/>
      <c r="K1" s="212"/>
      <c r="L1" s="212"/>
      <c r="M1" s="212"/>
      <c r="N1" s="212"/>
      <c r="O1" s="212"/>
      <c r="P1" s="212"/>
      <c r="Q1" s="212"/>
      <c r="R1" s="212"/>
      <c r="S1" s="2027"/>
      <c r="T1" s="2027"/>
      <c r="U1" s="2027"/>
      <c r="V1" s="2027"/>
      <c r="W1" s="2027"/>
      <c r="X1" s="2027"/>
      <c r="Y1" s="2027"/>
      <c r="Z1" s="2027"/>
      <c r="AA1" s="2027"/>
      <c r="AB1" s="2027"/>
      <c r="AC1" s="2027"/>
      <c r="AD1" s="2027"/>
      <c r="AE1" s="2027"/>
      <c r="AF1" s="2027"/>
      <c r="AG1" s="71"/>
      <c r="AH1" s="2027"/>
      <c r="AI1" s="2027"/>
      <c r="AJ1" s="226"/>
      <c r="AK1" s="14" t="s">
        <v>2521</v>
      </c>
    </row>
    <row r="2" spans="2:37" ht="15.75" customHeight="1" x14ac:dyDescent="0.2">
      <c r="B2" s="3" t="s">
        <v>62</v>
      </c>
      <c r="C2" s="2027"/>
      <c r="D2" s="2027"/>
      <c r="E2" s="2027"/>
      <c r="F2" s="2027"/>
      <c r="G2" s="2027"/>
      <c r="H2" s="2027"/>
      <c r="I2" s="2027"/>
      <c r="J2" s="2027"/>
      <c r="K2" s="2027"/>
      <c r="L2" s="2027"/>
      <c r="M2" s="2027"/>
      <c r="N2" s="2027"/>
      <c r="O2" s="2027"/>
      <c r="P2" s="2027"/>
      <c r="Q2" s="2027"/>
      <c r="R2" s="2027"/>
      <c r="S2" s="2027"/>
      <c r="T2" s="2027"/>
      <c r="U2" s="2027"/>
      <c r="V2" s="2027"/>
      <c r="W2" s="2027"/>
      <c r="X2" s="2027"/>
      <c r="Y2" s="2027"/>
      <c r="Z2" s="2027"/>
      <c r="AA2" s="2027"/>
      <c r="AB2" s="2027"/>
      <c r="AC2" s="2027"/>
      <c r="AD2" s="2027"/>
      <c r="AE2" s="2027"/>
      <c r="AF2" s="2027"/>
      <c r="AG2" s="71"/>
      <c r="AH2" s="226"/>
      <c r="AI2" s="226"/>
      <c r="AJ2" s="226"/>
      <c r="AK2" s="14" t="s">
        <v>2522</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27"/>
      <c r="W3" s="2027"/>
      <c r="X3" s="2027"/>
      <c r="Y3" s="2027"/>
      <c r="Z3" s="2027"/>
      <c r="AA3" s="2027"/>
      <c r="AB3" s="2027"/>
      <c r="AC3" s="2027"/>
      <c r="AD3" s="2027"/>
      <c r="AE3" s="2027"/>
      <c r="AF3" s="2027"/>
      <c r="AG3" s="71"/>
      <c r="AH3" s="226"/>
      <c r="AI3" s="226"/>
      <c r="AJ3" s="226"/>
      <c r="AK3" s="14" t="s">
        <v>2144</v>
      </c>
    </row>
    <row r="4" spans="2:37" ht="12" hidden="1" customHeight="1" x14ac:dyDescent="0.2">
      <c r="B4" s="3"/>
      <c r="C4" s="2027"/>
      <c r="D4" s="2027"/>
      <c r="E4" s="2027"/>
      <c r="F4" s="2027"/>
      <c r="G4" s="2027"/>
      <c r="H4" s="2027"/>
      <c r="I4" s="2027"/>
      <c r="J4" s="2027"/>
      <c r="K4" s="2027"/>
      <c r="L4" s="2027"/>
      <c r="M4" s="2027"/>
      <c r="N4" s="2027"/>
      <c r="O4" s="2027"/>
      <c r="P4" s="2027"/>
      <c r="Q4" s="2027"/>
      <c r="R4" s="2027"/>
      <c r="S4" s="2027"/>
      <c r="T4" s="2027"/>
      <c r="U4" s="2027"/>
      <c r="V4" s="2027"/>
      <c r="W4" s="2027"/>
      <c r="X4" s="2027"/>
      <c r="Y4" s="2027"/>
      <c r="Z4" s="2027"/>
      <c r="AA4" s="2027"/>
      <c r="AB4" s="2027"/>
      <c r="AC4" s="2027"/>
      <c r="AD4" s="2027"/>
      <c r="AE4" s="2027"/>
      <c r="AF4" s="2027"/>
      <c r="AG4" s="71"/>
      <c r="AH4" s="226"/>
      <c r="AI4" s="226"/>
      <c r="AJ4" s="226"/>
      <c r="AK4" s="226"/>
    </row>
    <row r="5" spans="2:37" ht="12" hidden="1" customHeight="1" x14ac:dyDescent="0.2">
      <c r="B5" s="3"/>
      <c r="C5" s="2027"/>
      <c r="D5" s="2027"/>
      <c r="E5" s="2027"/>
      <c r="F5" s="2027"/>
      <c r="G5" s="2027"/>
      <c r="H5" s="2027"/>
      <c r="I5" s="2027"/>
      <c r="J5" s="2027"/>
      <c r="K5" s="2027"/>
      <c r="L5" s="2027"/>
      <c r="M5" s="2027"/>
      <c r="N5" s="2027"/>
      <c r="O5" s="2027"/>
      <c r="P5" s="2027"/>
      <c r="Q5" s="2027"/>
      <c r="R5" s="2027"/>
      <c r="S5" s="2027"/>
      <c r="T5" s="2027"/>
      <c r="U5" s="2027"/>
      <c r="V5" s="2027"/>
      <c r="W5" s="2027"/>
      <c r="X5" s="2027"/>
      <c r="Y5" s="2027"/>
      <c r="Z5" s="2027"/>
      <c r="AA5" s="2027"/>
      <c r="AB5" s="2027"/>
      <c r="AC5" s="2027"/>
      <c r="AD5" s="2027"/>
      <c r="AE5" s="2027"/>
      <c r="AF5" s="2027"/>
      <c r="AG5" s="71"/>
      <c r="AH5" s="226"/>
      <c r="AI5" s="226"/>
      <c r="AJ5" s="226"/>
      <c r="AK5" s="226"/>
    </row>
    <row r="6" spans="2:37" ht="12" hidden="1" customHeight="1" x14ac:dyDescent="0.2">
      <c r="B6" s="3"/>
      <c r="C6" s="2027"/>
      <c r="D6" s="2027"/>
      <c r="E6" s="2027"/>
      <c r="F6" s="2027"/>
      <c r="G6" s="2027"/>
      <c r="H6" s="2027"/>
      <c r="I6" s="2027"/>
      <c r="J6" s="2027"/>
      <c r="K6" s="2027"/>
      <c r="L6" s="2027"/>
      <c r="M6" s="2027"/>
      <c r="N6" s="2027"/>
      <c r="O6" s="2027"/>
      <c r="P6" s="2027"/>
      <c r="Q6" s="2027"/>
      <c r="R6" s="2027"/>
      <c r="S6" s="2027"/>
      <c r="T6" s="2027"/>
      <c r="U6" s="2027"/>
      <c r="V6" s="2027"/>
      <c r="W6" s="2027"/>
      <c r="X6" s="2027"/>
      <c r="Y6" s="2027"/>
      <c r="Z6" s="2027"/>
      <c r="AA6" s="2027"/>
      <c r="AB6" s="2027"/>
      <c r="AC6" s="2027"/>
      <c r="AD6" s="2027"/>
      <c r="AE6" s="2027"/>
      <c r="AF6" s="2027"/>
      <c r="AG6" s="71"/>
      <c r="AH6" s="226"/>
      <c r="AI6" s="226"/>
      <c r="AJ6" s="226"/>
      <c r="AK6" s="226"/>
    </row>
    <row r="7" spans="2:37" ht="16.5" customHeight="1" thickBot="1" x14ac:dyDescent="0.25">
      <c r="B7" s="2451" t="s">
        <v>64</v>
      </c>
      <c r="C7" s="2027"/>
      <c r="D7" s="2027"/>
      <c r="E7" s="2027"/>
      <c r="F7" s="2027"/>
      <c r="G7" s="2027"/>
      <c r="H7" s="2027"/>
      <c r="I7" s="2027"/>
      <c r="J7" s="2027"/>
      <c r="K7" s="2027"/>
      <c r="L7" s="2027"/>
      <c r="M7" s="2027"/>
      <c r="N7" s="2027"/>
      <c r="O7" s="2027"/>
      <c r="P7" s="2027"/>
      <c r="Q7" s="2027"/>
      <c r="R7" s="2027"/>
      <c r="S7" s="2027"/>
      <c r="T7" s="2027"/>
      <c r="U7" s="2027"/>
      <c r="V7" s="2027"/>
      <c r="W7" s="2027"/>
      <c r="X7" s="2027"/>
      <c r="Y7" s="2027"/>
      <c r="Z7" s="2027"/>
      <c r="AA7" s="2027"/>
      <c r="AB7" s="2027"/>
      <c r="AC7" s="2027"/>
      <c r="AD7" s="2027"/>
      <c r="AE7" s="2027"/>
      <c r="AF7" s="2027"/>
      <c r="AG7" s="2027"/>
      <c r="AH7" s="2027"/>
      <c r="AI7" s="2027"/>
      <c r="AJ7" s="2027"/>
      <c r="AK7" s="2027"/>
    </row>
    <row r="8" spans="2:37" ht="154.5" x14ac:dyDescent="0.2">
      <c r="B8" s="2028" t="s">
        <v>558</v>
      </c>
      <c r="C8" s="2029" t="s">
        <v>559</v>
      </c>
      <c r="D8" s="2030" t="s">
        <v>560</v>
      </c>
      <c r="E8" s="2030" t="s">
        <v>561</v>
      </c>
      <c r="F8" s="2030" t="s">
        <v>562</v>
      </c>
      <c r="G8" s="2030" t="s">
        <v>563</v>
      </c>
      <c r="H8" s="2030" t="s">
        <v>564</v>
      </c>
      <c r="I8" s="2030" t="s">
        <v>565</v>
      </c>
      <c r="J8" s="2030" t="s">
        <v>566</v>
      </c>
      <c r="K8" s="2030" t="s">
        <v>567</v>
      </c>
      <c r="L8" s="2030" t="s">
        <v>568</v>
      </c>
      <c r="M8" s="2030" t="s">
        <v>569</v>
      </c>
      <c r="N8" s="2030" t="s">
        <v>570</v>
      </c>
      <c r="O8" s="2030" t="s">
        <v>571</v>
      </c>
      <c r="P8" s="2030" t="s">
        <v>572</v>
      </c>
      <c r="Q8" s="2030" t="s">
        <v>573</v>
      </c>
      <c r="R8" s="2030" t="s">
        <v>574</v>
      </c>
      <c r="S8" s="2030" t="s">
        <v>575</v>
      </c>
      <c r="T8" s="2031" t="s">
        <v>576</v>
      </c>
      <c r="U8" s="2031" t="s">
        <v>577</v>
      </c>
      <c r="V8" s="2032" t="s">
        <v>578</v>
      </c>
      <c r="W8" s="2030" t="s">
        <v>579</v>
      </c>
      <c r="X8" s="2033" t="s">
        <v>580</v>
      </c>
      <c r="Y8" s="2033" t="s">
        <v>581</v>
      </c>
      <c r="Z8" s="2033" t="s">
        <v>582</v>
      </c>
      <c r="AA8" s="2033" t="s">
        <v>583</v>
      </c>
      <c r="AB8" s="2033" t="s">
        <v>584</v>
      </c>
      <c r="AC8" s="2033" t="s">
        <v>585</v>
      </c>
      <c r="AD8" s="2033" t="s">
        <v>586</v>
      </c>
      <c r="AE8" s="2034" t="s">
        <v>587</v>
      </c>
      <c r="AF8" s="2034" t="s">
        <v>588</v>
      </c>
      <c r="AG8" s="2032" t="s">
        <v>589</v>
      </c>
      <c r="AH8" s="2030" t="s">
        <v>590</v>
      </c>
      <c r="AI8" s="2032" t="s">
        <v>591</v>
      </c>
      <c r="AJ8" s="2031" t="s">
        <v>440</v>
      </c>
      <c r="AK8" s="2035" t="s">
        <v>592</v>
      </c>
    </row>
    <row r="9" spans="2:37" ht="14.25" thickBot="1" x14ac:dyDescent="0.25">
      <c r="B9" s="2036"/>
      <c r="C9" s="2037" t="s">
        <v>593</v>
      </c>
      <c r="D9" s="2038"/>
      <c r="E9" s="2038"/>
      <c r="F9" s="2038"/>
      <c r="G9" s="2038"/>
      <c r="H9" s="2038"/>
      <c r="I9" s="2038"/>
      <c r="J9" s="2038"/>
      <c r="K9" s="2038"/>
      <c r="L9" s="2038"/>
      <c r="M9" s="2038"/>
      <c r="N9" s="2038"/>
      <c r="O9" s="2038"/>
      <c r="P9" s="2038"/>
      <c r="Q9" s="2038"/>
      <c r="R9" s="2038"/>
      <c r="S9" s="2039"/>
      <c r="T9" s="2038"/>
      <c r="U9" s="2038"/>
      <c r="V9" s="2040" t="s">
        <v>594</v>
      </c>
      <c r="W9" s="2039"/>
      <c r="X9" s="2040" t="s">
        <v>593</v>
      </c>
      <c r="Y9" s="2038"/>
      <c r="Z9" s="2038"/>
      <c r="AA9" s="2038"/>
      <c r="AB9" s="2038"/>
      <c r="AC9" s="2038"/>
      <c r="AD9" s="2039"/>
      <c r="AE9" s="2038"/>
      <c r="AF9" s="2038"/>
      <c r="AG9" s="2040" t="s">
        <v>594</v>
      </c>
      <c r="AH9" s="2039"/>
      <c r="AI9" s="2038"/>
      <c r="AJ9" s="2041" t="s">
        <v>593</v>
      </c>
      <c r="AK9" s="2042" t="s">
        <v>593</v>
      </c>
    </row>
    <row r="10" spans="2:37" ht="18" customHeight="1" thickTop="1" x14ac:dyDescent="0.2">
      <c r="B10" s="1288" t="s">
        <v>2100</v>
      </c>
      <c r="C10" s="2043" t="str">
        <f>IF(SUM(C11,C16,C20,C26,C33,C37)=0,"NO",SUM(C11,C16,C20,C26,C33,C37))</f>
        <v>NO</v>
      </c>
      <c r="D10" s="2044">
        <f t="shared" ref="D10:X10" si="0">IF(SUM(D11,D16,D20,D26,D33,D37)=0,"NO",SUM(D11,D16,D20,D26,D33,D37))</f>
        <v>41.192270309697847</v>
      </c>
      <c r="E10" s="2044" t="str">
        <f t="shared" si="0"/>
        <v>NO</v>
      </c>
      <c r="F10" s="2044" t="str">
        <f t="shared" si="0"/>
        <v>NO</v>
      </c>
      <c r="G10" s="2044">
        <f t="shared" si="0"/>
        <v>285.54630948615034</v>
      </c>
      <c r="H10" s="2044">
        <f t="shared" si="0"/>
        <v>0.60977241968668916</v>
      </c>
      <c r="I10" s="2044">
        <f t="shared" si="0"/>
        <v>1220.0751237903798</v>
      </c>
      <c r="J10" s="2044" t="str">
        <f t="shared" si="0"/>
        <v>NO</v>
      </c>
      <c r="K10" s="2044">
        <f t="shared" si="0"/>
        <v>305.96118541042767</v>
      </c>
      <c r="L10" s="2044" t="str">
        <f t="shared" si="0"/>
        <v>NO</v>
      </c>
      <c r="M10" s="2044">
        <f t="shared" si="0"/>
        <v>26.489729023507678</v>
      </c>
      <c r="N10" s="2044" t="str">
        <f t="shared" si="0"/>
        <v>NO</v>
      </c>
      <c r="O10" s="2044">
        <f t="shared" si="0"/>
        <v>11.130420191158677</v>
      </c>
      <c r="P10" s="2044" t="str">
        <f t="shared" si="0"/>
        <v>NO</v>
      </c>
      <c r="Q10" s="2044" t="str">
        <f t="shared" si="0"/>
        <v>NO</v>
      </c>
      <c r="R10" s="2044">
        <f t="shared" si="0"/>
        <v>4.7036792760825001</v>
      </c>
      <c r="S10" s="2044" t="str">
        <f t="shared" si="0"/>
        <v>NO</v>
      </c>
      <c r="T10" s="2044">
        <f t="shared" si="0"/>
        <v>29.057411130618473</v>
      </c>
      <c r="U10" s="2044">
        <f t="shared" si="0"/>
        <v>20.480184867537037</v>
      </c>
      <c r="V10" s="2045" t="str">
        <f t="shared" si="0"/>
        <v>NO</v>
      </c>
      <c r="W10" s="2046"/>
      <c r="X10" s="2044">
        <f t="shared" si="0"/>
        <v>76.557613729959996</v>
      </c>
      <c r="Y10" s="2044">
        <f t="shared" ref="Y10" si="1">IF(SUM(Y11,Y16,Y20,Y26,Y33,Y37)=0,"NO",SUM(Y11,Y16,Y20,Y26,Y33,Y37))</f>
        <v>9.9425472373840016</v>
      </c>
      <c r="Z10" s="2044" t="str">
        <f t="shared" ref="Z10" si="2">IF(SUM(Z11,Z16,Z20,Z26,Z33,Z37)=0,"NO",SUM(Z11,Z16,Z20,Z26,Z33,Z37))</f>
        <v>NO</v>
      </c>
      <c r="AA10" s="2044" t="str">
        <f t="shared" ref="AA10" si="3">IF(SUM(AA11,AA16,AA20,AA26,AA33,AA37)=0,"NO",SUM(AA11,AA16,AA20,AA26,AA33,AA37))</f>
        <v>NO</v>
      </c>
      <c r="AB10" s="2044" t="str">
        <f t="shared" ref="AB10" si="4">IF(SUM(AB11,AB16,AB20,AB26,AB33,AB37)=0,"NO",SUM(AB11,AB16,AB20,AB26,AB33,AB37))</f>
        <v>NO</v>
      </c>
      <c r="AC10" s="2044" t="str">
        <f t="shared" ref="AC10" si="5">IF(SUM(AC11,AC16,AC20,AC26,AC33,AC37)=0,"NO",SUM(AC11,AC16,AC20,AC26,AC33,AC37))</f>
        <v>NO</v>
      </c>
      <c r="AD10" s="2044" t="str">
        <f t="shared" ref="AD10" si="6">IF(SUM(AD11,AD16,AD20,AD26,AD33,AD37)=0,"NO",SUM(AD11,AD16,AD20,AD26,AD33,AD37))</f>
        <v>NO</v>
      </c>
      <c r="AE10" s="2044" t="str">
        <f t="shared" ref="AE10" si="7">IF(SUM(AE11,AE16,AE20,AE26,AE33,AE37)=0,"NO",SUM(AE11,AE16,AE20,AE26,AE33,AE37))</f>
        <v>NO</v>
      </c>
      <c r="AF10" s="2044" t="str">
        <f t="shared" ref="AF10" si="8">IF(SUM(AF11,AF16,AF20,AF26,AF33,AF37)=0,"NO",SUM(AF11,AF16,AF20,AF26,AF33,AF37))</f>
        <v>NO</v>
      </c>
      <c r="AG10" s="2044" t="str">
        <f t="shared" ref="AG10:AK10" si="9">IF(SUM(AG11,AG16,AG20,AG26,AG33,AG37)=0,"NO",SUM(AG11,AG16,AG20,AG26,AG33,AG37))</f>
        <v>NO</v>
      </c>
      <c r="AH10" s="1850"/>
      <c r="AI10" s="2044" t="str">
        <f t="shared" si="9"/>
        <v>NO</v>
      </c>
      <c r="AJ10" s="2044">
        <f t="shared" si="9"/>
        <v>8.1609069599868889</v>
      </c>
      <c r="AK10" s="2048" t="str">
        <f t="shared" si="9"/>
        <v>NO</v>
      </c>
    </row>
    <row r="11" spans="2:37" ht="18" customHeight="1" x14ac:dyDescent="0.2">
      <c r="B11" s="1288" t="s">
        <v>595</v>
      </c>
      <c r="C11" s="2049" t="str">
        <f>IF(SUM(C12,C15)=0,"NO",SUM(C12,C15))</f>
        <v>NO</v>
      </c>
      <c r="D11" s="2050" t="str">
        <f t="shared" ref="D11:X11" si="10">IF(SUM(D12,D15)=0,"NO",SUM(D12,D15))</f>
        <v>NO</v>
      </c>
      <c r="E11" s="2050" t="str">
        <f t="shared" si="10"/>
        <v>NO</v>
      </c>
      <c r="F11" s="2050" t="str">
        <f t="shared" si="10"/>
        <v>NO</v>
      </c>
      <c r="G11" s="2050" t="str">
        <f t="shared" si="10"/>
        <v>NO</v>
      </c>
      <c r="H11" s="2050" t="str">
        <f t="shared" si="10"/>
        <v>NO</v>
      </c>
      <c r="I11" s="2050" t="str">
        <f t="shared" si="10"/>
        <v>NO</v>
      </c>
      <c r="J11" s="2050" t="str">
        <f t="shared" si="10"/>
        <v>NO</v>
      </c>
      <c r="K11" s="2050" t="str">
        <f t="shared" si="10"/>
        <v>NO</v>
      </c>
      <c r="L11" s="2050" t="str">
        <f t="shared" si="10"/>
        <v>NO</v>
      </c>
      <c r="M11" s="2050" t="str">
        <f t="shared" si="10"/>
        <v>NO</v>
      </c>
      <c r="N11" s="2050" t="str">
        <f t="shared" si="10"/>
        <v>NO</v>
      </c>
      <c r="O11" s="2050" t="str">
        <f t="shared" si="10"/>
        <v>NO</v>
      </c>
      <c r="P11" s="2050" t="str">
        <f t="shared" si="10"/>
        <v>NO</v>
      </c>
      <c r="Q11" s="2050" t="str">
        <f t="shared" si="10"/>
        <v>NO</v>
      </c>
      <c r="R11" s="2050" t="str">
        <f t="shared" si="10"/>
        <v>NO</v>
      </c>
      <c r="S11" s="2050" t="str">
        <f t="shared" si="10"/>
        <v>NO</v>
      </c>
      <c r="T11" s="2050" t="str">
        <f t="shared" si="10"/>
        <v>NO</v>
      </c>
      <c r="U11" s="2050" t="str">
        <f t="shared" si="10"/>
        <v>NO</v>
      </c>
      <c r="V11" s="2050" t="str">
        <f t="shared" si="10"/>
        <v>NO</v>
      </c>
      <c r="W11" s="1850"/>
      <c r="X11" s="2050" t="str">
        <f t="shared" si="10"/>
        <v>NO</v>
      </c>
      <c r="Y11" s="2050" t="str">
        <f t="shared" ref="Y11" si="11">IF(SUM(Y12,Y15)=0,"NO",SUM(Y12,Y15))</f>
        <v>NO</v>
      </c>
      <c r="Z11" s="2050" t="str">
        <f t="shared" ref="Z11" si="12">IF(SUM(Z12,Z15)=0,"NO",SUM(Z12,Z15))</f>
        <v>NO</v>
      </c>
      <c r="AA11" s="2050" t="str">
        <f t="shared" ref="AA11" si="13">IF(SUM(AA12,AA15)=0,"NO",SUM(AA12,AA15))</f>
        <v>NO</v>
      </c>
      <c r="AB11" s="2050" t="str">
        <f t="shared" ref="AB11" si="14">IF(SUM(AB12,AB15)=0,"NO",SUM(AB12,AB15))</f>
        <v>NO</v>
      </c>
      <c r="AC11" s="2050" t="str">
        <f t="shared" ref="AC11" si="15">IF(SUM(AC12,AC15)=0,"NO",SUM(AC12,AC15))</f>
        <v>NO</v>
      </c>
      <c r="AD11" s="2050" t="str">
        <f t="shared" ref="AD11" si="16">IF(SUM(AD12,AD15)=0,"NO",SUM(AD12,AD15))</f>
        <v>NO</v>
      </c>
      <c r="AE11" s="2050" t="str">
        <f t="shared" ref="AE11" si="17">IF(SUM(AE12,AE15)=0,"NO",SUM(AE12,AE15))</f>
        <v>NO</v>
      </c>
      <c r="AF11" s="2050" t="str">
        <f t="shared" ref="AF11" si="18">IF(SUM(AF12,AF15)=0,"NO",SUM(AF12,AF15))</f>
        <v>NO</v>
      </c>
      <c r="AG11" s="2050" t="str">
        <f t="shared" ref="AG11:AI11" si="19">IF(SUM(AG12,AG15)=0,"NO",SUM(AG12,AG15))</f>
        <v>NO</v>
      </c>
      <c r="AH11" s="2051"/>
      <c r="AI11" s="2050" t="str">
        <f t="shared" si="19"/>
        <v>NO</v>
      </c>
      <c r="AJ11" s="2052" t="str">
        <f t="shared" ref="AJ11" si="20">IF(SUM(AJ12,AJ15)=0,"NO",SUM(AJ12,AJ15))</f>
        <v>NO</v>
      </c>
      <c r="AK11" s="2048" t="str">
        <f t="shared" ref="AK11" si="21">IF(SUM(AK12,AK15)=0,"NO",SUM(AK12,AK15))</f>
        <v>NO</v>
      </c>
    </row>
    <row r="12" spans="2:37" ht="18" customHeight="1" x14ac:dyDescent="0.2">
      <c r="B12" s="1264" t="s">
        <v>596</v>
      </c>
      <c r="C12" s="2049" t="str">
        <f>IF(SUM(C13:C14)=0,"NO",SUM(C13:C14))</f>
        <v>NO</v>
      </c>
      <c r="D12" s="2050" t="str">
        <f t="shared" ref="D12:X12" si="22">IF(SUM(D13:D14)=0,"NO",SUM(D13:D14))</f>
        <v>NO</v>
      </c>
      <c r="E12" s="2050" t="str">
        <f t="shared" si="22"/>
        <v>NO</v>
      </c>
      <c r="F12" s="2050" t="str">
        <f t="shared" si="22"/>
        <v>NO</v>
      </c>
      <c r="G12" s="2050" t="str">
        <f t="shared" si="22"/>
        <v>NO</v>
      </c>
      <c r="H12" s="2050" t="str">
        <f t="shared" si="22"/>
        <v>NO</v>
      </c>
      <c r="I12" s="2050" t="str">
        <f t="shared" si="22"/>
        <v>NO</v>
      </c>
      <c r="J12" s="2050" t="str">
        <f t="shared" si="22"/>
        <v>NO</v>
      </c>
      <c r="K12" s="2050" t="str">
        <f t="shared" si="22"/>
        <v>NO</v>
      </c>
      <c r="L12" s="2050" t="str">
        <f t="shared" si="22"/>
        <v>NO</v>
      </c>
      <c r="M12" s="2050" t="str">
        <f t="shared" si="22"/>
        <v>NO</v>
      </c>
      <c r="N12" s="2050" t="str">
        <f t="shared" si="22"/>
        <v>NO</v>
      </c>
      <c r="O12" s="2050" t="str">
        <f t="shared" si="22"/>
        <v>NO</v>
      </c>
      <c r="P12" s="2050" t="str">
        <f t="shared" si="22"/>
        <v>NO</v>
      </c>
      <c r="Q12" s="2050" t="str">
        <f t="shared" si="22"/>
        <v>NO</v>
      </c>
      <c r="R12" s="2050" t="str">
        <f t="shared" si="22"/>
        <v>NO</v>
      </c>
      <c r="S12" s="2050" t="str">
        <f t="shared" si="22"/>
        <v>NO</v>
      </c>
      <c r="T12" s="2050" t="str">
        <f t="shared" si="22"/>
        <v>NO</v>
      </c>
      <c r="U12" s="2050" t="str">
        <f t="shared" si="22"/>
        <v>NO</v>
      </c>
      <c r="V12" s="2050" t="str">
        <f t="shared" si="22"/>
        <v>NO</v>
      </c>
      <c r="W12" s="1850"/>
      <c r="X12" s="2050" t="str">
        <f t="shared" si="22"/>
        <v>NO</v>
      </c>
      <c r="Y12" s="2050" t="str">
        <f t="shared" ref="Y12" si="23">IF(SUM(Y13:Y14)=0,"NO",SUM(Y13:Y14))</f>
        <v>NO</v>
      </c>
      <c r="Z12" s="2050" t="str">
        <f t="shared" ref="Z12" si="24">IF(SUM(Z13:Z14)=0,"NO",SUM(Z13:Z14))</f>
        <v>NO</v>
      </c>
      <c r="AA12" s="2050" t="str">
        <f t="shared" ref="AA12" si="25">IF(SUM(AA13:AA14)=0,"NO",SUM(AA13:AA14))</f>
        <v>NO</v>
      </c>
      <c r="AB12" s="2050" t="str">
        <f t="shared" ref="AB12" si="26">IF(SUM(AB13:AB14)=0,"NO",SUM(AB13:AB14))</f>
        <v>NO</v>
      </c>
      <c r="AC12" s="2050" t="str">
        <f t="shared" ref="AC12" si="27">IF(SUM(AC13:AC14)=0,"NO",SUM(AC13:AC14))</f>
        <v>NO</v>
      </c>
      <c r="AD12" s="2050" t="str">
        <f t="shared" ref="AD12" si="28">IF(SUM(AD13:AD14)=0,"NO",SUM(AD13:AD14))</f>
        <v>NO</v>
      </c>
      <c r="AE12" s="2050" t="str">
        <f t="shared" ref="AE12" si="29">IF(SUM(AE13:AE14)=0,"NO",SUM(AE13:AE14))</f>
        <v>NO</v>
      </c>
      <c r="AF12" s="2050" t="str">
        <f t="shared" ref="AF12" si="30">IF(SUM(AF13:AF14)=0,"NO",SUM(AF13:AF14))</f>
        <v>NO</v>
      </c>
      <c r="AG12" s="2050" t="str">
        <f t="shared" ref="AG12:AI12" si="31">IF(SUM(AG13:AG14)=0,"NO",SUM(AG13:AG14))</f>
        <v>NO</v>
      </c>
      <c r="AH12" s="2051"/>
      <c r="AI12" s="2050" t="str">
        <f t="shared" si="31"/>
        <v>NO</v>
      </c>
      <c r="AJ12" s="2052" t="str">
        <f t="shared" ref="AJ12" si="32">IF(SUM(AJ13:AJ14)=0,"NO",SUM(AJ13:AJ14))</f>
        <v>NO</v>
      </c>
      <c r="AK12" s="2048" t="str">
        <f t="shared" ref="AK12" si="33">IF(SUM(AK13:AK14)=0,"NO",SUM(AK13:AK14))</f>
        <v>NO</v>
      </c>
    </row>
    <row r="13" spans="2:37" ht="18" customHeight="1" x14ac:dyDescent="0.2">
      <c r="B13" s="1289" t="s">
        <v>597</v>
      </c>
      <c r="C13" s="2049" t="str">
        <f>'Table2(II).B-Hs1'!G13</f>
        <v>NO</v>
      </c>
      <c r="D13" s="2050" t="s">
        <v>2146</v>
      </c>
      <c r="E13" s="2050" t="s">
        <v>2146</v>
      </c>
      <c r="F13" s="2050" t="s">
        <v>2146</v>
      </c>
      <c r="G13" s="2050" t="s">
        <v>2146</v>
      </c>
      <c r="H13" s="2050" t="s">
        <v>2146</v>
      </c>
      <c r="I13" s="2050" t="s">
        <v>2146</v>
      </c>
      <c r="J13" s="2050" t="s">
        <v>2146</v>
      </c>
      <c r="K13" s="2050" t="s">
        <v>2146</v>
      </c>
      <c r="L13" s="2050" t="s">
        <v>2146</v>
      </c>
      <c r="M13" s="2050" t="s">
        <v>2146</v>
      </c>
      <c r="N13" s="2050" t="s">
        <v>2146</v>
      </c>
      <c r="O13" s="2050" t="s">
        <v>2146</v>
      </c>
      <c r="P13" s="2050" t="s">
        <v>2146</v>
      </c>
      <c r="Q13" s="2050" t="s">
        <v>2146</v>
      </c>
      <c r="R13" s="2050" t="s">
        <v>2146</v>
      </c>
      <c r="S13" s="2050" t="s">
        <v>2146</v>
      </c>
      <c r="T13" s="2050" t="s">
        <v>2146</v>
      </c>
      <c r="U13" s="2050" t="s">
        <v>2146</v>
      </c>
      <c r="V13" s="2050" t="s">
        <v>2146</v>
      </c>
      <c r="W13" s="1850"/>
      <c r="X13" s="2050" t="s">
        <v>2146</v>
      </c>
      <c r="Y13" s="2050" t="s">
        <v>2146</v>
      </c>
      <c r="Z13" s="2050" t="s">
        <v>2146</v>
      </c>
      <c r="AA13" s="2050" t="s">
        <v>2146</v>
      </c>
      <c r="AB13" s="2050" t="s">
        <v>2146</v>
      </c>
      <c r="AC13" s="2050" t="s">
        <v>2146</v>
      </c>
      <c r="AD13" s="2050" t="s">
        <v>2146</v>
      </c>
      <c r="AE13" s="2050" t="s">
        <v>2146</v>
      </c>
      <c r="AF13" s="2050" t="s">
        <v>2146</v>
      </c>
      <c r="AG13" s="2050" t="s">
        <v>2146</v>
      </c>
      <c r="AH13" s="2051"/>
      <c r="AI13" s="2050" t="s">
        <v>2146</v>
      </c>
      <c r="AJ13" s="2050" t="s">
        <v>2146</v>
      </c>
      <c r="AK13" s="2048" t="s">
        <v>2146</v>
      </c>
    </row>
    <row r="14" spans="2:37" ht="18" customHeight="1" x14ac:dyDescent="0.2">
      <c r="B14" s="1289" t="s">
        <v>598</v>
      </c>
      <c r="C14" s="2049" t="s">
        <v>2146</v>
      </c>
      <c r="D14" s="2050" t="s">
        <v>2146</v>
      </c>
      <c r="E14" s="2050" t="s">
        <v>2146</v>
      </c>
      <c r="F14" s="2050" t="s">
        <v>2146</v>
      </c>
      <c r="G14" s="2050" t="s">
        <v>2146</v>
      </c>
      <c r="H14" s="2050" t="s">
        <v>2146</v>
      </c>
      <c r="I14" s="2050" t="s">
        <v>2146</v>
      </c>
      <c r="J14" s="2050" t="s">
        <v>2146</v>
      </c>
      <c r="K14" s="2050" t="s">
        <v>2146</v>
      </c>
      <c r="L14" s="2050" t="s">
        <v>2146</v>
      </c>
      <c r="M14" s="2050" t="s">
        <v>2146</v>
      </c>
      <c r="N14" s="2050" t="s">
        <v>2146</v>
      </c>
      <c r="O14" s="2050" t="s">
        <v>2146</v>
      </c>
      <c r="P14" s="2050" t="s">
        <v>2146</v>
      </c>
      <c r="Q14" s="2050" t="s">
        <v>2146</v>
      </c>
      <c r="R14" s="2050" t="s">
        <v>2146</v>
      </c>
      <c r="S14" s="2050" t="s">
        <v>2146</v>
      </c>
      <c r="T14" s="2050" t="s">
        <v>2146</v>
      </c>
      <c r="U14" s="2050" t="s">
        <v>2146</v>
      </c>
      <c r="V14" s="2050" t="s">
        <v>2146</v>
      </c>
      <c r="W14" s="1850"/>
      <c r="X14" s="2050" t="s">
        <v>2146</v>
      </c>
      <c r="Y14" s="2050" t="s">
        <v>2146</v>
      </c>
      <c r="Z14" s="2050" t="s">
        <v>2146</v>
      </c>
      <c r="AA14" s="2050" t="s">
        <v>2146</v>
      </c>
      <c r="AB14" s="2050" t="s">
        <v>2146</v>
      </c>
      <c r="AC14" s="2050" t="s">
        <v>2146</v>
      </c>
      <c r="AD14" s="2050" t="s">
        <v>2146</v>
      </c>
      <c r="AE14" s="2050" t="s">
        <v>2146</v>
      </c>
      <c r="AF14" s="2050" t="s">
        <v>2146</v>
      </c>
      <c r="AG14" s="2050" t="s">
        <v>2146</v>
      </c>
      <c r="AH14" s="2051"/>
      <c r="AI14" s="2050" t="s">
        <v>2146</v>
      </c>
      <c r="AJ14" s="2050" t="s">
        <v>2146</v>
      </c>
      <c r="AK14" s="2048" t="s">
        <v>2146</v>
      </c>
    </row>
    <row r="15" spans="2:37" ht="18" customHeight="1" x14ac:dyDescent="0.2">
      <c r="B15" s="1264" t="s">
        <v>599</v>
      </c>
      <c r="C15" s="2049" t="s">
        <v>2146</v>
      </c>
      <c r="D15" s="2050" t="s">
        <v>2146</v>
      </c>
      <c r="E15" s="2050" t="s">
        <v>2146</v>
      </c>
      <c r="F15" s="2050" t="s">
        <v>2146</v>
      </c>
      <c r="G15" s="2050" t="s">
        <v>2146</v>
      </c>
      <c r="H15" s="2050" t="s">
        <v>2146</v>
      </c>
      <c r="I15" s="2050" t="s">
        <v>2146</v>
      </c>
      <c r="J15" s="2050" t="s">
        <v>2146</v>
      </c>
      <c r="K15" s="2050" t="s">
        <v>2146</v>
      </c>
      <c r="L15" s="2050" t="s">
        <v>2146</v>
      </c>
      <c r="M15" s="2050" t="s">
        <v>2146</v>
      </c>
      <c r="N15" s="2050" t="s">
        <v>2146</v>
      </c>
      <c r="O15" s="2050" t="s">
        <v>2146</v>
      </c>
      <c r="P15" s="2050" t="s">
        <v>2146</v>
      </c>
      <c r="Q15" s="2050" t="s">
        <v>2146</v>
      </c>
      <c r="R15" s="2050" t="s">
        <v>2146</v>
      </c>
      <c r="S15" s="2050" t="s">
        <v>2146</v>
      </c>
      <c r="T15" s="2050" t="s">
        <v>2146</v>
      </c>
      <c r="U15" s="2050" t="s">
        <v>2146</v>
      </c>
      <c r="V15" s="2050" t="s">
        <v>2146</v>
      </c>
      <c r="W15" s="1850"/>
      <c r="X15" s="2050" t="s">
        <v>2146</v>
      </c>
      <c r="Y15" s="2050" t="s">
        <v>2146</v>
      </c>
      <c r="Z15" s="2050" t="s">
        <v>2146</v>
      </c>
      <c r="AA15" s="2050" t="s">
        <v>2146</v>
      </c>
      <c r="AB15" s="2050" t="s">
        <v>2146</v>
      </c>
      <c r="AC15" s="2050" t="s">
        <v>2146</v>
      </c>
      <c r="AD15" s="2050" t="s">
        <v>2146</v>
      </c>
      <c r="AE15" s="2050" t="s">
        <v>2146</v>
      </c>
      <c r="AF15" s="2050" t="s">
        <v>2146</v>
      </c>
      <c r="AG15" s="2050" t="s">
        <v>2146</v>
      </c>
      <c r="AH15" s="2051"/>
      <c r="AI15" s="2050" t="s">
        <v>2146</v>
      </c>
      <c r="AJ15" s="2050" t="s">
        <v>2146</v>
      </c>
      <c r="AK15" s="2048" t="s">
        <v>2146</v>
      </c>
    </row>
    <row r="16" spans="2:37" ht="18" customHeight="1" x14ac:dyDescent="0.2">
      <c r="B16" s="1288" t="s">
        <v>523</v>
      </c>
      <c r="C16" s="2049" t="str">
        <f>IF(SUM(C17:C19)=0,"NO",SUM(C17:C19))</f>
        <v>NO</v>
      </c>
      <c r="D16" s="2050" t="str">
        <f t="shared" ref="D16:X16" si="34">IF(SUM(D17:D19)=0,"NO",SUM(D17:D19))</f>
        <v>NO</v>
      </c>
      <c r="E16" s="2050" t="str">
        <f t="shared" si="34"/>
        <v>NO</v>
      </c>
      <c r="F16" s="2050" t="str">
        <f t="shared" si="34"/>
        <v>NO</v>
      </c>
      <c r="G16" s="2050" t="str">
        <f t="shared" si="34"/>
        <v>NO</v>
      </c>
      <c r="H16" s="2050" t="str">
        <f t="shared" si="34"/>
        <v>NO</v>
      </c>
      <c r="I16" s="2050" t="str">
        <f t="shared" si="34"/>
        <v>NO</v>
      </c>
      <c r="J16" s="2050" t="str">
        <f t="shared" si="34"/>
        <v>NO</v>
      </c>
      <c r="K16" s="2050" t="str">
        <f t="shared" si="34"/>
        <v>NO</v>
      </c>
      <c r="L16" s="2050" t="str">
        <f t="shared" si="34"/>
        <v>NO</v>
      </c>
      <c r="M16" s="2050" t="str">
        <f t="shared" si="34"/>
        <v>NO</v>
      </c>
      <c r="N16" s="2050" t="str">
        <f t="shared" si="34"/>
        <v>NO</v>
      </c>
      <c r="O16" s="2050" t="str">
        <f t="shared" si="34"/>
        <v>NO</v>
      </c>
      <c r="P16" s="2050" t="str">
        <f t="shared" si="34"/>
        <v>NO</v>
      </c>
      <c r="Q16" s="2050" t="str">
        <f t="shared" si="34"/>
        <v>NO</v>
      </c>
      <c r="R16" s="2050" t="str">
        <f t="shared" si="34"/>
        <v>NO</v>
      </c>
      <c r="S16" s="2050" t="str">
        <f t="shared" si="34"/>
        <v>NO</v>
      </c>
      <c r="T16" s="2050" t="str">
        <f t="shared" si="34"/>
        <v>NO</v>
      </c>
      <c r="U16" s="2050" t="str">
        <f t="shared" si="34"/>
        <v>NO</v>
      </c>
      <c r="V16" s="2050" t="str">
        <f t="shared" si="34"/>
        <v>NO</v>
      </c>
      <c r="W16" s="2053"/>
      <c r="X16" s="2050">
        <f t="shared" si="34"/>
        <v>76.557613729959996</v>
      </c>
      <c r="Y16" s="2050">
        <f t="shared" ref="Y16" si="35">IF(SUM(Y17:Y19)=0,"NO",SUM(Y17:Y19))</f>
        <v>9.9425472373840016</v>
      </c>
      <c r="Z16" s="2050" t="str">
        <f t="shared" ref="Z16" si="36">IF(SUM(Z17:Z19)=0,"NO",SUM(Z17:Z19))</f>
        <v>NO</v>
      </c>
      <c r="AA16" s="2050" t="str">
        <f t="shared" ref="AA16" si="37">IF(SUM(AA17:AA19)=0,"NO",SUM(AA17:AA19))</f>
        <v>NO</v>
      </c>
      <c r="AB16" s="2050" t="str">
        <f t="shared" ref="AB16" si="38">IF(SUM(AB17:AB19)=0,"NO",SUM(AB17:AB19))</f>
        <v>NO</v>
      </c>
      <c r="AC16" s="2050" t="str">
        <f t="shared" ref="AC16" si="39">IF(SUM(AC17:AC19)=0,"NO",SUM(AC17:AC19))</f>
        <v>NO</v>
      </c>
      <c r="AD16" s="2050" t="str">
        <f t="shared" ref="AD16" si="40">IF(SUM(AD17:AD19)=0,"NO",SUM(AD17:AD19))</f>
        <v>NO</v>
      </c>
      <c r="AE16" s="2050" t="str">
        <f t="shared" ref="AE16" si="41">IF(SUM(AE17:AE19)=0,"NO",SUM(AE17:AE19))</f>
        <v>NO</v>
      </c>
      <c r="AF16" s="2050" t="str">
        <f t="shared" ref="AF16" si="42">IF(SUM(AF17:AF19)=0,"NO",SUM(AF17:AF19))</f>
        <v>NO</v>
      </c>
      <c r="AG16" s="2050" t="str">
        <f t="shared" ref="AG16:AI16" si="43">IF(SUM(AG17:AG19)=0,"NO",SUM(AG17:AG19))</f>
        <v>NO</v>
      </c>
      <c r="AH16" s="2054"/>
      <c r="AI16" s="2050" t="str">
        <f t="shared" si="43"/>
        <v>NO</v>
      </c>
      <c r="AJ16" s="2055" t="str">
        <f t="shared" ref="AJ16" si="44">IF(SUM(AJ17:AJ19)=0,"NO",SUM(AJ17:AJ19))</f>
        <v>NO</v>
      </c>
      <c r="AK16" s="2048" t="str">
        <f t="shared" ref="AK16" si="45">IF(SUM(AK17:AK19)=0,"NO",SUM(AK17:AK19))</f>
        <v>NO</v>
      </c>
    </row>
    <row r="17" spans="2:37" ht="18" customHeight="1" x14ac:dyDescent="0.2">
      <c r="B17" s="1264" t="s">
        <v>532</v>
      </c>
      <c r="C17" s="2056"/>
      <c r="D17" s="229"/>
      <c r="E17" s="229"/>
      <c r="F17" s="229"/>
      <c r="G17" s="229"/>
      <c r="H17" s="229"/>
      <c r="I17" s="229"/>
      <c r="J17" s="229"/>
      <c r="K17" s="229"/>
      <c r="L17" s="229"/>
      <c r="M17" s="229"/>
      <c r="N17" s="229"/>
      <c r="O17" s="229"/>
      <c r="P17" s="229"/>
      <c r="Q17" s="229"/>
      <c r="R17" s="229"/>
      <c r="S17" s="229"/>
      <c r="T17" s="229"/>
      <c r="U17" s="229"/>
      <c r="V17" s="229"/>
      <c r="W17" s="229"/>
      <c r="X17" s="2057">
        <f>'Table2(II).B-Hs1'!G25</f>
        <v>76.557613729959996</v>
      </c>
      <c r="Y17" s="2050">
        <f>'Table2(II).B-Hs1'!G26</f>
        <v>9.9425472373840016</v>
      </c>
      <c r="Z17" s="2050" t="s">
        <v>2146</v>
      </c>
      <c r="AA17" s="2050" t="s">
        <v>2146</v>
      </c>
      <c r="AB17" s="2050" t="s">
        <v>2146</v>
      </c>
      <c r="AC17" s="2050" t="s">
        <v>2146</v>
      </c>
      <c r="AD17" s="2050" t="s">
        <v>2146</v>
      </c>
      <c r="AE17" s="2050" t="s">
        <v>2146</v>
      </c>
      <c r="AF17" s="2050" t="s">
        <v>2146</v>
      </c>
      <c r="AG17" s="2050" t="s">
        <v>2146</v>
      </c>
      <c r="AH17" s="229"/>
      <c r="AI17" s="2058"/>
      <c r="AJ17" s="2059" t="str">
        <f>'Table2(II).B-Hs1'!G27</f>
        <v>NO</v>
      </c>
      <c r="AK17" s="2060"/>
    </row>
    <row r="18" spans="2:37" ht="18" customHeight="1" x14ac:dyDescent="0.2">
      <c r="B18" s="1264" t="s">
        <v>533</v>
      </c>
      <c r="C18" s="2049" t="s">
        <v>2146</v>
      </c>
      <c r="D18" s="2050" t="s">
        <v>2146</v>
      </c>
      <c r="E18" s="2050" t="s">
        <v>2146</v>
      </c>
      <c r="F18" s="2050" t="s">
        <v>2146</v>
      </c>
      <c r="G18" s="2050" t="s">
        <v>2146</v>
      </c>
      <c r="H18" s="2050" t="s">
        <v>2146</v>
      </c>
      <c r="I18" s="2050" t="s">
        <v>2146</v>
      </c>
      <c r="J18" s="2050" t="s">
        <v>2146</v>
      </c>
      <c r="K18" s="2050" t="s">
        <v>2146</v>
      </c>
      <c r="L18" s="2050" t="s">
        <v>2146</v>
      </c>
      <c r="M18" s="2050" t="s">
        <v>2146</v>
      </c>
      <c r="N18" s="2050" t="s">
        <v>2146</v>
      </c>
      <c r="O18" s="2050" t="s">
        <v>2146</v>
      </c>
      <c r="P18" s="2050" t="s">
        <v>2146</v>
      </c>
      <c r="Q18" s="2050" t="s">
        <v>2146</v>
      </c>
      <c r="R18" s="2050" t="s">
        <v>2146</v>
      </c>
      <c r="S18" s="2050" t="s">
        <v>2146</v>
      </c>
      <c r="T18" s="2050" t="s">
        <v>2146</v>
      </c>
      <c r="U18" s="2050" t="s">
        <v>2146</v>
      </c>
      <c r="V18" s="2050" t="s">
        <v>2146</v>
      </c>
      <c r="W18" s="1850"/>
      <c r="X18" s="2050" t="s">
        <v>2146</v>
      </c>
      <c r="Y18" s="2050" t="s">
        <v>2146</v>
      </c>
      <c r="Z18" s="2050" t="s">
        <v>2146</v>
      </c>
      <c r="AA18" s="2050" t="s">
        <v>2146</v>
      </c>
      <c r="AB18" s="2050" t="s">
        <v>2146</v>
      </c>
      <c r="AC18" s="2050" t="s">
        <v>2146</v>
      </c>
      <c r="AD18" s="2050" t="s">
        <v>2146</v>
      </c>
      <c r="AE18" s="2050" t="s">
        <v>2146</v>
      </c>
      <c r="AF18" s="2050" t="s">
        <v>2146</v>
      </c>
      <c r="AG18" s="2050" t="s">
        <v>2146</v>
      </c>
      <c r="AH18" s="2051"/>
      <c r="AI18" s="2050" t="s">
        <v>2146</v>
      </c>
      <c r="AJ18" s="4015" t="str">
        <f>'Table2(II).B-Hs1'!G28</f>
        <v>NO</v>
      </c>
      <c r="AK18" s="2060"/>
    </row>
    <row r="19" spans="2:37" ht="18" customHeight="1" thickBot="1" x14ac:dyDescent="0.25">
      <c r="B19" s="1269" t="s">
        <v>536</v>
      </c>
      <c r="C19" s="2061" t="s">
        <v>2146</v>
      </c>
      <c r="D19" s="2062" t="s">
        <v>2146</v>
      </c>
      <c r="E19" s="2062" t="s">
        <v>2146</v>
      </c>
      <c r="F19" s="2062" t="s">
        <v>2146</v>
      </c>
      <c r="G19" s="2062" t="s">
        <v>2146</v>
      </c>
      <c r="H19" s="2062" t="s">
        <v>2146</v>
      </c>
      <c r="I19" s="2062" t="s">
        <v>2146</v>
      </c>
      <c r="J19" s="2062" t="s">
        <v>2146</v>
      </c>
      <c r="K19" s="2062" t="s">
        <v>2146</v>
      </c>
      <c r="L19" s="2062" t="s">
        <v>2146</v>
      </c>
      <c r="M19" s="2062" t="s">
        <v>2146</v>
      </c>
      <c r="N19" s="2062" t="s">
        <v>2146</v>
      </c>
      <c r="O19" s="2062" t="s">
        <v>2146</v>
      </c>
      <c r="P19" s="2062" t="s">
        <v>2146</v>
      </c>
      <c r="Q19" s="2062" t="s">
        <v>2146</v>
      </c>
      <c r="R19" s="2062" t="s">
        <v>2146</v>
      </c>
      <c r="S19" s="2062" t="s">
        <v>2146</v>
      </c>
      <c r="T19" s="2062" t="s">
        <v>2146</v>
      </c>
      <c r="U19" s="2062" t="s">
        <v>2146</v>
      </c>
      <c r="V19" s="2062" t="s">
        <v>2146</v>
      </c>
      <c r="W19" s="1852"/>
      <c r="X19" s="2063" t="s">
        <v>2146</v>
      </c>
      <c r="Y19" s="2062" t="s">
        <v>2146</v>
      </c>
      <c r="Z19" s="2062" t="s">
        <v>2146</v>
      </c>
      <c r="AA19" s="2062" t="s">
        <v>2146</v>
      </c>
      <c r="AB19" s="2062" t="s">
        <v>2146</v>
      </c>
      <c r="AC19" s="2062" t="s">
        <v>2146</v>
      </c>
      <c r="AD19" s="2062" t="s">
        <v>2146</v>
      </c>
      <c r="AE19" s="2062" t="s">
        <v>2146</v>
      </c>
      <c r="AF19" s="2062" t="s">
        <v>2146</v>
      </c>
      <c r="AG19" s="2062" t="s">
        <v>2146</v>
      </c>
      <c r="AH19" s="1852"/>
      <c r="AI19" s="2064" t="s">
        <v>2146</v>
      </c>
      <c r="AJ19" s="2065" t="s">
        <v>2146</v>
      </c>
      <c r="AK19" s="2066" t="s">
        <v>2146</v>
      </c>
    </row>
    <row r="20" spans="2:37" ht="18" customHeight="1" x14ac:dyDescent="0.2">
      <c r="B20" s="1288" t="s">
        <v>600</v>
      </c>
      <c r="C20" s="2049" t="str">
        <f>IF(SUM(C21:C25)=0,"NO",SUM(C21:C25))</f>
        <v>NO</v>
      </c>
      <c r="D20" s="2050" t="str">
        <f>IF(SUM(D21:D25)=0,"NO",SUM(D21:D25))</f>
        <v>NO</v>
      </c>
      <c r="E20" s="2050" t="str">
        <f t="shared" ref="E20:X20" si="46">IF(SUM(E21:E25)=0,"NO",SUM(E21:E25))</f>
        <v>NO</v>
      </c>
      <c r="F20" s="2050" t="str">
        <f t="shared" si="46"/>
        <v>NO</v>
      </c>
      <c r="G20" s="2050" t="str">
        <f t="shared" si="46"/>
        <v>NO</v>
      </c>
      <c r="H20" s="2050" t="str">
        <f t="shared" si="46"/>
        <v>NO</v>
      </c>
      <c r="I20" s="2050" t="str">
        <f t="shared" si="46"/>
        <v>NO</v>
      </c>
      <c r="J20" s="2050" t="str">
        <f t="shared" si="46"/>
        <v>NO</v>
      </c>
      <c r="K20" s="2050" t="str">
        <f t="shared" si="46"/>
        <v>NO</v>
      </c>
      <c r="L20" s="2050" t="str">
        <f t="shared" si="46"/>
        <v>NO</v>
      </c>
      <c r="M20" s="2050" t="str">
        <f t="shared" si="46"/>
        <v>NO</v>
      </c>
      <c r="N20" s="2050" t="str">
        <f t="shared" si="46"/>
        <v>NO</v>
      </c>
      <c r="O20" s="2050" t="str">
        <f t="shared" si="46"/>
        <v>NO</v>
      </c>
      <c r="P20" s="2050" t="str">
        <f t="shared" si="46"/>
        <v>NO</v>
      </c>
      <c r="Q20" s="2050" t="str">
        <f t="shared" si="46"/>
        <v>NO</v>
      </c>
      <c r="R20" s="2050" t="str">
        <f t="shared" si="46"/>
        <v>NO</v>
      </c>
      <c r="S20" s="2050" t="str">
        <f t="shared" si="46"/>
        <v>NO</v>
      </c>
      <c r="T20" s="2050" t="str">
        <f t="shared" si="46"/>
        <v>NO</v>
      </c>
      <c r="U20" s="2050" t="str">
        <f t="shared" si="46"/>
        <v>NO</v>
      </c>
      <c r="V20" s="2050" t="str">
        <f t="shared" si="46"/>
        <v>NO</v>
      </c>
      <c r="W20" s="2067"/>
      <c r="X20" s="2050" t="str">
        <f t="shared" si="46"/>
        <v>NO</v>
      </c>
      <c r="Y20" s="2050" t="str">
        <f t="shared" ref="Y20" si="47">IF(SUM(Y21:Y25)=0,"NO",SUM(Y21:Y25))</f>
        <v>NO</v>
      </c>
      <c r="Z20" s="2050" t="str">
        <f t="shared" ref="Z20" si="48">IF(SUM(Z21:Z25)=0,"NO",SUM(Z21:Z25))</f>
        <v>NO</v>
      </c>
      <c r="AA20" s="2050" t="str">
        <f t="shared" ref="AA20" si="49">IF(SUM(AA21:AA25)=0,"NO",SUM(AA21:AA25))</f>
        <v>NO</v>
      </c>
      <c r="AB20" s="2050" t="str">
        <f t="shared" ref="AB20" si="50">IF(SUM(AB21:AB25)=0,"NO",SUM(AB21:AB25))</f>
        <v>NO</v>
      </c>
      <c r="AC20" s="2050" t="str">
        <f t="shared" ref="AC20" si="51">IF(SUM(AC21:AC25)=0,"NO",SUM(AC21:AC25))</f>
        <v>NO</v>
      </c>
      <c r="AD20" s="2050" t="str">
        <f t="shared" ref="AD20" si="52">IF(SUM(AD21:AD25)=0,"NO",SUM(AD21:AD25))</f>
        <v>NO</v>
      </c>
      <c r="AE20" s="2050" t="str">
        <f t="shared" ref="AE20" si="53">IF(SUM(AE21:AE25)=0,"NO",SUM(AE21:AE25))</f>
        <v>NO</v>
      </c>
      <c r="AF20" s="2050" t="str">
        <f t="shared" ref="AF20" si="54">IF(SUM(AF21:AF25)=0,"NO",SUM(AF21:AF25))</f>
        <v>NO</v>
      </c>
      <c r="AG20" s="2050" t="str">
        <f t="shared" ref="AG20:AI20" si="55">IF(SUM(AG21:AG25)=0,"NO",SUM(AG21:AG25))</f>
        <v>NO</v>
      </c>
      <c r="AH20" s="2067"/>
      <c r="AI20" s="2050" t="str">
        <f t="shared" si="55"/>
        <v>NO</v>
      </c>
      <c r="AJ20" s="2052" t="str">
        <f t="shared" ref="AJ20" si="56">IF(SUM(AJ21:AJ25)=0,"NO",SUM(AJ21:AJ25))</f>
        <v>NO</v>
      </c>
      <c r="AK20" s="2048" t="str">
        <f t="shared" ref="AK20" si="57">IF(SUM(AK21:AK25)=0,"NO",SUM(AK21:AK25))</f>
        <v>NO</v>
      </c>
    </row>
    <row r="21" spans="2:37" ht="18" customHeight="1" x14ac:dyDescent="0.2">
      <c r="B21" s="1264" t="s">
        <v>547</v>
      </c>
      <c r="C21" s="2049" t="s">
        <v>2146</v>
      </c>
      <c r="D21" s="2050" t="s">
        <v>2146</v>
      </c>
      <c r="E21" s="2050" t="s">
        <v>2146</v>
      </c>
      <c r="F21" s="2050" t="s">
        <v>2146</v>
      </c>
      <c r="G21" s="2050" t="s">
        <v>2146</v>
      </c>
      <c r="H21" s="2050" t="s">
        <v>2146</v>
      </c>
      <c r="I21" s="2050" t="s">
        <v>2146</v>
      </c>
      <c r="J21" s="2050" t="s">
        <v>2146</v>
      </c>
      <c r="K21" s="2050" t="s">
        <v>2146</v>
      </c>
      <c r="L21" s="2050" t="s">
        <v>2146</v>
      </c>
      <c r="M21" s="2050" t="s">
        <v>2146</v>
      </c>
      <c r="N21" s="2050" t="s">
        <v>2146</v>
      </c>
      <c r="O21" s="2050" t="s">
        <v>2146</v>
      </c>
      <c r="P21" s="2050" t="s">
        <v>2146</v>
      </c>
      <c r="Q21" s="2050" t="s">
        <v>2146</v>
      </c>
      <c r="R21" s="2050" t="s">
        <v>2146</v>
      </c>
      <c r="S21" s="2050" t="s">
        <v>2146</v>
      </c>
      <c r="T21" s="2050" t="s">
        <v>2146</v>
      </c>
      <c r="U21" s="2050" t="s">
        <v>2146</v>
      </c>
      <c r="V21" s="2050" t="s">
        <v>2146</v>
      </c>
      <c r="W21" s="1850"/>
      <c r="X21" s="2050" t="s">
        <v>2146</v>
      </c>
      <c r="Y21" s="2050" t="s">
        <v>2146</v>
      </c>
      <c r="Z21" s="2050" t="s">
        <v>2146</v>
      </c>
      <c r="AA21" s="2050" t="s">
        <v>2146</v>
      </c>
      <c r="AB21" s="2050" t="s">
        <v>2146</v>
      </c>
      <c r="AC21" s="2050" t="s">
        <v>2146</v>
      </c>
      <c r="AD21" s="2050" t="s">
        <v>2146</v>
      </c>
      <c r="AE21" s="2050" t="s">
        <v>2146</v>
      </c>
      <c r="AF21" s="2050" t="s">
        <v>2146</v>
      </c>
      <c r="AG21" s="2050" t="s">
        <v>2146</v>
      </c>
      <c r="AH21" s="2051"/>
      <c r="AI21" s="2050" t="s">
        <v>2146</v>
      </c>
      <c r="AJ21" s="2050" t="s">
        <v>2146</v>
      </c>
      <c r="AK21" s="2048" t="s">
        <v>2146</v>
      </c>
    </row>
    <row r="22" spans="2:37" ht="18" customHeight="1" x14ac:dyDescent="0.2">
      <c r="B22" s="1264" t="s">
        <v>548</v>
      </c>
      <c r="C22" s="2049" t="s">
        <v>2146</v>
      </c>
      <c r="D22" s="2050" t="s">
        <v>2146</v>
      </c>
      <c r="E22" s="2050" t="s">
        <v>2146</v>
      </c>
      <c r="F22" s="2050" t="s">
        <v>2146</v>
      </c>
      <c r="G22" s="2050" t="s">
        <v>2146</v>
      </c>
      <c r="H22" s="2050" t="s">
        <v>2146</v>
      </c>
      <c r="I22" s="2050" t="s">
        <v>2146</v>
      </c>
      <c r="J22" s="2050" t="s">
        <v>2146</v>
      </c>
      <c r="K22" s="2050" t="s">
        <v>2146</v>
      </c>
      <c r="L22" s="2050" t="s">
        <v>2146</v>
      </c>
      <c r="M22" s="2050" t="s">
        <v>2146</v>
      </c>
      <c r="N22" s="2050" t="s">
        <v>2146</v>
      </c>
      <c r="O22" s="2050" t="s">
        <v>2146</v>
      </c>
      <c r="P22" s="2050" t="s">
        <v>2146</v>
      </c>
      <c r="Q22" s="2050" t="s">
        <v>2146</v>
      </c>
      <c r="R22" s="2050" t="s">
        <v>2146</v>
      </c>
      <c r="S22" s="2050" t="s">
        <v>2146</v>
      </c>
      <c r="T22" s="2050" t="s">
        <v>2146</v>
      </c>
      <c r="U22" s="2050" t="s">
        <v>2146</v>
      </c>
      <c r="V22" s="2050" t="s">
        <v>2146</v>
      </c>
      <c r="W22" s="1850"/>
      <c r="X22" s="2050" t="s">
        <v>2146</v>
      </c>
      <c r="Y22" s="2050" t="s">
        <v>2146</v>
      </c>
      <c r="Z22" s="2050" t="s">
        <v>2146</v>
      </c>
      <c r="AA22" s="2050" t="s">
        <v>2146</v>
      </c>
      <c r="AB22" s="2050" t="s">
        <v>2146</v>
      </c>
      <c r="AC22" s="2050" t="s">
        <v>2146</v>
      </c>
      <c r="AD22" s="2050" t="s">
        <v>2146</v>
      </c>
      <c r="AE22" s="2050" t="s">
        <v>2146</v>
      </c>
      <c r="AF22" s="2050" t="s">
        <v>2146</v>
      </c>
      <c r="AG22" s="2050" t="s">
        <v>2146</v>
      </c>
      <c r="AH22" s="2051"/>
      <c r="AI22" s="2050" t="s">
        <v>2146</v>
      </c>
      <c r="AJ22" s="2050" t="s">
        <v>2146</v>
      </c>
      <c r="AK22" s="2048" t="s">
        <v>2146</v>
      </c>
    </row>
    <row r="23" spans="2:37" ht="18" customHeight="1" x14ac:dyDescent="0.2">
      <c r="B23" s="1264" t="s">
        <v>601</v>
      </c>
      <c r="C23" s="2049" t="s">
        <v>2146</v>
      </c>
      <c r="D23" s="2050" t="s">
        <v>2146</v>
      </c>
      <c r="E23" s="2050" t="s">
        <v>2146</v>
      </c>
      <c r="F23" s="2050" t="s">
        <v>2146</v>
      </c>
      <c r="G23" s="2050" t="s">
        <v>2146</v>
      </c>
      <c r="H23" s="2050" t="s">
        <v>2146</v>
      </c>
      <c r="I23" s="2050" t="s">
        <v>2146</v>
      </c>
      <c r="J23" s="2050" t="s">
        <v>2146</v>
      </c>
      <c r="K23" s="2050" t="s">
        <v>2146</v>
      </c>
      <c r="L23" s="2050" t="s">
        <v>2146</v>
      </c>
      <c r="M23" s="2050" t="s">
        <v>2146</v>
      </c>
      <c r="N23" s="2050" t="s">
        <v>2146</v>
      </c>
      <c r="O23" s="2050" t="s">
        <v>2146</v>
      </c>
      <c r="P23" s="2050" t="s">
        <v>2146</v>
      </c>
      <c r="Q23" s="2050" t="s">
        <v>2146</v>
      </c>
      <c r="R23" s="2050" t="s">
        <v>2146</v>
      </c>
      <c r="S23" s="2050" t="s">
        <v>2146</v>
      </c>
      <c r="T23" s="2050" t="s">
        <v>2146</v>
      </c>
      <c r="U23" s="2050" t="s">
        <v>2146</v>
      </c>
      <c r="V23" s="2050" t="s">
        <v>2146</v>
      </c>
      <c r="W23" s="1850"/>
      <c r="X23" s="2050" t="s">
        <v>2146</v>
      </c>
      <c r="Y23" s="2050" t="s">
        <v>2146</v>
      </c>
      <c r="Z23" s="2050" t="s">
        <v>2146</v>
      </c>
      <c r="AA23" s="2050" t="s">
        <v>2146</v>
      </c>
      <c r="AB23" s="2050" t="s">
        <v>2146</v>
      </c>
      <c r="AC23" s="2050" t="s">
        <v>2146</v>
      </c>
      <c r="AD23" s="2050" t="s">
        <v>2146</v>
      </c>
      <c r="AE23" s="2050" t="s">
        <v>2146</v>
      </c>
      <c r="AF23" s="2050" t="s">
        <v>2146</v>
      </c>
      <c r="AG23" s="2050" t="s">
        <v>2146</v>
      </c>
      <c r="AH23" s="2051"/>
      <c r="AI23" s="2050" t="s">
        <v>2146</v>
      </c>
      <c r="AJ23" s="2050" t="s">
        <v>2146</v>
      </c>
      <c r="AK23" s="2048" t="s">
        <v>2146</v>
      </c>
    </row>
    <row r="24" spans="2:37" ht="18" customHeight="1" x14ac:dyDescent="0.2">
      <c r="B24" s="1264" t="s">
        <v>602</v>
      </c>
      <c r="C24" s="2049" t="s">
        <v>2146</v>
      </c>
      <c r="D24" s="2050" t="s">
        <v>2146</v>
      </c>
      <c r="E24" s="2050" t="s">
        <v>2146</v>
      </c>
      <c r="F24" s="2050" t="s">
        <v>2146</v>
      </c>
      <c r="G24" s="2050" t="s">
        <v>2146</v>
      </c>
      <c r="H24" s="2050" t="s">
        <v>2146</v>
      </c>
      <c r="I24" s="2050" t="s">
        <v>2146</v>
      </c>
      <c r="J24" s="2050" t="s">
        <v>2146</v>
      </c>
      <c r="K24" s="2050" t="s">
        <v>2146</v>
      </c>
      <c r="L24" s="2050" t="s">
        <v>2146</v>
      </c>
      <c r="M24" s="2050" t="s">
        <v>2146</v>
      </c>
      <c r="N24" s="2050" t="s">
        <v>2146</v>
      </c>
      <c r="O24" s="2050" t="s">
        <v>2146</v>
      </c>
      <c r="P24" s="2050" t="s">
        <v>2146</v>
      </c>
      <c r="Q24" s="2050" t="s">
        <v>2146</v>
      </c>
      <c r="R24" s="2050" t="s">
        <v>2146</v>
      </c>
      <c r="S24" s="2050" t="s">
        <v>2146</v>
      </c>
      <c r="T24" s="2050" t="s">
        <v>2146</v>
      </c>
      <c r="U24" s="2050" t="s">
        <v>2146</v>
      </c>
      <c r="V24" s="2050" t="s">
        <v>2146</v>
      </c>
      <c r="W24" s="1850"/>
      <c r="X24" s="2050" t="s">
        <v>2146</v>
      </c>
      <c r="Y24" s="2050" t="s">
        <v>2146</v>
      </c>
      <c r="Z24" s="2050" t="s">
        <v>2146</v>
      </c>
      <c r="AA24" s="2050" t="s">
        <v>2146</v>
      </c>
      <c r="AB24" s="2050" t="s">
        <v>2146</v>
      </c>
      <c r="AC24" s="2050" t="s">
        <v>2146</v>
      </c>
      <c r="AD24" s="2050" t="s">
        <v>2146</v>
      </c>
      <c r="AE24" s="2050" t="s">
        <v>2146</v>
      </c>
      <c r="AF24" s="2050" t="s">
        <v>2146</v>
      </c>
      <c r="AG24" s="2050" t="s">
        <v>2146</v>
      </c>
      <c r="AH24" s="2051"/>
      <c r="AI24" s="2050" t="s">
        <v>2146</v>
      </c>
      <c r="AJ24" s="2050" t="s">
        <v>2146</v>
      </c>
      <c r="AK24" s="2048" t="s">
        <v>2146</v>
      </c>
    </row>
    <row r="25" spans="2:37" ht="18" customHeight="1" thickBot="1" x14ac:dyDescent="0.25">
      <c r="B25" s="1264" t="s">
        <v>2099</v>
      </c>
      <c r="C25" s="2626" t="s">
        <v>2146</v>
      </c>
      <c r="D25" s="2627" t="s">
        <v>2146</v>
      </c>
      <c r="E25" s="2627" t="s">
        <v>2146</v>
      </c>
      <c r="F25" s="2627" t="s">
        <v>2146</v>
      </c>
      <c r="G25" s="2627" t="s">
        <v>2146</v>
      </c>
      <c r="H25" s="2627" t="s">
        <v>2146</v>
      </c>
      <c r="I25" s="2627" t="s">
        <v>2146</v>
      </c>
      <c r="J25" s="2627" t="s">
        <v>2146</v>
      </c>
      <c r="K25" s="2627" t="s">
        <v>2146</v>
      </c>
      <c r="L25" s="2627" t="s">
        <v>2146</v>
      </c>
      <c r="M25" s="2627" t="s">
        <v>2146</v>
      </c>
      <c r="N25" s="2627" t="s">
        <v>2146</v>
      </c>
      <c r="O25" s="2627" t="s">
        <v>2146</v>
      </c>
      <c r="P25" s="2627" t="s">
        <v>2146</v>
      </c>
      <c r="Q25" s="2627" t="s">
        <v>2146</v>
      </c>
      <c r="R25" s="2627" t="s">
        <v>2146</v>
      </c>
      <c r="S25" s="2627" t="s">
        <v>2146</v>
      </c>
      <c r="T25" s="2627" t="s">
        <v>2146</v>
      </c>
      <c r="U25" s="2627" t="s">
        <v>2146</v>
      </c>
      <c r="V25" s="2627" t="s">
        <v>2146</v>
      </c>
      <c r="W25" s="2628"/>
      <c r="X25" s="2627" t="s">
        <v>2146</v>
      </c>
      <c r="Y25" s="2627" t="s">
        <v>2146</v>
      </c>
      <c r="Z25" s="2627" t="s">
        <v>2146</v>
      </c>
      <c r="AA25" s="2627" t="s">
        <v>2146</v>
      </c>
      <c r="AB25" s="2627" t="s">
        <v>2146</v>
      </c>
      <c r="AC25" s="2627" t="s">
        <v>2146</v>
      </c>
      <c r="AD25" s="2627" t="s">
        <v>2146</v>
      </c>
      <c r="AE25" s="2627" t="s">
        <v>2146</v>
      </c>
      <c r="AF25" s="2627" t="s">
        <v>2146</v>
      </c>
      <c r="AG25" s="2627" t="s">
        <v>2146</v>
      </c>
      <c r="AH25" s="2629"/>
      <c r="AI25" s="2627" t="s">
        <v>2146</v>
      </c>
      <c r="AJ25" s="2627" t="s">
        <v>2146</v>
      </c>
      <c r="AK25" s="2498" t="s">
        <v>2146</v>
      </c>
    </row>
    <row r="26" spans="2:37" ht="18" customHeight="1" x14ac:dyDescent="0.2">
      <c r="B26" s="2420" t="s">
        <v>612</v>
      </c>
      <c r="C26" s="2068" t="str">
        <f>IF(SUM(C27:C32)=0,"NO",SUM(C27:C32))</f>
        <v>NO</v>
      </c>
      <c r="D26" s="2069">
        <f t="shared" ref="D26:AK26" si="58">IF(SUM(D27:D32)=0,"NO",SUM(D27:D32))</f>
        <v>41.192270309697847</v>
      </c>
      <c r="E26" s="2069" t="str">
        <f t="shared" si="58"/>
        <v>NO</v>
      </c>
      <c r="F26" s="2069" t="str">
        <f t="shared" si="58"/>
        <v>NO</v>
      </c>
      <c r="G26" s="2069">
        <f t="shared" si="58"/>
        <v>285.54630948615034</v>
      </c>
      <c r="H26" s="2069">
        <f t="shared" si="58"/>
        <v>0.60977241968668916</v>
      </c>
      <c r="I26" s="2069">
        <f t="shared" si="58"/>
        <v>1220.0751237903798</v>
      </c>
      <c r="J26" s="2069" t="str">
        <f t="shared" si="58"/>
        <v>NO</v>
      </c>
      <c r="K26" s="2069">
        <f t="shared" si="58"/>
        <v>305.96118541042767</v>
      </c>
      <c r="L26" s="2069" t="str">
        <f t="shared" si="58"/>
        <v>NO</v>
      </c>
      <c r="M26" s="2069">
        <f t="shared" si="58"/>
        <v>26.489729023507678</v>
      </c>
      <c r="N26" s="2069" t="str">
        <f t="shared" si="58"/>
        <v>NO</v>
      </c>
      <c r="O26" s="2069">
        <f t="shared" si="58"/>
        <v>11.130420191158677</v>
      </c>
      <c r="P26" s="2069" t="str">
        <f t="shared" si="58"/>
        <v>NO</v>
      </c>
      <c r="Q26" s="2069" t="str">
        <f t="shared" si="58"/>
        <v>NO</v>
      </c>
      <c r="R26" s="2069">
        <f t="shared" si="58"/>
        <v>4.7036792760825001</v>
      </c>
      <c r="S26" s="2069" t="str">
        <f t="shared" si="58"/>
        <v>NO</v>
      </c>
      <c r="T26" s="2069">
        <f t="shared" si="58"/>
        <v>29.057411130618473</v>
      </c>
      <c r="U26" s="2069">
        <f t="shared" si="58"/>
        <v>20.480184867537037</v>
      </c>
      <c r="V26" s="2069" t="str">
        <f t="shared" si="58"/>
        <v>NO</v>
      </c>
      <c r="W26" s="2630"/>
      <c r="X26" s="2070" t="str">
        <f t="shared" si="58"/>
        <v>NO</v>
      </c>
      <c r="Y26" s="2069" t="str">
        <f t="shared" si="58"/>
        <v>NO</v>
      </c>
      <c r="Z26" s="2069" t="str">
        <f t="shared" si="58"/>
        <v>NO</v>
      </c>
      <c r="AA26" s="2069" t="str">
        <f t="shared" si="58"/>
        <v>NO</v>
      </c>
      <c r="AB26" s="2069" t="str">
        <f t="shared" si="58"/>
        <v>NO</v>
      </c>
      <c r="AC26" s="2069" t="str">
        <f t="shared" si="58"/>
        <v>NO</v>
      </c>
      <c r="AD26" s="2069" t="str">
        <f t="shared" si="58"/>
        <v>NO</v>
      </c>
      <c r="AE26" s="2069" t="str">
        <f t="shared" si="58"/>
        <v>NO</v>
      </c>
      <c r="AF26" s="2069" t="str">
        <f t="shared" si="58"/>
        <v>NO</v>
      </c>
      <c r="AG26" s="2069" t="str">
        <f t="shared" si="58"/>
        <v>NO</v>
      </c>
      <c r="AH26" s="2630"/>
      <c r="AI26" s="2625" t="str">
        <f t="shared" si="58"/>
        <v>NO</v>
      </c>
      <c r="AJ26" s="2072" t="str">
        <f t="shared" si="58"/>
        <v>NO</v>
      </c>
      <c r="AK26" s="2073" t="str">
        <f t="shared" si="58"/>
        <v>NO</v>
      </c>
    </row>
    <row r="27" spans="2:37" ht="18" customHeight="1" x14ac:dyDescent="0.2">
      <c r="B27" s="1264" t="s">
        <v>603</v>
      </c>
      <c r="C27" s="2043" t="str">
        <f>IF(SUM('Table2(II).B-Hs2'!J13:M13,'Table2(II).B-Hs2'!J26:M26,'Table2(II).B-Hs2'!J39:M39,'Table2(II).B-Hs2'!J52:M52,'Table2(II).B-Hs2'!J65:M65,'Table2(II).B-Hs2'!J78:M78)=0,"NO",SUM('Table2(II).B-Hs2'!J13:M13,'Table2(II).B-Hs2'!J26:M26,'Table2(II).B-Hs2'!J39:M39,'Table2(II).B-Hs2'!J52:M52,'Table2(II).B-Hs2'!J65:M65,'Table2(II).B-Hs2'!J78:M78))</f>
        <v>NO</v>
      </c>
      <c r="D27" s="2044">
        <f>IF(SUM('Table2(II).B-Hs2'!J14:M14,'Table2(II).B-Hs2'!J27:M27,'Table2(II).B-Hs2'!J40:M40,'Table2(II).B-Hs2'!J53:M53,'Table2(II).B-Hs2'!J66:M66,'Table2(II).B-Hs2'!J79:M79)=0,"NO",SUM('Table2(II).B-Hs2'!J14:M14,'Table2(II).B-Hs2'!J27:M27,'Table2(II).B-Hs2'!J40:M40,'Table2(II).B-Hs2'!J53:M53,'Table2(II).B-Hs2'!J66:M66,'Table2(II).B-Hs2'!J79:M79))</f>
        <v>38.489667954444272</v>
      </c>
      <c r="E27" s="2044" t="s">
        <v>2146</v>
      </c>
      <c r="F27" s="2044" t="str">
        <f>IF(SUM('Table2(II).B-Hs2'!J15:M15,'Table2(II).B-Hs2'!J28:M28,'Table2(II).B-Hs2'!J41:M41,'Table2(II).B-Hs2'!J54:M54,'Table2(II).B-Hs2'!J67:M67,'Table2(II).B-Hs2'!J80:M80)=0,"NO",SUM('Table2(II).B-Hs2'!J15:M15,'Table2(II).B-Hs2'!J28:M28,'Table2(II).B-Hs2'!J41:M41,'Table2(II).B-Hs2'!J54:M54,'Table2(II).B-Hs2'!J67:M67,'Table2(II).B-Hs2'!J80:M80))</f>
        <v>NO</v>
      </c>
      <c r="G27" s="2044">
        <f>IF(SUM('Table2(II).B-Hs2'!J16:M16,'Table2(II).B-Hs2'!J29:M29,'Table2(II).B-Hs2'!J42:M42,'Table2(II).B-Hs2'!J55:M55,'Table2(II).B-Hs2'!J68:M68,'Table2(II).B-Hs2'!J81:M81)=0,"NO",SUM('Table2(II).B-Hs2'!J16:M16,'Table2(II).B-Hs2'!J29:M29,'Table2(II).B-Hs2'!J42:M42,'Table2(II).B-Hs2'!J55:M55,'Table2(II).B-Hs2'!J68:M68,'Table2(II).B-Hs2'!J81:M81))</f>
        <v>266.81177208995467</v>
      </c>
      <c r="H27" s="2044">
        <f>IF(SUM('Table2(II).B-Hs2'!J17:M17,'Table2(II).B-Hs2'!J30:M30,'Table2(II).B-Hs2'!J43:M43,'Table2(II).B-Hs2'!J56:M56,'Table2(II).B-Hs2'!J69:M69,'Table2(II).B-Hs2'!J82:M82)=0,"NO",SUM('Table2(II).B-Hs2'!J17:M17,'Table2(II).B-Hs2'!J30:M30,'Table2(II).B-Hs2'!J43:M43,'Table2(II).B-Hs2'!J56:M56,'Table2(II).B-Hs2'!J69:M69,'Table2(II).B-Hs2'!J82:M82))</f>
        <v>0.56976558429684809</v>
      </c>
      <c r="I27" s="2044">
        <f>IF(SUM('Table2(II).B-Hs2'!J18:M18,'Table2(II).B-Hs2'!J31:M31,'Table2(II).B-Hs2'!J44:M44,'Table2(II).B-Hs2'!J57:M57,'Table2(II).B-Hs2'!J70:M70,'Table2(II).B-Hs2'!J83:M83)=0,"NO",SUM('Table2(II).B-Hs2'!J18:M18,'Table2(II).B-Hs2'!J31:M31,'Table2(II).B-Hs2'!J44:M44,'Table2(II).B-Hs2'!J57:M57,'Table2(II).B-Hs2'!J70:M70,'Table2(II).B-Hs2'!J83:M83))</f>
        <v>1140.0266613397471</v>
      </c>
      <c r="J27" s="2044" t="s">
        <v>2146</v>
      </c>
      <c r="K27" s="2044">
        <f>IF(SUM('Table2(II).B-Hs2'!J19:M19,'Table2(II).B-Hs2'!J32:M32,'Table2(II).B-Hs2'!J45:M45,'Table2(II).B-Hs2'!J58:M58,'Table2(II).B-Hs2'!J71:M71,'Table2(II).B-Hs2'!J84:M84)=0,"NO",SUM('Table2(II).B-Hs2'!J19:M19,'Table2(II).B-Hs2'!J32:M32,'Table2(II).B-Hs2'!J45:M45,'Table2(II).B-Hs2'!J58:M58,'Table2(II).B-Hs2'!J71:M71,'Table2(II).B-Hs2'!J84:M84))</f>
        <v>285.88723915571688</v>
      </c>
      <c r="L27" s="2044" t="s">
        <v>2146</v>
      </c>
      <c r="M27" s="2044">
        <f>IF(SUM('Table2(II).B-Hs2'!J20:M20,'Table2(II).B-Hs2'!J33:M33,'Table2(II).B-Hs2'!J46:M46,'Table2(II).B-Hs2'!J59:M59,'Table2(II).B-Hs2'!J72:M72,'Table2(II).B-Hs2'!J85:M85)=0,"NO",SUM('Table2(II).B-Hs2'!J20:M20,'Table2(II).B-Hs2'!J33:M33,'Table2(II).B-Hs2'!J46:M46,'Table2(II).B-Hs2'!J59:M59,'Table2(II).B-Hs2'!J72:M72,'Table2(II).B-Hs2'!J85:M85))</f>
        <v>24.751752371317526</v>
      </c>
      <c r="N27" s="2044" t="s">
        <v>2146</v>
      </c>
      <c r="O27" s="2044">
        <f>IF(SUM('Table2(II).B-Hs2'!J21:M21,'Table2(II).B-Hs2'!J34:M34,'Table2(II).B-Hs2'!J47:M47,'Table2(II).B-Hs2'!J60:M60,'Table2(II).B-Hs2'!J73:M73,'Table2(II).B-Hs2'!J86:M86)=0,"NO",SUM('Table2(II).B-Hs2'!J21:M21,'Table2(II).B-Hs2'!J34:M34,'Table2(II).B-Hs2'!J47:M47,'Table2(II).B-Hs2'!J60:M60,'Table2(II).B-Hs2'!J73:M73,'Table2(II).B-Hs2'!J86:M86))</f>
        <v>10.400159402000249</v>
      </c>
      <c r="P27" s="2044" t="s">
        <v>2146</v>
      </c>
      <c r="Q27" s="2044" t="s">
        <v>2146</v>
      </c>
      <c r="R27" s="2044">
        <f>IF(SUM('Table2(II).B-Hs2'!J22:M22,'Table2(II).B-Hs2'!J35:M35,'Table2(II).B-Hs2'!J48:M48,'Table2(II).B-Hs2'!J61:M61,'Table2(II).B-Hs2'!J74:M74,'Table2(II).B-Hs2'!J87:M87)=0,"NO",SUM('Table2(II).B-Hs2'!J22:M22,'Table2(II).B-Hs2'!J35:M35,'Table2(II).B-Hs2'!J48:M48,'Table2(II).B-Hs2'!J61:M61,'Table2(II).B-Hs2'!J74:M74,'Table2(II).B-Hs2'!J87:M87))</f>
        <v>4.3950734479908853</v>
      </c>
      <c r="S27" s="2044" t="s">
        <v>2146</v>
      </c>
      <c r="T27" s="2044">
        <f>IF(SUM('Table2(II).B-Hs2'!J23:M23,'Table2(II).B-Hs2'!J36:M36,'Table2(II).B-Hs2'!J49:M49,'Table2(II).B-Hs2'!J62:M62,'Table2(II).B-Hs2'!J75:M75,'Table2(II).B-Hs2'!J88:M88)=0,"NO",SUM('Table2(II).B-Hs2'!J23:M23,'Table2(II).B-Hs2'!J36:M36,'Table2(II).B-Hs2'!J49:M49,'Table2(II).B-Hs2'!J62:M62,'Table2(II).B-Hs2'!J75:M75,'Table2(II).B-Hs2'!J88:M88))</f>
        <v>27.150970257882882</v>
      </c>
      <c r="U27" s="2044">
        <f>IF(SUM('Table2(II).B-Hs2'!J24:M24,'Table2(II).B-Hs2'!J37:M37,'Table2(II).B-Hs2'!J50:M50,'Table2(II).B-Hs2'!J63:M63,'Table2(II).B-Hs2'!J76:M76,'Table2(II).B-Hs2'!J89:M89)=0,"NO",SUM('Table2(II).B-Hs2'!J24:M24,'Table2(II).B-Hs2'!J37:M37,'Table2(II).B-Hs2'!J50:M50,'Table2(II).B-Hs2'!J63:M63,'Table2(II).B-Hs2'!J76:M76,'Table2(II).B-Hs2'!J89:M89))</f>
        <v>19.136491124927201</v>
      </c>
      <c r="V27" s="2044" t="s">
        <v>2146</v>
      </c>
      <c r="W27" s="2074"/>
      <c r="X27" s="2044" t="s">
        <v>2146</v>
      </c>
      <c r="Y27" s="2044" t="s">
        <v>2146</v>
      </c>
      <c r="Z27" s="2044" t="s">
        <v>2146</v>
      </c>
      <c r="AA27" s="2044" t="s">
        <v>2146</v>
      </c>
      <c r="AB27" s="2044" t="s">
        <v>2146</v>
      </c>
      <c r="AC27" s="2044" t="s">
        <v>2146</v>
      </c>
      <c r="AD27" s="2044" t="s">
        <v>2146</v>
      </c>
      <c r="AE27" s="2044" t="s">
        <v>2146</v>
      </c>
      <c r="AF27" s="2044" t="s">
        <v>2146</v>
      </c>
      <c r="AG27" s="2044" t="s">
        <v>2146</v>
      </c>
      <c r="AH27" s="2074"/>
      <c r="AI27" s="2044" t="s">
        <v>2146</v>
      </c>
      <c r="AJ27" s="2044" t="s">
        <v>2146</v>
      </c>
      <c r="AK27" s="2075" t="s">
        <v>2146</v>
      </c>
    </row>
    <row r="28" spans="2:37" ht="18" customHeight="1" x14ac:dyDescent="0.2">
      <c r="B28" s="1264" t="s">
        <v>604</v>
      </c>
      <c r="C28" s="2043" t="str">
        <f>IF(SUM('Table2(II).B-Hs2'!J92:M92,'Table2(II).B-Hs2'!J105:M105)=0,"NO",SUM('Table2(II).B-Hs2'!J92:M92,'Table2(II).B-Hs2'!J105:M105))</f>
        <v>NO</v>
      </c>
      <c r="D28" s="2044">
        <f>IF(SUM('Table2(II).B-Hs2'!J93:M93,'Table2(II).B-Hs2'!J106:M106)=0,"NO",SUM('Table2(II).B-Hs2'!J93:M93,'Table2(II).B-Hs2'!J106:M106))</f>
        <v>0.34961984937227941</v>
      </c>
      <c r="E28" s="2044" t="s">
        <v>2146</v>
      </c>
      <c r="F28" s="2044" t="str">
        <f>IF(SUM('Table2(II).B-Hs2'!J94:M94,'Table2(II).B-Hs2'!J107:M107)=0,"NO",SUM('Table2(II).B-Hs2'!J94:M94,'Table2(II).B-Hs2'!J107:M107))</f>
        <v>NO</v>
      </c>
      <c r="G28" s="2044">
        <f>IF(SUM('Table2(II).B-Hs2'!J95:M95,'Table2(II).B-Hs2'!J108:M108)=0,"NO",SUM('Table2(II).B-Hs2'!J95:M95,'Table2(II).B-Hs2'!J108:M108))</f>
        <v>2.4235774566631418</v>
      </c>
      <c r="H28" s="2044">
        <f>IF(SUM('Table2(II).B-Hs2'!J96:M96,'Table2(II).B-Hs2'!J109:M109)=0,"NO",SUM('Table2(II).B-Hs2'!J96:M96,'Table2(II).B-Hs2'!J109:M109))</f>
        <v>5.1754501492489906E-3</v>
      </c>
      <c r="I28" s="2044">
        <f>IF(SUM('Table2(II).B-Hs2'!J97:M97,'Table2(II).B-Hs2'!J110:M110)=0,"NO",SUM('Table2(II).B-Hs2'!J97:M97,'Table2(II).B-Hs2'!J110:M110))</f>
        <v>10.355401093346215</v>
      </c>
      <c r="J28" s="2044" t="s">
        <v>2146</v>
      </c>
      <c r="K28" s="2044">
        <f>IF(SUM('Table2(II).B-Hs2'!J98:M98,'Table2(II).B-Hs2'!J111:M111)=0,"NO",SUM('Table2(II).B-Hs2'!J98:M98,'Table2(II).B-Hs2'!J111:M111))</f>
        <v>2.5968489416271376</v>
      </c>
      <c r="L28" s="2044" t="s">
        <v>2146</v>
      </c>
      <c r="M28" s="2044">
        <f>IF(SUM('Table2(II).B-Hs2'!J99:M99,'Table2(II).B-Hs2'!J112:M112)=0,"NO",SUM('Table2(II).B-Hs2'!J99:M99,'Table2(II).B-Hs2'!J112:M112))</f>
        <v>0.22483186776259981</v>
      </c>
      <c r="N28" s="2044" t="s">
        <v>2146</v>
      </c>
      <c r="O28" s="2044">
        <f>IF(SUM('Table2(II).B-Hs2'!J100:M100,'Table2(II).B-Hs2'!J113:M113)=0,"NO",SUM('Table2(II).B-Hs2'!J100:M100,'Table2(II).B-Hs2'!J113:M113))</f>
        <v>9.4469564348506493E-2</v>
      </c>
      <c r="P28" s="2044" t="s">
        <v>2146</v>
      </c>
      <c r="Q28" s="2044" t="s">
        <v>2146</v>
      </c>
      <c r="R28" s="2044">
        <f>IF(SUM('Table2(II).B-Hs2'!J101:M101,'Table2(II).B-Hs2'!J114:M114)=0,"NO",SUM('Table2(II).B-Hs2'!J101:M101,'Table2(II).B-Hs2'!J114:M114))</f>
        <v>3.992252982502674E-2</v>
      </c>
      <c r="S28" s="2044" t="s">
        <v>2146</v>
      </c>
      <c r="T28" s="2044">
        <f>IF(SUM('Table2(II).B-Hs2'!J102:M102,'Table2(II).B-Hs2'!J115:M115)=0,"NO",SUM('Table2(II).B-Hs2'!J102:M102,'Table2(II).B-Hs2'!J115:M115))</f>
        <v>0.24662509801610755</v>
      </c>
      <c r="U28" s="2044">
        <f>IF(SUM('Table2(II).B-Hs2'!J103:M103,'Table2(II).B-Hs2'!J116:M116)=0,"NO",SUM('Table2(II).B-Hs2'!J103:M103,'Table2(II).B-Hs2'!J116:M116))</f>
        <v>0.17382579534148673</v>
      </c>
      <c r="V28" s="2044" t="s">
        <v>2146</v>
      </c>
      <c r="W28" s="2074"/>
      <c r="X28" s="2044" t="s">
        <v>2146</v>
      </c>
      <c r="Y28" s="2044" t="s">
        <v>2146</v>
      </c>
      <c r="Z28" s="2044" t="s">
        <v>2146</v>
      </c>
      <c r="AA28" s="2044" t="s">
        <v>2146</v>
      </c>
      <c r="AB28" s="2044" t="s">
        <v>2146</v>
      </c>
      <c r="AC28" s="2044" t="s">
        <v>2146</v>
      </c>
      <c r="AD28" s="2044" t="s">
        <v>2146</v>
      </c>
      <c r="AE28" s="2044" t="s">
        <v>2146</v>
      </c>
      <c r="AF28" s="2044" t="s">
        <v>2146</v>
      </c>
      <c r="AG28" s="2044" t="s">
        <v>2146</v>
      </c>
      <c r="AH28" s="2074"/>
      <c r="AI28" s="2044" t="s">
        <v>2146</v>
      </c>
      <c r="AJ28" s="2044" t="s">
        <v>2146</v>
      </c>
      <c r="AK28" s="2075" t="s">
        <v>2146</v>
      </c>
    </row>
    <row r="29" spans="2:37" ht="18" customHeight="1" x14ac:dyDescent="0.2">
      <c r="B29" s="1264" t="s">
        <v>605</v>
      </c>
      <c r="C29" s="2043" t="str">
        <f>IF(SUM('Table2(II).B-Hs2'!J118:M118)=0,"NO",SUM('Table2(II).B-Hs2'!J118:M118))</f>
        <v>NO</v>
      </c>
      <c r="D29" s="2044">
        <f>IF(SUM('Table2(II).B-Hs2'!J119:M119)=0,"NO",SUM('Table2(II).B-Hs2'!J119:M119))</f>
        <v>0.22941763794257164</v>
      </c>
      <c r="E29" s="2044" t="s">
        <v>2146</v>
      </c>
      <c r="F29" s="2044" t="str">
        <f>IF(SUM('Table2(II).B-Hs2'!J120:M120)=0,"NO",SUM('Table2(II).B-Hs2'!J120:M120))</f>
        <v>NO</v>
      </c>
      <c r="G29" s="2044">
        <f>IF(SUM('Table2(II).B-Hs2'!J121:M121)=0,"NO",SUM('Table2(II).B-Hs2'!J121:M121))</f>
        <v>1.5903313741391027</v>
      </c>
      <c r="H29" s="2044">
        <f>IF(SUM('Table2(II).B-Hs2'!J122:M122)=0,"NO",SUM('Table2(II).B-Hs2'!J122:M122))</f>
        <v>3.3960873521970427E-3</v>
      </c>
      <c r="I29" s="2044">
        <f>IF(SUM('Table2(II).B-Hs2'!J123:M123)=0,"NO",SUM('Table2(II).B-Hs2'!J123:M123))</f>
        <v>6.7951280885477567</v>
      </c>
      <c r="J29" s="2044" t="s">
        <v>2146</v>
      </c>
      <c r="K29" s="2044">
        <f>IF(SUM('Table2(II).B-Hs2'!J124:M124)=0,"NO",SUM('Table2(II).B-Hs2'!J124:M124))</f>
        <v>1.7040306817574002</v>
      </c>
      <c r="L29" s="2044" t="s">
        <v>2146</v>
      </c>
      <c r="M29" s="2044">
        <f>IF(SUM('Table2(II).B-Hs2'!J125:M125)=0,"NO",SUM('Table2(II).B-Hs2'!J125:M125))</f>
        <v>0.14753280206750746</v>
      </c>
      <c r="N29" s="2044" t="s">
        <v>2146</v>
      </c>
      <c r="O29" s="2044">
        <f>IF(SUM('Table2(II).B-Hs2'!J126:M126)=0,"NO",SUM('Table2(II).B-Hs2'!J126:M126))</f>
        <v>6.1990142576889222E-2</v>
      </c>
      <c r="P29" s="2044" t="s">
        <v>2146</v>
      </c>
      <c r="Q29" s="2044" t="s">
        <v>2146</v>
      </c>
      <c r="R29" s="2044">
        <f>IF(SUM('Table2(II).B-Hs2'!J127:M127)=0,"NO",SUM('Table2(II).B-Hs2'!J127:M127))</f>
        <v>2.6196832100905575E-2</v>
      </c>
      <c r="S29" s="2044" t="s">
        <v>2146</v>
      </c>
      <c r="T29" s="2044">
        <f>IF(SUM('Table2(II).B-Hs2'!J128:M128)=0,"NO",SUM('Table2(II).B-Hs2'!J128:M128))</f>
        <v>0.16183333854126625</v>
      </c>
      <c r="U29" s="2044">
        <f>IF(SUM('Table2(II).B-Hs2'!J129:M129)=0,"NO",SUM('Table2(II).B-Hs2'!J129:M129))</f>
        <v>0.11406304147871602</v>
      </c>
      <c r="V29" s="2044" t="s">
        <v>2146</v>
      </c>
      <c r="W29" s="2074"/>
      <c r="X29" s="2044" t="s">
        <v>2146</v>
      </c>
      <c r="Y29" s="2044" t="s">
        <v>2146</v>
      </c>
      <c r="Z29" s="2044" t="s">
        <v>2146</v>
      </c>
      <c r="AA29" s="2044" t="s">
        <v>2146</v>
      </c>
      <c r="AB29" s="2044" t="s">
        <v>2146</v>
      </c>
      <c r="AC29" s="2044" t="s">
        <v>2146</v>
      </c>
      <c r="AD29" s="2044" t="s">
        <v>2146</v>
      </c>
      <c r="AE29" s="2044" t="s">
        <v>2146</v>
      </c>
      <c r="AF29" s="2044" t="s">
        <v>2146</v>
      </c>
      <c r="AG29" s="2044" t="s">
        <v>2146</v>
      </c>
      <c r="AH29" s="2074"/>
      <c r="AI29" s="2044" t="s">
        <v>2146</v>
      </c>
      <c r="AJ29" s="2044" t="s">
        <v>2146</v>
      </c>
      <c r="AK29" s="2075" t="s">
        <v>2146</v>
      </c>
    </row>
    <row r="30" spans="2:37" ht="18" customHeight="1" x14ac:dyDescent="0.2">
      <c r="B30" s="1264" t="s">
        <v>606</v>
      </c>
      <c r="C30" s="2043" t="str">
        <f>IF(SUM('Table2(II).B-Hs2'!J132:M132)=0,"NO",SUM('Table2(II).B-Hs2'!J132:M132))</f>
        <v>NO</v>
      </c>
      <c r="D30" s="2044">
        <f>IF(SUM('Table2(II).B-Hs2'!J133:M133)=0,"NO",SUM('Table2(II).B-Hs2'!J133:M133))</f>
        <v>1.2298431841218795</v>
      </c>
      <c r="E30" s="2044" t="s">
        <v>2146</v>
      </c>
      <c r="F30" s="2044" t="str">
        <f>IF(SUM('Table2(II).B-Hs2'!J134:M134)=0,"NO",SUM('Table2(II).B-Hs2'!J134:M134))</f>
        <v>NO</v>
      </c>
      <c r="G30" s="2044">
        <f>IF(SUM('Table2(II).B-Hs2'!J135:M135)=0,"NO",SUM('Table2(II).B-Hs2'!J135:M135))</f>
        <v>8.5253174887527763</v>
      </c>
      <c r="H30" s="2044">
        <f>IF(SUM('Table2(II).B-Hs2'!J136:M136)=0,"NO",SUM('Table2(II).B-Hs2'!J136:M136))</f>
        <v>1.8205465456965279E-2</v>
      </c>
      <c r="I30" s="2044">
        <f>IF(SUM('Table2(II).B-Hs2'!J137:M137)=0,"NO",SUM('Table2(II).B-Hs2'!J137:M137))</f>
        <v>36.426763172531338</v>
      </c>
      <c r="J30" s="2044" t="s">
        <v>2146</v>
      </c>
      <c r="K30" s="2044">
        <f>IF(SUM('Table2(II).B-Hs2'!J138:M138)=0,"NO",SUM('Table2(II).B-Hs2'!J138:M138))</f>
        <v>9.1348273754718772</v>
      </c>
      <c r="L30" s="2044" t="s">
        <v>2146</v>
      </c>
      <c r="M30" s="2044">
        <f>IF(SUM('Table2(II).B-Hs2'!J139:M139)=0,"NO",SUM('Table2(II).B-Hs2'!J139:M139))</f>
        <v>0.79088169804339725</v>
      </c>
      <c r="N30" s="2044" t="s">
        <v>2146</v>
      </c>
      <c r="O30" s="2044">
        <f>IF(SUM('Table2(II).B-Hs2'!J140:M140)=0,"NO",SUM('Table2(II).B-Hs2'!J140:M140))</f>
        <v>0.33231165229769671</v>
      </c>
      <c r="P30" s="2044" t="s">
        <v>2146</v>
      </c>
      <c r="Q30" s="2044" t="s">
        <v>2146</v>
      </c>
      <c r="R30" s="2044">
        <f>IF(SUM('Table2(II).B-Hs2'!J141:M141)=0,"NO",SUM('Table2(II).B-Hs2'!J141:M141))</f>
        <v>0.14043382058073878</v>
      </c>
      <c r="S30" s="2044" t="s">
        <v>2146</v>
      </c>
      <c r="T30" s="2044">
        <f>IF(SUM('Table2(II).B-Hs2'!J142:M142)=0,"NO",SUM('Table2(II).B-Hs2'!J142:M142))</f>
        <v>0.86754283652108088</v>
      </c>
      <c r="U30" s="2044">
        <f>IF(SUM('Table2(II).B-Hs2'!J143:M143)=0,"NO",SUM('Table2(II).B-Hs2'!J143:M143))</f>
        <v>0.61145976124959178</v>
      </c>
      <c r="V30" s="2044" t="s">
        <v>2146</v>
      </c>
      <c r="W30" s="2074"/>
      <c r="X30" s="2044" t="s">
        <v>2146</v>
      </c>
      <c r="Y30" s="2044" t="s">
        <v>2146</v>
      </c>
      <c r="Z30" s="2044" t="s">
        <v>2146</v>
      </c>
      <c r="AA30" s="2044" t="s">
        <v>2146</v>
      </c>
      <c r="AB30" s="2044" t="s">
        <v>2146</v>
      </c>
      <c r="AC30" s="2044" t="s">
        <v>2146</v>
      </c>
      <c r="AD30" s="2044" t="s">
        <v>2146</v>
      </c>
      <c r="AE30" s="2044" t="s">
        <v>2146</v>
      </c>
      <c r="AF30" s="2044" t="s">
        <v>2146</v>
      </c>
      <c r="AG30" s="2044" t="s">
        <v>2146</v>
      </c>
      <c r="AH30" s="2074"/>
      <c r="AI30" s="2044" t="s">
        <v>2146</v>
      </c>
      <c r="AJ30" s="2044" t="s">
        <v>2146</v>
      </c>
      <c r="AK30" s="2075" t="s">
        <v>2146</v>
      </c>
    </row>
    <row r="31" spans="2:37" ht="18" customHeight="1" x14ac:dyDescent="0.2">
      <c r="B31" s="1264" t="s">
        <v>607</v>
      </c>
      <c r="C31" s="2043" t="str">
        <f>IF(SUM('Table2(II).B-Hs2'!J147:M147)=0,"NO",SUM('Table2(II).B-Hs2'!J147:M147))</f>
        <v>NO</v>
      </c>
      <c r="D31" s="2044">
        <f>IF(SUM('Table2(II).B-Hs2'!J148:M148)=0,"NO",SUM('Table2(II).B-Hs2'!J148:M148))</f>
        <v>0.89372168381683492</v>
      </c>
      <c r="E31" s="2044" t="s">
        <v>2146</v>
      </c>
      <c r="F31" s="2044" t="str">
        <f>IF(SUM('Table2(II).B-Hs2'!J149:M149)=0,"NO",SUM('Table2(II).B-Hs2'!J149:M149))</f>
        <v>NO</v>
      </c>
      <c r="G31" s="2044">
        <f>IF(SUM('Table2(II).B-Hs2'!J150:M150)=0,"NO",SUM('Table2(II).B-Hs2'!J150:M150))</f>
        <v>6.1953110766406141</v>
      </c>
      <c r="H31" s="2044">
        <f>IF(SUM('Table2(II).B-Hs2'!J151:M151)=0,"NO",SUM('Table2(II).B-Hs2'!J151:M151))</f>
        <v>1.3229832431429556E-2</v>
      </c>
      <c r="I31" s="2044">
        <f>IF(SUM('Table2(II).B-Hs2'!J152:M152)=0,"NO",SUM('Table2(II).B-Hs2'!J152:M152))</f>
        <v>26.471170096207555</v>
      </c>
      <c r="J31" s="2044" t="s">
        <v>2146</v>
      </c>
      <c r="K31" s="2044">
        <f>IF(SUM('Table2(II).B-Hs2'!J153:M153)=0,"NO",SUM('Table2(II).B-Hs2'!J153:M153))</f>
        <v>6.6382392558544101</v>
      </c>
      <c r="L31" s="2044" t="s">
        <v>2146</v>
      </c>
      <c r="M31" s="2044">
        <f>IF(SUM('Table2(II).B-Hs2'!J154:M154)=0,"NO",SUM('Table2(II).B-Hs2'!J154:M154))</f>
        <v>0.57473028431665063</v>
      </c>
      <c r="N31" s="2044" t="s">
        <v>2146</v>
      </c>
      <c r="O31" s="2044">
        <f>IF(SUM('Table2(II).B-Hs2'!J155:M155)=0,"NO",SUM('Table2(II).B-Hs2'!J155:M155))</f>
        <v>0.24148942993533676</v>
      </c>
      <c r="P31" s="2044" t="s">
        <v>2146</v>
      </c>
      <c r="Q31" s="2044" t="s">
        <v>2146</v>
      </c>
      <c r="R31" s="2044">
        <f>IF(SUM('Table2(II).B-Hs2'!J156:M156)=0,"NO",SUM('Table2(II).B-Hs2'!J156:M156))</f>
        <v>0.10205264558494394</v>
      </c>
      <c r="S31" s="2044" t="s">
        <v>2146</v>
      </c>
      <c r="T31" s="2044">
        <f>IF(SUM('Table2(II).B-Hs2'!J157:M157)=0,"NO",SUM('Table2(II).B-Hs2'!J157:M157))</f>
        <v>0.63043959965713459</v>
      </c>
      <c r="U31" s="2044">
        <f>IF(SUM('Table2(II).B-Hs2'!J158:M158)=0,"NO",SUM('Table2(II).B-Hs2'!J158:M158))</f>
        <v>0.44434514454004431</v>
      </c>
      <c r="V31" s="2044" t="s">
        <v>2146</v>
      </c>
      <c r="W31" s="2074"/>
      <c r="X31" s="2044" t="s">
        <v>2146</v>
      </c>
      <c r="Y31" s="2044" t="s">
        <v>2146</v>
      </c>
      <c r="Z31" s="2044" t="s">
        <v>2146</v>
      </c>
      <c r="AA31" s="2044" t="s">
        <v>2146</v>
      </c>
      <c r="AB31" s="2044" t="s">
        <v>2146</v>
      </c>
      <c r="AC31" s="2044" t="s">
        <v>2146</v>
      </c>
      <c r="AD31" s="2044" t="s">
        <v>2146</v>
      </c>
      <c r="AE31" s="2044" t="s">
        <v>2146</v>
      </c>
      <c r="AF31" s="2044" t="s">
        <v>2146</v>
      </c>
      <c r="AG31" s="2044" t="s">
        <v>2146</v>
      </c>
      <c r="AH31" s="2074"/>
      <c r="AI31" s="2044" t="s">
        <v>2146</v>
      </c>
      <c r="AJ31" s="2044" t="s">
        <v>2146</v>
      </c>
      <c r="AK31" s="2075" t="s">
        <v>2146</v>
      </c>
    </row>
    <row r="32" spans="2:37" ht="18" customHeight="1" thickBot="1" x14ac:dyDescent="0.25">
      <c r="B32" s="1264" t="s">
        <v>608</v>
      </c>
      <c r="C32" s="2079" t="s">
        <v>2146</v>
      </c>
      <c r="D32" s="2080" t="s">
        <v>2146</v>
      </c>
      <c r="E32" s="2080" t="s">
        <v>2146</v>
      </c>
      <c r="F32" s="2080" t="s">
        <v>2146</v>
      </c>
      <c r="G32" s="2080" t="s">
        <v>2146</v>
      </c>
      <c r="H32" s="2080" t="s">
        <v>2146</v>
      </c>
      <c r="I32" s="2080" t="s">
        <v>2146</v>
      </c>
      <c r="J32" s="2080" t="s">
        <v>2146</v>
      </c>
      <c r="K32" s="2080" t="s">
        <v>2146</v>
      </c>
      <c r="L32" s="2080" t="s">
        <v>2146</v>
      </c>
      <c r="M32" s="2080" t="s">
        <v>2146</v>
      </c>
      <c r="N32" s="2080" t="s">
        <v>2146</v>
      </c>
      <c r="O32" s="2080" t="s">
        <v>2146</v>
      </c>
      <c r="P32" s="2080" t="s">
        <v>2146</v>
      </c>
      <c r="Q32" s="2080" t="s">
        <v>2146</v>
      </c>
      <c r="R32" s="2080" t="s">
        <v>2146</v>
      </c>
      <c r="S32" s="2080" t="s">
        <v>2146</v>
      </c>
      <c r="T32" s="2080" t="s">
        <v>2146</v>
      </c>
      <c r="U32" s="2080" t="s">
        <v>2146</v>
      </c>
      <c r="V32" s="2080" t="s">
        <v>2146</v>
      </c>
      <c r="W32" s="2631"/>
      <c r="X32" s="2080" t="s">
        <v>2146</v>
      </c>
      <c r="Y32" s="2080" t="s">
        <v>2146</v>
      </c>
      <c r="Z32" s="2080" t="s">
        <v>2146</v>
      </c>
      <c r="AA32" s="2080" t="s">
        <v>2146</v>
      </c>
      <c r="AB32" s="2080" t="s">
        <v>2146</v>
      </c>
      <c r="AC32" s="2080" t="s">
        <v>2146</v>
      </c>
      <c r="AD32" s="2080" t="s">
        <v>2146</v>
      </c>
      <c r="AE32" s="2080" t="s">
        <v>2146</v>
      </c>
      <c r="AF32" s="2080" t="s">
        <v>2146</v>
      </c>
      <c r="AG32" s="2080" t="s">
        <v>2146</v>
      </c>
      <c r="AH32" s="2631"/>
      <c r="AI32" s="2080" t="s">
        <v>2146</v>
      </c>
      <c r="AJ32" s="2080" t="s">
        <v>2146</v>
      </c>
      <c r="AK32" s="2632" t="s">
        <v>2146</v>
      </c>
    </row>
    <row r="33" spans="2:37" ht="18" customHeight="1" x14ac:dyDescent="0.2">
      <c r="B33" s="1290" t="s">
        <v>549</v>
      </c>
      <c r="C33" s="2049" t="str">
        <f>IF(SUM(C34:C36)=0,"NO",SUM(C34:C36))</f>
        <v>NO</v>
      </c>
      <c r="D33" s="2050" t="str">
        <f t="shared" ref="D33:X33" si="59">IF(SUM(D34:D36)=0,"NO",SUM(D34:D36))</f>
        <v>NO</v>
      </c>
      <c r="E33" s="2050" t="str">
        <f t="shared" si="59"/>
        <v>NO</v>
      </c>
      <c r="F33" s="2050" t="str">
        <f t="shared" si="59"/>
        <v>NO</v>
      </c>
      <c r="G33" s="2050" t="str">
        <f t="shared" si="59"/>
        <v>NO</v>
      </c>
      <c r="H33" s="2050" t="str">
        <f t="shared" si="59"/>
        <v>NO</v>
      </c>
      <c r="I33" s="2050" t="str">
        <f t="shared" si="59"/>
        <v>NO</v>
      </c>
      <c r="J33" s="2050" t="str">
        <f t="shared" si="59"/>
        <v>NO</v>
      </c>
      <c r="K33" s="2050" t="str">
        <f t="shared" si="59"/>
        <v>NO</v>
      </c>
      <c r="L33" s="2050" t="str">
        <f t="shared" si="59"/>
        <v>NO</v>
      </c>
      <c r="M33" s="2050" t="str">
        <f t="shared" si="59"/>
        <v>NO</v>
      </c>
      <c r="N33" s="2050" t="str">
        <f t="shared" si="59"/>
        <v>NO</v>
      </c>
      <c r="O33" s="2050" t="str">
        <f t="shared" si="59"/>
        <v>NO</v>
      </c>
      <c r="P33" s="2050" t="str">
        <f t="shared" si="59"/>
        <v>NO</v>
      </c>
      <c r="Q33" s="2050" t="str">
        <f t="shared" si="59"/>
        <v>NO</v>
      </c>
      <c r="R33" s="2050" t="str">
        <f t="shared" si="59"/>
        <v>NO</v>
      </c>
      <c r="S33" s="2050" t="str">
        <f t="shared" si="59"/>
        <v>NO</v>
      </c>
      <c r="T33" s="2050" t="str">
        <f t="shared" si="59"/>
        <v>NO</v>
      </c>
      <c r="U33" s="2050" t="str">
        <f t="shared" si="59"/>
        <v>NO</v>
      </c>
      <c r="V33" s="2050" t="str">
        <f t="shared" si="59"/>
        <v>NO</v>
      </c>
      <c r="W33" s="2076"/>
      <c r="X33" s="2050" t="str">
        <f t="shared" si="59"/>
        <v>NO</v>
      </c>
      <c r="Y33" s="2050" t="str">
        <f t="shared" ref="Y33" si="60">IF(SUM(Y34:Y36)=0,"NO",SUM(Y34:Y36))</f>
        <v>NO</v>
      </c>
      <c r="Z33" s="2050" t="str">
        <f t="shared" ref="Z33" si="61">IF(SUM(Z34:Z36)=0,"NO",SUM(Z34:Z36))</f>
        <v>NO</v>
      </c>
      <c r="AA33" s="2050" t="str">
        <f t="shared" ref="AA33" si="62">IF(SUM(AA34:AA36)=0,"NO",SUM(AA34:AA36))</f>
        <v>NO</v>
      </c>
      <c r="AB33" s="2050" t="str">
        <f t="shared" ref="AB33" si="63">IF(SUM(AB34:AB36)=0,"NO",SUM(AB34:AB36))</f>
        <v>NO</v>
      </c>
      <c r="AC33" s="2050" t="str">
        <f t="shared" ref="AC33" si="64">IF(SUM(AC34:AC36)=0,"NO",SUM(AC34:AC36))</f>
        <v>NO</v>
      </c>
      <c r="AD33" s="2050" t="str">
        <f t="shared" ref="AD33" si="65">IF(SUM(AD34:AD36)=0,"NO",SUM(AD34:AD36))</f>
        <v>NO</v>
      </c>
      <c r="AE33" s="2050" t="str">
        <f t="shared" ref="AE33" si="66">IF(SUM(AE34:AE36)=0,"NO",SUM(AE34:AE36))</f>
        <v>NO</v>
      </c>
      <c r="AF33" s="2050" t="str">
        <f t="shared" ref="AF33" si="67">IF(SUM(AF34:AF36)=0,"NO",SUM(AF34:AF36))</f>
        <v>NO</v>
      </c>
      <c r="AG33" s="2050" t="str">
        <f t="shared" ref="AG33" si="68">IF(SUM(AG34:AG36)=0,"NO",SUM(AG34:AG36))</f>
        <v>NO</v>
      </c>
      <c r="AH33" s="2076"/>
      <c r="AI33" s="2050" t="str">
        <f t="shared" ref="AI33" si="69">IF(SUM(AI34:AI36)=0,"NO",SUM(AI34:AI36))</f>
        <v>NO</v>
      </c>
      <c r="AJ33" s="2059">
        <f t="shared" ref="AJ33" si="70">IF(SUM(AJ34:AJ36)=0,"NO",SUM(AJ34:AJ36))</f>
        <v>8.1609069599868889</v>
      </c>
      <c r="AK33" s="2075" t="str">
        <f t="shared" ref="AK33" si="71">IF(SUM(AK34:AK36)=0,"NO",SUM(AK34:AK36))</f>
        <v>NO</v>
      </c>
    </row>
    <row r="34" spans="2:37" ht="18" customHeight="1" x14ac:dyDescent="0.2">
      <c r="B34" s="1264" t="s">
        <v>609</v>
      </c>
      <c r="C34" s="2044" t="s">
        <v>2146</v>
      </c>
      <c r="D34" s="2044" t="s">
        <v>2146</v>
      </c>
      <c r="E34" s="2044" t="s">
        <v>2146</v>
      </c>
      <c r="F34" s="2044" t="s">
        <v>2146</v>
      </c>
      <c r="G34" s="2044" t="s">
        <v>2146</v>
      </c>
      <c r="H34" s="2044" t="s">
        <v>2146</v>
      </c>
      <c r="I34" s="2044" t="s">
        <v>2146</v>
      </c>
      <c r="J34" s="2044" t="s">
        <v>2146</v>
      </c>
      <c r="K34" s="2044" t="s">
        <v>2146</v>
      </c>
      <c r="L34" s="2044" t="s">
        <v>2146</v>
      </c>
      <c r="M34" s="2044" t="s">
        <v>2146</v>
      </c>
      <c r="N34" s="2044" t="s">
        <v>2146</v>
      </c>
      <c r="O34" s="2044" t="s">
        <v>2146</v>
      </c>
      <c r="P34" s="2044" t="s">
        <v>2146</v>
      </c>
      <c r="Q34" s="2044" t="s">
        <v>2146</v>
      </c>
      <c r="R34" s="2044" t="s">
        <v>2146</v>
      </c>
      <c r="S34" s="2044" t="s">
        <v>2146</v>
      </c>
      <c r="T34" s="2044" t="s">
        <v>2146</v>
      </c>
      <c r="U34" s="2044" t="s">
        <v>2146</v>
      </c>
      <c r="V34" s="2044" t="s">
        <v>2146</v>
      </c>
      <c r="W34" s="2074"/>
      <c r="X34" s="2047" t="s">
        <v>2146</v>
      </c>
      <c r="Y34" s="2044" t="s">
        <v>2146</v>
      </c>
      <c r="Z34" s="2044" t="s">
        <v>2146</v>
      </c>
      <c r="AA34" s="2044" t="s">
        <v>2146</v>
      </c>
      <c r="AB34" s="2044" t="s">
        <v>2146</v>
      </c>
      <c r="AC34" s="2044" t="s">
        <v>2146</v>
      </c>
      <c r="AD34" s="2044" t="s">
        <v>2146</v>
      </c>
      <c r="AE34" s="2044" t="s">
        <v>2146</v>
      </c>
      <c r="AF34" s="2044" t="s">
        <v>2146</v>
      </c>
      <c r="AG34" s="2044" t="s">
        <v>2146</v>
      </c>
      <c r="AH34" s="2074"/>
      <c r="AI34" s="2059" t="s">
        <v>2146</v>
      </c>
      <c r="AJ34" s="2059">
        <f>IF(SUM('Table2(II).B-Hs2'!J163:M163)=0,"NO",SUM('Table2(II).B-Hs2'!J163:M163))</f>
        <v>7.4505089372968216</v>
      </c>
      <c r="AK34" s="2075" t="s">
        <v>2146</v>
      </c>
    </row>
    <row r="35" spans="2:37" ht="18" customHeight="1" x14ac:dyDescent="0.2">
      <c r="B35" s="1264" t="s">
        <v>610</v>
      </c>
      <c r="C35" s="2077"/>
      <c r="D35" s="285"/>
      <c r="E35" s="285"/>
      <c r="F35" s="285"/>
      <c r="G35" s="285"/>
      <c r="H35" s="285"/>
      <c r="I35" s="285"/>
      <c r="J35" s="285"/>
      <c r="K35" s="285"/>
      <c r="L35" s="285"/>
      <c r="M35" s="285"/>
      <c r="N35" s="285"/>
      <c r="O35" s="285"/>
      <c r="P35" s="285"/>
      <c r="Q35" s="285"/>
      <c r="R35" s="285"/>
      <c r="S35" s="285"/>
      <c r="T35" s="285"/>
      <c r="U35" s="285"/>
      <c r="V35" s="285"/>
      <c r="W35" s="2074"/>
      <c r="X35" s="2047" t="s">
        <v>2146</v>
      </c>
      <c r="Y35" s="2044" t="s">
        <v>2146</v>
      </c>
      <c r="Z35" s="2044" t="s">
        <v>2146</v>
      </c>
      <c r="AA35" s="2044" t="s">
        <v>2146</v>
      </c>
      <c r="AB35" s="2044" t="s">
        <v>2146</v>
      </c>
      <c r="AC35" s="2044" t="s">
        <v>2146</v>
      </c>
      <c r="AD35" s="2044" t="s">
        <v>2146</v>
      </c>
      <c r="AE35" s="2044" t="s">
        <v>2146</v>
      </c>
      <c r="AF35" s="2044" t="s">
        <v>2146</v>
      </c>
      <c r="AG35" s="2044" t="s">
        <v>2146</v>
      </c>
      <c r="AH35" s="2074"/>
      <c r="AI35" s="2078"/>
      <c r="AJ35" s="2059">
        <f>IF(SUM('Table2(II).B-Hs2'!J165:M165)=0,"NO",SUM('Table2(II).B-Hs2'!J165:M165))</f>
        <v>0.71039802269006724</v>
      </c>
      <c r="AK35" s="2060"/>
    </row>
    <row r="36" spans="2:37" ht="18" customHeight="1" thickBot="1" x14ac:dyDescent="0.25">
      <c r="B36" s="1264" t="s">
        <v>2067</v>
      </c>
      <c r="C36" s="2079" t="s">
        <v>2146</v>
      </c>
      <c r="D36" s="2080" t="s">
        <v>2146</v>
      </c>
      <c r="E36" s="2080" t="s">
        <v>2146</v>
      </c>
      <c r="F36" s="2080" t="s">
        <v>2146</v>
      </c>
      <c r="G36" s="2080" t="s">
        <v>2146</v>
      </c>
      <c r="H36" s="2080" t="s">
        <v>2146</v>
      </c>
      <c r="I36" s="2080" t="s">
        <v>2146</v>
      </c>
      <c r="J36" s="2080" t="s">
        <v>2146</v>
      </c>
      <c r="K36" s="2080" t="s">
        <v>2146</v>
      </c>
      <c r="L36" s="2080" t="s">
        <v>2146</v>
      </c>
      <c r="M36" s="2080" t="s">
        <v>2146</v>
      </c>
      <c r="N36" s="2080" t="s">
        <v>2146</v>
      </c>
      <c r="O36" s="2080" t="s">
        <v>2146</v>
      </c>
      <c r="P36" s="2080" t="s">
        <v>2146</v>
      </c>
      <c r="Q36" s="2080" t="s">
        <v>2146</v>
      </c>
      <c r="R36" s="2080" t="s">
        <v>2146</v>
      </c>
      <c r="S36" s="2080" t="s">
        <v>2146</v>
      </c>
      <c r="T36" s="2080" t="s">
        <v>2146</v>
      </c>
      <c r="U36" s="2080" t="s">
        <v>2146</v>
      </c>
      <c r="V36" s="2080" t="s">
        <v>2146</v>
      </c>
      <c r="W36" s="2074"/>
      <c r="X36" s="2081" t="s">
        <v>2146</v>
      </c>
      <c r="Y36" s="2080" t="s">
        <v>2146</v>
      </c>
      <c r="Z36" s="2080" t="s">
        <v>2146</v>
      </c>
      <c r="AA36" s="2080" t="s">
        <v>2146</v>
      </c>
      <c r="AB36" s="2080" t="s">
        <v>2146</v>
      </c>
      <c r="AC36" s="2080" t="s">
        <v>2146</v>
      </c>
      <c r="AD36" s="2080" t="s">
        <v>2146</v>
      </c>
      <c r="AE36" s="2080" t="s">
        <v>2146</v>
      </c>
      <c r="AF36" s="2080" t="s">
        <v>2146</v>
      </c>
      <c r="AG36" s="2080" t="s">
        <v>2146</v>
      </c>
      <c r="AH36" s="2074"/>
      <c r="AI36" s="2059" t="s">
        <v>2146</v>
      </c>
      <c r="AJ36" s="2059" t="s">
        <v>2146</v>
      </c>
      <c r="AK36" s="2082" t="s">
        <v>2146</v>
      </c>
    </row>
    <row r="37" spans="2:37" ht="18" customHeight="1" thickBot="1" x14ac:dyDescent="0.25">
      <c r="B37" s="1291" t="s">
        <v>613</v>
      </c>
      <c r="C37" s="2068" t="s">
        <v>2146</v>
      </c>
      <c r="D37" s="2069" t="s">
        <v>2146</v>
      </c>
      <c r="E37" s="2069" t="s">
        <v>2146</v>
      </c>
      <c r="F37" s="2069" t="s">
        <v>2146</v>
      </c>
      <c r="G37" s="2069" t="s">
        <v>2146</v>
      </c>
      <c r="H37" s="2069" t="s">
        <v>2146</v>
      </c>
      <c r="I37" s="2069" t="s">
        <v>2146</v>
      </c>
      <c r="J37" s="2069" t="s">
        <v>2146</v>
      </c>
      <c r="K37" s="2069" t="s">
        <v>2146</v>
      </c>
      <c r="L37" s="2069" t="s">
        <v>2146</v>
      </c>
      <c r="M37" s="2069" t="s">
        <v>2146</v>
      </c>
      <c r="N37" s="2069" t="s">
        <v>2146</v>
      </c>
      <c r="O37" s="2069" t="s">
        <v>2146</v>
      </c>
      <c r="P37" s="2069" t="s">
        <v>2146</v>
      </c>
      <c r="Q37" s="2069" t="s">
        <v>2146</v>
      </c>
      <c r="R37" s="2069" t="s">
        <v>2146</v>
      </c>
      <c r="S37" s="2069" t="s">
        <v>2146</v>
      </c>
      <c r="T37" s="2069" t="s">
        <v>2146</v>
      </c>
      <c r="U37" s="2069" t="s">
        <v>2146</v>
      </c>
      <c r="V37" s="2069" t="s">
        <v>2146</v>
      </c>
      <c r="W37" s="1851"/>
      <c r="X37" s="2070" t="s">
        <v>2146</v>
      </c>
      <c r="Y37" s="2069" t="s">
        <v>2146</v>
      </c>
      <c r="Z37" s="2069" t="s">
        <v>2146</v>
      </c>
      <c r="AA37" s="2069" t="s">
        <v>2146</v>
      </c>
      <c r="AB37" s="2069" t="s">
        <v>2146</v>
      </c>
      <c r="AC37" s="2069" t="s">
        <v>2146</v>
      </c>
      <c r="AD37" s="2069" t="s">
        <v>2146</v>
      </c>
      <c r="AE37" s="2069" t="s">
        <v>2146</v>
      </c>
      <c r="AF37" s="2069" t="s">
        <v>2146</v>
      </c>
      <c r="AG37" s="2069" t="s">
        <v>2146</v>
      </c>
      <c r="AH37" s="1851"/>
      <c r="AI37" s="2071" t="s">
        <v>2146</v>
      </c>
      <c r="AJ37" s="2072" t="s">
        <v>2146</v>
      </c>
      <c r="AK37" s="2048" t="s">
        <v>2146</v>
      </c>
    </row>
    <row r="38" spans="2:37" ht="18" customHeight="1" thickBot="1" x14ac:dyDescent="0.25">
      <c r="B38" s="1455"/>
      <c r="C38" s="2083" t="s">
        <v>594</v>
      </c>
      <c r="D38" s="2084"/>
      <c r="E38" s="2084"/>
      <c r="F38" s="2084"/>
      <c r="G38" s="2084"/>
      <c r="H38" s="2084"/>
      <c r="I38" s="2084"/>
      <c r="J38" s="2084"/>
      <c r="K38" s="2084"/>
      <c r="L38" s="2084"/>
      <c r="M38" s="2084"/>
      <c r="N38" s="2084"/>
      <c r="O38" s="2084"/>
      <c r="P38" s="2084"/>
      <c r="Q38" s="2084"/>
      <c r="R38" s="2084"/>
      <c r="S38" s="2084"/>
      <c r="T38" s="2084"/>
      <c r="U38" s="2084"/>
      <c r="V38" s="2084"/>
      <c r="W38" s="2084"/>
      <c r="X38" s="2084"/>
      <c r="Y38" s="2084"/>
      <c r="Z38" s="2084"/>
      <c r="AA38" s="2084"/>
      <c r="AB38" s="2084"/>
      <c r="AC38" s="2084"/>
      <c r="AD38" s="2084"/>
      <c r="AE38" s="2084"/>
      <c r="AF38" s="2084"/>
      <c r="AG38" s="2084"/>
      <c r="AH38" s="2084"/>
      <c r="AI38" s="2084"/>
      <c r="AJ38" s="2084"/>
      <c r="AK38" s="2085"/>
    </row>
    <row r="39" spans="2:37" ht="18" customHeight="1" thickTop="1" x14ac:dyDescent="0.2">
      <c r="B39" s="1288" t="s">
        <v>1871</v>
      </c>
      <c r="C39" s="4195" t="str">
        <f>IF(SUM(C40:C45)=0,"NO",SUM(C40:C45))</f>
        <v>NO</v>
      </c>
      <c r="D39" s="4196">
        <f t="shared" ref="D39:AK39" si="72">IF(SUM(D40:D45)=0,"NO",SUM(D40:D45))</f>
        <v>27.887166999665443</v>
      </c>
      <c r="E39" s="4196" t="str">
        <f t="shared" si="72"/>
        <v>NO</v>
      </c>
      <c r="F39" s="4196" t="str">
        <f t="shared" si="72"/>
        <v>NO</v>
      </c>
      <c r="G39" s="4196">
        <f t="shared" si="72"/>
        <v>905.18180107109652</v>
      </c>
      <c r="H39" s="4196">
        <f t="shared" si="72"/>
        <v>0.68294511004909186</v>
      </c>
      <c r="I39" s="4196">
        <f t="shared" si="72"/>
        <v>1586.0976609274937</v>
      </c>
      <c r="J39" s="4196" t="str">
        <f t="shared" si="72"/>
        <v>NO</v>
      </c>
      <c r="K39" s="4196">
        <f t="shared" si="72"/>
        <v>1468.6136899700527</v>
      </c>
      <c r="L39" s="4196" t="str">
        <f t="shared" si="72"/>
        <v>NO</v>
      </c>
      <c r="M39" s="4196">
        <f t="shared" si="72"/>
        <v>3.6555826052440596</v>
      </c>
      <c r="N39" s="4196" t="str">
        <f t="shared" si="72"/>
        <v>NO</v>
      </c>
      <c r="O39" s="4196">
        <f t="shared" si="72"/>
        <v>37.286907640381571</v>
      </c>
      <c r="P39" s="4196" t="str">
        <f t="shared" si="72"/>
        <v>NO</v>
      </c>
      <c r="Q39" s="4196" t="str">
        <f t="shared" si="72"/>
        <v>NO</v>
      </c>
      <c r="R39" s="4196">
        <f t="shared" si="72"/>
        <v>37.911654965224955</v>
      </c>
      <c r="S39" s="4196" t="str">
        <f t="shared" si="72"/>
        <v>NO</v>
      </c>
      <c r="T39" s="4196">
        <f t="shared" si="72"/>
        <v>24.931258750070651</v>
      </c>
      <c r="U39" s="4196">
        <f t="shared" si="72"/>
        <v>16.466068633499777</v>
      </c>
      <c r="V39" s="4196" t="str">
        <f t="shared" si="72"/>
        <v>NO</v>
      </c>
      <c r="W39" s="4196">
        <f t="shared" si="72"/>
        <v>4108.7147366727786</v>
      </c>
      <c r="X39" s="4196">
        <f t="shared" si="72"/>
        <v>507.5769790296348</v>
      </c>
      <c r="Y39" s="4196">
        <f t="shared" si="72"/>
        <v>110.36227433496242</v>
      </c>
      <c r="Z39" s="4196" t="str">
        <f t="shared" si="72"/>
        <v>NO</v>
      </c>
      <c r="AA39" s="4196" t="str">
        <f t="shared" si="72"/>
        <v>NO</v>
      </c>
      <c r="AB39" s="4196" t="str">
        <f t="shared" si="72"/>
        <v>NO</v>
      </c>
      <c r="AC39" s="4196" t="str">
        <f t="shared" si="72"/>
        <v>NO</v>
      </c>
      <c r="AD39" s="4196" t="str">
        <f t="shared" si="72"/>
        <v>NO</v>
      </c>
      <c r="AE39" s="4196" t="str">
        <f t="shared" si="72"/>
        <v>NO</v>
      </c>
      <c r="AF39" s="4196" t="str">
        <f t="shared" si="72"/>
        <v>NO</v>
      </c>
      <c r="AG39" s="4196" t="str">
        <f t="shared" si="72"/>
        <v>NO</v>
      </c>
      <c r="AH39" s="4196">
        <f t="shared" si="72"/>
        <v>617.93925336459722</v>
      </c>
      <c r="AI39" s="4197" t="str">
        <f t="shared" si="72"/>
        <v>NO</v>
      </c>
      <c r="AJ39" s="4197">
        <f t="shared" si="72"/>
        <v>191.78131355969188</v>
      </c>
      <c r="AK39" s="2918" t="str">
        <f t="shared" si="72"/>
        <v>NO</v>
      </c>
    </row>
    <row r="40" spans="2:37" ht="18" customHeight="1" x14ac:dyDescent="0.2">
      <c r="B40" s="1292" t="s">
        <v>595</v>
      </c>
      <c r="C40" s="4198" t="str">
        <f>IF(SUM(C11)=0,"NO",C11*12400/1000)</f>
        <v>NO</v>
      </c>
      <c r="D40" s="4199" t="str">
        <f>IF(SUM(D11)=0,"NO",D11*677/1000)</f>
        <v>NO</v>
      </c>
      <c r="E40" s="4199" t="str">
        <f>IF(SUM(E11)=0,"NO",E11*116/1000)</f>
        <v>NO</v>
      </c>
      <c r="F40" s="4199" t="str">
        <f>IF(SUM(F11)=0,"NO",F11*1650/1000)</f>
        <v>NO</v>
      </c>
      <c r="G40" s="4199" t="str">
        <f>IF(SUM(G11)=0,"NO",G11*3170/1000)</f>
        <v>NO</v>
      </c>
      <c r="H40" s="4199" t="str">
        <f>IF(SUM(H11)=0,"NO",H11*1120/1000)</f>
        <v>NO</v>
      </c>
      <c r="I40" s="4199" t="str">
        <f>IF(SUM(I11)=0,"NO",I11*1300/1000)</f>
        <v>NO</v>
      </c>
      <c r="J40" s="4199" t="str">
        <f>IF(SUM(J11)=0,"NO",J11*328/1000)</f>
        <v>NO</v>
      </c>
      <c r="K40" s="4199" t="str">
        <f>IF(SUM(K11)=0,"NO",K11*4800/1000)</f>
        <v>NO</v>
      </c>
      <c r="L40" s="4199" t="str">
        <f>IF(SUM(L11)=0,"NO",L11*16/1000)</f>
        <v>NO</v>
      </c>
      <c r="M40" s="4199" t="str">
        <f>IF(SUM(M11)=0,"NO",M11*138/1000)</f>
        <v>NO</v>
      </c>
      <c r="N40" s="4199" t="str">
        <f>IF(SUM(N11)=0,"NO",N11*4/1000)</f>
        <v>NO</v>
      </c>
      <c r="O40" s="4199" t="str">
        <f>IF(SUM(O11)=0,"NO",O11*3350/1000)</f>
        <v>NO</v>
      </c>
      <c r="P40" s="4199" t="str">
        <f>IF(SUM(P11)=0,"NO",P11*1210/1000)</f>
        <v>NO</v>
      </c>
      <c r="Q40" s="4199" t="str">
        <f>IF(SUM(Q11)=0,"NO",Q11*1330/1000)</f>
        <v>NO</v>
      </c>
      <c r="R40" s="4199" t="str">
        <f>IF(SUM(R11)=0,"NO",R11*8060/1000)</f>
        <v>NO</v>
      </c>
      <c r="S40" s="4199" t="str">
        <f>IF(SUM(S11)=0,"NO",S11*716/1000)</f>
        <v>NO</v>
      </c>
      <c r="T40" s="4199" t="str">
        <f>IF(SUM(T11)=0,"NO",T11*858/1000)</f>
        <v>NO</v>
      </c>
      <c r="U40" s="4199" t="str">
        <f>IF(SUM(U11)=0,"NO",U11*804/1000)</f>
        <v>NO</v>
      </c>
      <c r="V40" s="4199" t="str">
        <f>IF(SUM(V11)=0,"NO",V11*1/1000)</f>
        <v>NO</v>
      </c>
      <c r="W40" s="4199" t="str">
        <f>IF(SUM(C40:V40)=0,"NO",SUM(C40:V40))</f>
        <v>NO</v>
      </c>
      <c r="X40" s="4199" t="str">
        <f>IF(SUM(X11)=0,"NO",X11*6630/1000)</f>
        <v>NO</v>
      </c>
      <c r="Y40" s="4199" t="str">
        <f>IF(SUM(Y11)=0,"NO",Y11*11100/1000)</f>
        <v>NO</v>
      </c>
      <c r="Z40" s="4199" t="str">
        <f>IF(SUM(Z11)=0,"NO",Z11*8900/1000)</f>
        <v>NO</v>
      </c>
      <c r="AA40" s="4199" t="str">
        <f>IF(SUM(AA11)=0,"NO",AA11*9200/1000)</f>
        <v>NO</v>
      </c>
      <c r="AB40" s="4199" t="str">
        <f>IF(SUM(AB11)=0,"NO",AB11*9540/1000)</f>
        <v>NO</v>
      </c>
      <c r="AC40" s="4199" t="str">
        <f>IF(SUM(AC11)=0,"NO",AC11*8550/1000)</f>
        <v>NO</v>
      </c>
      <c r="AD40" s="4199" t="str">
        <f>IF(SUM(AD11)=0,"NO",AD11*7910/1000)</f>
        <v>NO</v>
      </c>
      <c r="AE40" s="4199" t="str">
        <f>IF(SUM(AE11)=0,"NO",AE11*7190/1000)</f>
        <v>NO</v>
      </c>
      <c r="AF40" s="4199" t="str">
        <f>IF(SUM(AF11)=0,"NO",AF11*9200/1000)</f>
        <v>NO</v>
      </c>
      <c r="AG40" s="4199" t="str">
        <f>IF(SUM(AG11)=0,"NO",AG11*1/1000)</f>
        <v>NO</v>
      </c>
      <c r="AH40" s="4199" t="str">
        <f>IF(SUM(X40:AG40)=0,"NO",SUM(X40:AG40))</f>
        <v>NO</v>
      </c>
      <c r="AI40" s="4200" t="str">
        <f>IF(SUM(AI11)=0,"NO",AI11*1/1000)</f>
        <v>NO</v>
      </c>
      <c r="AJ40" s="4200" t="str">
        <f>IF(SUM(AJ11)=0,"NO",AJ11*23500/1000)</f>
        <v>NO</v>
      </c>
      <c r="AK40" s="4201" t="str">
        <f>IF(SUM(AK11)=0,"NO",AK11*16100/1000)</f>
        <v>NO</v>
      </c>
    </row>
    <row r="41" spans="2:37" ht="18" customHeight="1" x14ac:dyDescent="0.2">
      <c r="B41" s="1293" t="s">
        <v>611</v>
      </c>
      <c r="C41" s="4198" t="str">
        <f>IF(SUM(C16)=0,"NO",C16*12400/1000)</f>
        <v>NO</v>
      </c>
      <c r="D41" s="4199" t="str">
        <f>IF(SUM(D16)=0,"NO",D16*677/1000)</f>
        <v>NO</v>
      </c>
      <c r="E41" s="4199" t="str">
        <f>IF(SUM(E16)=0,"NO",E16*116/1000)</f>
        <v>NO</v>
      </c>
      <c r="F41" s="4199" t="str">
        <f>IF(SUM(F16)=0,"NO",F16*1650/1000)</f>
        <v>NO</v>
      </c>
      <c r="G41" s="4199" t="str">
        <f>IF(SUM(G16)=0,"NO",G16*3170/1000)</f>
        <v>NO</v>
      </c>
      <c r="H41" s="4199" t="str">
        <f>IF(SUM(H16)=0,"NO",H16*1120/1000)</f>
        <v>NO</v>
      </c>
      <c r="I41" s="4199" t="str">
        <f>IF(SUM(I16)=0,"NO",I16*1300/1000)</f>
        <v>NO</v>
      </c>
      <c r="J41" s="4199" t="str">
        <f>IF(SUM(J16)=0,"NO",J16*328/1000)</f>
        <v>NO</v>
      </c>
      <c r="K41" s="4199" t="str">
        <f>IF(SUM(K16)=0,"NO",K16*4800/1000)</f>
        <v>NO</v>
      </c>
      <c r="L41" s="4199" t="str">
        <f>IF(SUM(L16)=0,"NO",L16*16/1000)</f>
        <v>NO</v>
      </c>
      <c r="M41" s="4199" t="str">
        <f>IF(SUM(M16)=0,"NO",M16*138/1000)</f>
        <v>NO</v>
      </c>
      <c r="N41" s="4199" t="str">
        <f>IF(SUM(N16)=0,"NO",N16*4/1000)</f>
        <v>NO</v>
      </c>
      <c r="O41" s="4199" t="str">
        <f>IF(SUM(O16)=0,"NO",O16*3350/1000)</f>
        <v>NO</v>
      </c>
      <c r="P41" s="4199" t="str">
        <f>IF(SUM(P16)=0,"NO",P16*1210/1000)</f>
        <v>NO</v>
      </c>
      <c r="Q41" s="4199" t="str">
        <f>IF(SUM(Q16)=0,"NO",Q16*1330/1000)</f>
        <v>NO</v>
      </c>
      <c r="R41" s="4199" t="str">
        <f>IF(SUM(R16)=0,"NO",R16*8060/1000)</f>
        <v>NO</v>
      </c>
      <c r="S41" s="4199" t="str">
        <f>IF(SUM(S16)=0,"NO",S16*716/1000)</f>
        <v>NO</v>
      </c>
      <c r="T41" s="4199" t="str">
        <f>IF(SUM(T16)=0,"NO",T16*858/1000)</f>
        <v>NO</v>
      </c>
      <c r="U41" s="4199" t="str">
        <f>IF(SUM(U16)=0,"NO",U16*804/1000)</f>
        <v>NO</v>
      </c>
      <c r="V41" s="4199" t="str">
        <f>IF(SUM(V16)=0,"NO",V16*1/1000)</f>
        <v>NO</v>
      </c>
      <c r="W41" s="4199" t="str">
        <f t="shared" ref="W41:W45" si="73">IF(SUM(C41:V41)=0,"NO",SUM(C41:V41))</f>
        <v>NO</v>
      </c>
      <c r="X41" s="4199">
        <f>IF(SUM(X16)=0,"NO",X16*6630/1000)</f>
        <v>507.5769790296348</v>
      </c>
      <c r="Y41" s="4199">
        <f>IF(SUM(Y16)=0,"NO",Y16*11100/1000)</f>
        <v>110.36227433496242</v>
      </c>
      <c r="Z41" s="4202" t="str">
        <f>IF(SUM(Z16)=0,"NO",Z16*8900/1000)</f>
        <v>NO</v>
      </c>
      <c r="AA41" s="4202" t="str">
        <f>IF(SUM(AA16)=0,"NO",AA16*9200/1000)</f>
        <v>NO</v>
      </c>
      <c r="AB41" s="4202" t="str">
        <f>IF(SUM(AB16)=0,"NO",AB16*9540/1000)</f>
        <v>NO</v>
      </c>
      <c r="AC41" s="4202" t="str">
        <f>IF(SUM(AC16)=0,"NO",AC16*8550/1000)</f>
        <v>NO</v>
      </c>
      <c r="AD41" s="4202" t="str">
        <f>IF(SUM(AD16)=0,"NO",AD16*7910/1000)</f>
        <v>NO</v>
      </c>
      <c r="AE41" s="4202" t="str">
        <f>IF(SUM(AE16)=0,"NO",AE16*7190/1000)</f>
        <v>NO</v>
      </c>
      <c r="AF41" s="4202" t="str">
        <f>IF(SUM(AF16)=0,"NO",AF16*9200/1000)</f>
        <v>NO</v>
      </c>
      <c r="AG41" s="4202" t="str">
        <f>IF(SUM(AG16)=0,"NO",AG16*1/1000)</f>
        <v>NO</v>
      </c>
      <c r="AH41" s="4199">
        <f t="shared" ref="AH41:AH45" si="74">IF(SUM(X41:AG41)=0,"NO",SUM(X41:AG41))</f>
        <v>617.93925336459722</v>
      </c>
      <c r="AI41" s="4200" t="str">
        <f>IF(SUM(AI16)=0,"NO",AI16*1/1000)</f>
        <v>NO</v>
      </c>
      <c r="AJ41" s="4200" t="str">
        <f>IF(SUM(AJ16)=0,"NO",AJ16*23500/1000)</f>
        <v>NO</v>
      </c>
      <c r="AK41" s="4201" t="str">
        <f>IF(SUM(AK16)=0,"NO",AK16*16100/1000)</f>
        <v>NO</v>
      </c>
    </row>
    <row r="42" spans="2:37" ht="18" customHeight="1" x14ac:dyDescent="0.2">
      <c r="B42" s="1294" t="s">
        <v>600</v>
      </c>
      <c r="C42" s="4198" t="str">
        <f>IF(SUM(C20)=0,"NO",C20*12400/1000)</f>
        <v>NO</v>
      </c>
      <c r="D42" s="4199" t="str">
        <f>IF(SUM(D20)=0,"NO",D20*677/1000)</f>
        <v>NO</v>
      </c>
      <c r="E42" s="4199" t="str">
        <f>IF(SUM(E20)=0,"NO",E20*116/1000)</f>
        <v>NO</v>
      </c>
      <c r="F42" s="4199" t="str">
        <f>IF(SUM(F20)=0,"NO",F20*1650/1000)</f>
        <v>NO</v>
      </c>
      <c r="G42" s="4199" t="str">
        <f>IF(SUM(G20)=0,"NO",G20*3170/1000)</f>
        <v>NO</v>
      </c>
      <c r="H42" s="4199" t="str">
        <f>IF(SUM(H20)=0,"NO",H20*1120/1000)</f>
        <v>NO</v>
      </c>
      <c r="I42" s="4199" t="str">
        <f>IF(SUM(I20)=0,"NO",I20*1300/1000)</f>
        <v>NO</v>
      </c>
      <c r="J42" s="4199" t="str">
        <f>IF(SUM(J20)=0,"NO",J20*328/1000)</f>
        <v>NO</v>
      </c>
      <c r="K42" s="4199" t="str">
        <f>IF(SUM(K20)=0,"NO",K20*4800/1000)</f>
        <v>NO</v>
      </c>
      <c r="L42" s="4199" t="str">
        <f>IF(SUM(L20)=0,"NO",L20*16/1000)</f>
        <v>NO</v>
      </c>
      <c r="M42" s="4199" t="str">
        <f>IF(SUM(M20)=0,"NO",M20*138/1000)</f>
        <v>NO</v>
      </c>
      <c r="N42" s="4199" t="str">
        <f>IF(SUM(N20)=0,"NO",N20*4/1000)</f>
        <v>NO</v>
      </c>
      <c r="O42" s="4199" t="str">
        <f>IF(SUM(O20)=0,"NO",O20*3350/1000)</f>
        <v>NO</v>
      </c>
      <c r="P42" s="4199" t="str">
        <f>IF(SUM(P20)=0,"NO",P20*1210/1000)</f>
        <v>NO</v>
      </c>
      <c r="Q42" s="4199" t="str">
        <f>IF(SUM(Q20)=0,"NO",Q20*1330/1000)</f>
        <v>NO</v>
      </c>
      <c r="R42" s="4199" t="str">
        <f>IF(SUM(R20)=0,"NO",R20*8060/1000)</f>
        <v>NO</v>
      </c>
      <c r="S42" s="4199" t="str">
        <f>IF(SUM(S20)=0,"NO",S20*716/1000)</f>
        <v>NO</v>
      </c>
      <c r="T42" s="4199" t="str">
        <f>IF(SUM(T20)=0,"NO",T20*858/1000)</f>
        <v>NO</v>
      </c>
      <c r="U42" s="4199" t="str">
        <f>IF(SUM(U20)=0,"NO",U20*804/1000)</f>
        <v>NO</v>
      </c>
      <c r="V42" s="4199" t="str">
        <f>IF(SUM(V20)=0,"NO",V20*1/1000)</f>
        <v>NO</v>
      </c>
      <c r="W42" s="4199" t="str">
        <f t="shared" si="73"/>
        <v>NO</v>
      </c>
      <c r="X42" s="4199" t="str">
        <f>IF(SUM(X20)=0,"NO",X20*6630/1000)</f>
        <v>NO</v>
      </c>
      <c r="Y42" s="4199" t="str">
        <f>IF(SUM(Y20)=0,"NO",Y20*11100/1000)</f>
        <v>NO</v>
      </c>
      <c r="Z42" s="4199" t="str">
        <f>IF(SUM(Z20)=0,"NO",Z20*8900/1000)</f>
        <v>NO</v>
      </c>
      <c r="AA42" s="4199" t="str">
        <f>IF(SUM(AA20)=0,"NO",AA20*9200/1000)</f>
        <v>NO</v>
      </c>
      <c r="AB42" s="4199" t="str">
        <f>IF(SUM(AB20)=0,"NO",AB20*9540/1000)</f>
        <v>NO</v>
      </c>
      <c r="AC42" s="4199" t="str">
        <f>IF(SUM(AC20)=0,"NO",AC20*8550/1000)</f>
        <v>NO</v>
      </c>
      <c r="AD42" s="4199" t="str">
        <f>IF(SUM(AD20)=0,"NO",AD20*7910/1000)</f>
        <v>NO</v>
      </c>
      <c r="AE42" s="4199" t="str">
        <f>IF(SUM(AE20)=0,"NO",AE20*7190/1000)</f>
        <v>NO</v>
      </c>
      <c r="AF42" s="4199" t="str">
        <f>IF(SUM(AF20)=0,"NO",AF20*9200/1000)</f>
        <v>NO</v>
      </c>
      <c r="AG42" s="4199" t="str">
        <f>IF(SUM(AG20)=0,"NO",AG20*1/1000)</f>
        <v>NO</v>
      </c>
      <c r="AH42" s="4199" t="str">
        <f t="shared" si="74"/>
        <v>NO</v>
      </c>
      <c r="AI42" s="4200" t="str">
        <f>IF(SUM(AI20)=0,"NO",AI20*1/1000)</f>
        <v>NO</v>
      </c>
      <c r="AJ42" s="4200" t="str">
        <f>IF(SUM(AJ20)=0,"NO",AJ20*23500/1000)</f>
        <v>NO</v>
      </c>
      <c r="AK42" s="4201" t="str">
        <f>IF(SUM(AK20)=0,"NO",AK20*16100/1000)</f>
        <v>NO</v>
      </c>
    </row>
    <row r="43" spans="2:37" ht="18" customHeight="1" x14ac:dyDescent="0.2">
      <c r="B43" s="1295" t="s">
        <v>612</v>
      </c>
      <c r="C43" s="4198" t="str">
        <f>IF(SUM(C26)=0,"NO",C26*12400/1000)</f>
        <v>NO</v>
      </c>
      <c r="D43" s="4199">
        <f>IF(SUM(D26)=0,"NO",D26*677/1000)</f>
        <v>27.887166999665443</v>
      </c>
      <c r="E43" s="4199" t="str">
        <f>IF(SUM(E26)=0,"NO",E26*116/1000)</f>
        <v>NO</v>
      </c>
      <c r="F43" s="4199" t="str">
        <f>IF(SUM(F26)=0,"NO",F26*1650/1000)</f>
        <v>NO</v>
      </c>
      <c r="G43" s="4199">
        <f>IF(SUM(G26)=0,"NO",G26*3170/1000)</f>
        <v>905.18180107109652</v>
      </c>
      <c r="H43" s="4199">
        <f>IF(SUM(H26)=0,"NO",H26*1120/1000)</f>
        <v>0.68294511004909186</v>
      </c>
      <c r="I43" s="4199">
        <f>IF(SUM(I26)=0,"NO",I26*1300/1000)</f>
        <v>1586.0976609274937</v>
      </c>
      <c r="J43" s="4199" t="str">
        <f>IF(SUM(J26)=0,"NO",J26*328/1000)</f>
        <v>NO</v>
      </c>
      <c r="K43" s="4199">
        <f>IF(SUM(K26)=0,"NO",K26*4800/1000)</f>
        <v>1468.6136899700527</v>
      </c>
      <c r="L43" s="4199" t="str">
        <f>IF(SUM(L26)=0,"NO",L26*16/1000)</f>
        <v>NO</v>
      </c>
      <c r="M43" s="4199">
        <f>IF(SUM(M26)=0,"NO",M26*138/1000)</f>
        <v>3.6555826052440596</v>
      </c>
      <c r="N43" s="4199" t="str">
        <f>IF(SUM(N26)=0,"NO",N26*4/1000)</f>
        <v>NO</v>
      </c>
      <c r="O43" s="4199">
        <f>IF(SUM(O26)=0,"NO",O26*3350/1000)</f>
        <v>37.286907640381571</v>
      </c>
      <c r="P43" s="4199" t="str">
        <f>IF(SUM(P26)=0,"NO",P26*1210/1000)</f>
        <v>NO</v>
      </c>
      <c r="Q43" s="4199" t="str">
        <f>IF(SUM(Q26)=0,"NO",Q26*1330/1000)</f>
        <v>NO</v>
      </c>
      <c r="R43" s="4199">
        <f>IF(SUM(R26)=0,"NO",R26*8060/1000)</f>
        <v>37.911654965224955</v>
      </c>
      <c r="S43" s="4199" t="str">
        <f>IF(SUM(S26)=0,"NO",S26*716/1000)</f>
        <v>NO</v>
      </c>
      <c r="T43" s="4199">
        <f>IF(SUM(T26)=0,"NO",T26*858/1000)</f>
        <v>24.931258750070651</v>
      </c>
      <c r="U43" s="4199">
        <f>IF(SUM(U26)=0,"NO",U26*804/1000)</f>
        <v>16.466068633499777</v>
      </c>
      <c r="V43" s="4199" t="str">
        <f>IF(SUM(V26)=0,"NO",V26*1/1000)</f>
        <v>NO</v>
      </c>
      <c r="W43" s="4199">
        <f t="shared" si="73"/>
        <v>4108.7147366727786</v>
      </c>
      <c r="X43" s="4199" t="str">
        <f>IF(SUM(X26)=0,"NO",X26*6630/1000)</f>
        <v>NO</v>
      </c>
      <c r="Y43" s="4199" t="str">
        <f>IF(SUM(Y26)=0,"NO",Y26*11100/1000)</f>
        <v>NO</v>
      </c>
      <c r="Z43" s="4199" t="str">
        <f>IF(SUM(Z26)=0,"NO",Z26*8900/1000)</f>
        <v>NO</v>
      </c>
      <c r="AA43" s="4199" t="str">
        <f>IF(SUM(AA26)=0,"NO",AA26*9200/1000)</f>
        <v>NO</v>
      </c>
      <c r="AB43" s="4199" t="str">
        <f>IF(SUM(AB26)=0,"NO",AB26*9540/1000)</f>
        <v>NO</v>
      </c>
      <c r="AC43" s="4199" t="str">
        <f>IF(SUM(AC26)=0,"NO",AC26*8550/1000)</f>
        <v>NO</v>
      </c>
      <c r="AD43" s="4199" t="str">
        <f>IF(SUM(AD26)=0,"NO",AD26*7910/1000)</f>
        <v>NO</v>
      </c>
      <c r="AE43" s="4199" t="str">
        <f>IF(SUM(AE26)=0,"NO",AE26*7190/1000)</f>
        <v>NO</v>
      </c>
      <c r="AF43" s="4199" t="str">
        <f>IF(SUM(AF26)=0,"NO",AF26*9200/1000)</f>
        <v>NO</v>
      </c>
      <c r="AG43" s="4199" t="str">
        <f>IF(SUM(AG26)=0,"NO",AG26*1/1000)</f>
        <v>NO</v>
      </c>
      <c r="AH43" s="4199" t="str">
        <f t="shared" si="74"/>
        <v>NO</v>
      </c>
      <c r="AI43" s="4200" t="str">
        <f>IF(SUM(AI26)=0,"NO",AI26*1/1000)</f>
        <v>NO</v>
      </c>
      <c r="AJ43" s="4200" t="str">
        <f>IF(SUM(AJ26)=0,"NO",AJ26*23500/1000)</f>
        <v>NO</v>
      </c>
      <c r="AK43" s="4201" t="str">
        <f>IF(SUM(AK26)=0,"NO",AK26*16100/1000)</f>
        <v>NO</v>
      </c>
    </row>
    <row r="44" spans="2:37" ht="18" customHeight="1" x14ac:dyDescent="0.2">
      <c r="B44" s="1294" t="s">
        <v>549</v>
      </c>
      <c r="C44" s="4198" t="str">
        <f>IF(SUM(C33)=0,"NO",C33*12400/1000)</f>
        <v>NO</v>
      </c>
      <c r="D44" s="4199" t="str">
        <f>IF(SUM(D33)=0,"NO",D33*677/1000)</f>
        <v>NO</v>
      </c>
      <c r="E44" s="4199" t="str">
        <f>IF(SUM(E33)=0,"NO",E33*116/1000)</f>
        <v>NO</v>
      </c>
      <c r="F44" s="4199" t="str">
        <f>IF(SUM(F33)=0,"NO",F33*1650/1000)</f>
        <v>NO</v>
      </c>
      <c r="G44" s="4199" t="str">
        <f>IF(SUM(G33)=0,"NO",G33*3170/1000)</f>
        <v>NO</v>
      </c>
      <c r="H44" s="4199" t="str">
        <f>IF(SUM(H33)=0,"NO",H33*1120/1000)</f>
        <v>NO</v>
      </c>
      <c r="I44" s="4199" t="str">
        <f>IF(SUM(I33)=0,"NO",I33*1300/1000)</f>
        <v>NO</v>
      </c>
      <c r="J44" s="4199" t="str">
        <f>IF(SUM(J33)=0,"NO",J33*328/1000)</f>
        <v>NO</v>
      </c>
      <c r="K44" s="4199" t="str">
        <f>IF(SUM(K33)=0,"NO",K33*4800/1000)</f>
        <v>NO</v>
      </c>
      <c r="L44" s="4199" t="str">
        <f>IF(SUM(L33)=0,"NO",L33*16/1000)</f>
        <v>NO</v>
      </c>
      <c r="M44" s="4199" t="str">
        <f>IF(SUM(M33)=0,"NO",M33*138/1000)</f>
        <v>NO</v>
      </c>
      <c r="N44" s="4199" t="str">
        <f>IF(SUM(N33)=0,"NO",N33*4/1000)</f>
        <v>NO</v>
      </c>
      <c r="O44" s="4199" t="str">
        <f>IF(SUM(O33)=0,"NO",O33*3350/1000)</f>
        <v>NO</v>
      </c>
      <c r="P44" s="4199" t="str">
        <f>IF(SUM(P33)=0,"NO",P33*1210/1000)</f>
        <v>NO</v>
      </c>
      <c r="Q44" s="4199" t="str">
        <f>IF(SUM(Q33)=0,"NO",Q33*1330/1000)</f>
        <v>NO</v>
      </c>
      <c r="R44" s="4199" t="str">
        <f>IF(SUM(R33)=0,"NO",R33*8060/1000)</f>
        <v>NO</v>
      </c>
      <c r="S44" s="4199" t="str">
        <f>IF(SUM(S33)=0,"NO",S33*716/1000)</f>
        <v>NO</v>
      </c>
      <c r="T44" s="4199" t="str">
        <f>IF(SUM(T33)=0,"NO",T33*858/1000)</f>
        <v>NO</v>
      </c>
      <c r="U44" s="4199" t="str">
        <f>IF(SUM(U33)=0,"NO",U33*804/1000)</f>
        <v>NO</v>
      </c>
      <c r="V44" s="4199" t="str">
        <f>IF(SUM(V33)=0,"NO",V33*1/1000)</f>
        <v>NO</v>
      </c>
      <c r="W44" s="4199" t="str">
        <f t="shared" si="73"/>
        <v>NO</v>
      </c>
      <c r="X44" s="4199" t="str">
        <f>IF(SUM(X33)=0,"NO",X33*6630/1000)</f>
        <v>NO</v>
      </c>
      <c r="Y44" s="4199" t="str">
        <f>IF(SUM(Y33)=0,"NO",Y33*11100/1000)</f>
        <v>NO</v>
      </c>
      <c r="Z44" s="4199" t="str">
        <f>IF(SUM(Z33)=0,"NO",Z33*8900/1000)</f>
        <v>NO</v>
      </c>
      <c r="AA44" s="4199" t="str">
        <f>IF(SUM(AA33)=0,"NO",AA33*9200/1000)</f>
        <v>NO</v>
      </c>
      <c r="AB44" s="4199" t="str">
        <f>IF(SUM(AB33)=0,"NO",AB33*9540/1000)</f>
        <v>NO</v>
      </c>
      <c r="AC44" s="4199" t="str">
        <f>IF(SUM(AC33)=0,"NO",AC33*8550/1000)</f>
        <v>NO</v>
      </c>
      <c r="AD44" s="4199" t="str">
        <f>IF(SUM(AD33)=0,"NO",AD33*7910/1000)</f>
        <v>NO</v>
      </c>
      <c r="AE44" s="4199" t="str">
        <f>IF(SUM(AE33)=0,"NO",AE33*7190/1000)</f>
        <v>NO</v>
      </c>
      <c r="AF44" s="4199" t="str">
        <f>IF(SUM(AF33)=0,"NO",AF33*9200/1000)</f>
        <v>NO</v>
      </c>
      <c r="AG44" s="4199" t="str">
        <f>IF(SUM(AG33)=0,"NO",AG33*1/1000)</f>
        <v>NO</v>
      </c>
      <c r="AH44" s="4199" t="str">
        <f t="shared" si="74"/>
        <v>NO</v>
      </c>
      <c r="AI44" s="4200" t="str">
        <f>IF(SUM(AI33)=0,"NO",AI33*1/1000)</f>
        <v>NO</v>
      </c>
      <c r="AJ44" s="4200">
        <f>IF(SUM(AJ33)=0,"NO",AJ33*23500/1000)</f>
        <v>191.78131355969188</v>
      </c>
      <c r="AK44" s="4201" t="str">
        <f>IF(SUM(AK33)=0,"NO",AK33*16100/1000)</f>
        <v>NO</v>
      </c>
    </row>
    <row r="45" spans="2:37" ht="18" customHeight="1" thickBot="1" x14ac:dyDescent="0.25">
      <c r="B45" s="1296" t="s">
        <v>613</v>
      </c>
      <c r="C45" s="4203" t="str">
        <f>IF(SUM(C37)=0,"NO",C37*12400/1000)</f>
        <v>NO</v>
      </c>
      <c r="D45" s="4204" t="str">
        <f>IF(SUM(D37)=0,"NO",D37*677/1000)</f>
        <v>NO</v>
      </c>
      <c r="E45" s="4204" t="str">
        <f>IF(SUM(E37)=0,"NO",E37*116/1000)</f>
        <v>NO</v>
      </c>
      <c r="F45" s="4204" t="str">
        <f>IF(SUM(F37)=0,"NO",F37*1650/1000)</f>
        <v>NO</v>
      </c>
      <c r="G45" s="4204" t="str">
        <f>IF(SUM(G37)=0,"NO",G37*3170/1000)</f>
        <v>NO</v>
      </c>
      <c r="H45" s="4204" t="str">
        <f>IF(SUM(H37)=0,"NO",H37*1120/1000)</f>
        <v>NO</v>
      </c>
      <c r="I45" s="4204" t="str">
        <f>IF(SUM(I37)=0,"NO",I37*1300/1000)</f>
        <v>NO</v>
      </c>
      <c r="J45" s="4204" t="str">
        <f>IF(SUM(J37)=0,"NO",J37*328/1000)</f>
        <v>NO</v>
      </c>
      <c r="K45" s="4204" t="str">
        <f>IF(SUM(K37)=0,"NO",K37*4800/1000)</f>
        <v>NO</v>
      </c>
      <c r="L45" s="4204" t="str">
        <f>IF(SUM(L37)=0,"NO",L37*16/1000)</f>
        <v>NO</v>
      </c>
      <c r="M45" s="4204" t="str">
        <f>IF(SUM(M37)=0,"NO",M37*138/1000)</f>
        <v>NO</v>
      </c>
      <c r="N45" s="4204" t="str">
        <f>IF(SUM(N37)=0,"NO",N37*4/1000)</f>
        <v>NO</v>
      </c>
      <c r="O45" s="4204" t="str">
        <f>IF(SUM(O37)=0,"NO",O37*3350/1000)</f>
        <v>NO</v>
      </c>
      <c r="P45" s="4204" t="str">
        <f>IF(SUM(P37)=0,"NO",P37*1210/1000)</f>
        <v>NO</v>
      </c>
      <c r="Q45" s="4204" t="str">
        <f>IF(SUM(Q37)=0,"NO",Q37*1330/1000)</f>
        <v>NO</v>
      </c>
      <c r="R45" s="4204" t="str">
        <f>IF(SUM(R37)=0,"NO",R37*8060/1000)</f>
        <v>NO</v>
      </c>
      <c r="S45" s="4204" t="str">
        <f>IF(SUM(S37)=0,"NO",S37*716/1000)</f>
        <v>NO</v>
      </c>
      <c r="T45" s="4204" t="str">
        <f>IF(SUM(T37)=0,"NO",T37*858/1000)</f>
        <v>NO</v>
      </c>
      <c r="U45" s="4204" t="str">
        <f>IF(SUM(U37)=0,"NO",U37*804/1000)</f>
        <v>NO</v>
      </c>
      <c r="V45" s="4204" t="str">
        <f>IF(SUM(V37)=0,"NO",V37*1/1000)</f>
        <v>NO</v>
      </c>
      <c r="W45" s="4204" t="str">
        <f t="shared" si="73"/>
        <v>NO</v>
      </c>
      <c r="X45" s="4204" t="str">
        <f>IF(SUM(X37)=0,"NO",X37*6630/1000)</f>
        <v>NO</v>
      </c>
      <c r="Y45" s="4204" t="str">
        <f>IF(SUM(Y37)=0,"NO",Y37*11100/1000)</f>
        <v>NO</v>
      </c>
      <c r="Z45" s="4204" t="str">
        <f>IF(SUM(Z37)=0,"NO",Z37*8900/1000)</f>
        <v>NO</v>
      </c>
      <c r="AA45" s="4204" t="str">
        <f>IF(SUM(AA37)=0,"NO",AA37*9200/1000)</f>
        <v>NO</v>
      </c>
      <c r="AB45" s="4204" t="str">
        <f>IF(SUM(AB37)=0,"NO",AB37*9540/1000)</f>
        <v>NO</v>
      </c>
      <c r="AC45" s="4204" t="str">
        <f>IF(SUM(AC37)=0,"NO",AC37*8550/1000)</f>
        <v>NO</v>
      </c>
      <c r="AD45" s="4204" t="str">
        <f>IF(SUM(AD37)=0,"NO",AD37*7910/1000)</f>
        <v>NO</v>
      </c>
      <c r="AE45" s="4204" t="str">
        <f>IF(SUM(AE37)=0,"NO",AE37*7190/1000)</f>
        <v>NO</v>
      </c>
      <c r="AF45" s="4204" t="str">
        <f>IF(SUM(AF37)=0,"NO",AF37*9200/1000)</f>
        <v>NO</v>
      </c>
      <c r="AG45" s="4204" t="str">
        <f>IF(SUM(AG37)=0,"NO",AG37*1/1000)</f>
        <v>NO</v>
      </c>
      <c r="AH45" s="4204" t="str">
        <f t="shared" si="74"/>
        <v>NO</v>
      </c>
      <c r="AI45" s="4205" t="str">
        <f>IF(SUM(AI37)=0,"NO",AI37*1/1000)</f>
        <v>NO</v>
      </c>
      <c r="AJ45" s="4205" t="str">
        <f>IF(SUM(AJ37)=0,"NO",AJ37*23500/1000)</f>
        <v>NO</v>
      </c>
      <c r="AK45" s="4206"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50"/>
      <c r="C47" s="1050"/>
      <c r="D47" s="1050"/>
      <c r="E47" s="1050"/>
      <c r="F47" s="1050"/>
      <c r="G47" s="1050"/>
      <c r="H47" s="1050"/>
      <c r="I47" s="1050"/>
      <c r="J47" s="1050"/>
      <c r="K47" s="1050"/>
      <c r="L47" s="1050"/>
      <c r="M47" s="1050"/>
      <c r="N47" s="1050"/>
      <c r="O47" s="1050"/>
      <c r="P47" s="1050"/>
      <c r="Q47" s="1050"/>
      <c r="R47" s="1050"/>
      <c r="S47" s="1050"/>
      <c r="T47" s="1050"/>
      <c r="U47" s="1050"/>
      <c r="V47" s="1050"/>
      <c r="W47" s="1050"/>
      <c r="X47" s="1050"/>
      <c r="Y47" s="1050"/>
      <c r="Z47" s="1050"/>
      <c r="AA47" s="1050"/>
      <c r="AB47" s="1050"/>
      <c r="AC47" s="1050"/>
      <c r="AD47" s="1050"/>
      <c r="AE47" s="1050"/>
      <c r="AF47" s="1050"/>
      <c r="AG47" s="1050"/>
      <c r="AH47" s="1050"/>
      <c r="AI47" s="1050"/>
      <c r="AJ47" s="1050"/>
      <c r="AK47" s="961"/>
    </row>
    <row r="48" spans="2:37" s="83" customFormat="1" ht="12" customHeight="1" x14ac:dyDescent="0.2">
      <c r="B48" s="994"/>
      <c r="C48" s="994"/>
      <c r="D48" s="994"/>
      <c r="E48" s="994"/>
      <c r="F48" s="994"/>
      <c r="G48" s="994"/>
      <c r="H48" s="994"/>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4"/>
      <c r="C49" s="994"/>
      <c r="D49" s="994"/>
      <c r="E49" s="994"/>
      <c r="F49" s="994"/>
      <c r="G49" s="994"/>
      <c r="H49" s="99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4"/>
      <c r="C50" s="994"/>
      <c r="D50" s="994"/>
      <c r="E50" s="994"/>
      <c r="F50" s="994"/>
      <c r="G50" s="994"/>
      <c r="H50" s="994"/>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9"/>
      <c r="C51" s="999"/>
      <c r="D51" s="999"/>
      <c r="E51" s="999"/>
      <c r="F51" s="999"/>
      <c r="G51" s="999"/>
      <c r="H51" s="999"/>
      <c r="I51" s="999"/>
      <c r="J51" s="999"/>
      <c r="K51" s="999"/>
      <c r="L51" s="999"/>
      <c r="M51" s="999"/>
      <c r="N51" s="999"/>
      <c r="O51" s="999"/>
      <c r="P51" s="999"/>
      <c r="Q51" s="999"/>
      <c r="R51" s="999"/>
      <c r="S51" s="999"/>
      <c r="T51" s="999"/>
      <c r="U51" s="999"/>
      <c r="V51" s="999"/>
      <c r="W51" s="999"/>
      <c r="X51" s="999"/>
      <c r="Y51" s="254"/>
      <c r="Z51" s="254"/>
      <c r="AA51" s="254"/>
      <c r="AB51" s="254"/>
      <c r="AC51" s="254"/>
      <c r="AD51" s="254"/>
      <c r="AE51" s="254"/>
      <c r="AF51" s="254"/>
      <c r="AG51" s="254"/>
      <c r="AH51" s="254"/>
      <c r="AI51" s="254"/>
      <c r="AJ51" s="254"/>
    </row>
    <row r="52" spans="2:37" s="83" customFormat="1" ht="12" customHeight="1" x14ac:dyDescent="0.2">
      <c r="B52" s="999"/>
      <c r="C52" s="999"/>
      <c r="D52" s="999"/>
      <c r="E52" s="999"/>
      <c r="F52" s="999"/>
      <c r="G52" s="999"/>
      <c r="H52" s="999"/>
      <c r="I52" s="999"/>
      <c r="J52" s="999"/>
      <c r="K52" s="999"/>
      <c r="L52" s="999"/>
      <c r="M52" s="999"/>
      <c r="N52" s="999"/>
      <c r="O52" s="999"/>
      <c r="P52" s="999"/>
      <c r="Q52" s="999"/>
      <c r="R52" s="999"/>
      <c r="S52" s="999"/>
      <c r="T52" s="999"/>
      <c r="U52" s="999"/>
      <c r="V52" s="999"/>
      <c r="W52" s="999"/>
      <c r="X52" s="999"/>
      <c r="Y52" s="254"/>
      <c r="Z52" s="254"/>
      <c r="AA52" s="254"/>
      <c r="AB52" s="254"/>
      <c r="AC52" s="254"/>
      <c r="AD52" s="254"/>
      <c r="AE52" s="254"/>
      <c r="AF52" s="254"/>
      <c r="AG52" s="254"/>
      <c r="AH52" s="254"/>
      <c r="AI52" s="254"/>
      <c r="AJ52" s="254"/>
    </row>
    <row r="53" spans="2:37" s="83" customFormat="1" ht="12" customHeight="1" thickBot="1" x14ac:dyDescent="0.25">
      <c r="B53" s="999"/>
      <c r="C53" s="994"/>
      <c r="D53" s="994"/>
      <c r="E53" s="994"/>
      <c r="F53" s="994"/>
      <c r="G53" s="994"/>
      <c r="H53" s="994"/>
      <c r="I53" s="994"/>
      <c r="J53" s="994"/>
      <c r="K53" s="994"/>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4" t="s">
        <v>390</v>
      </c>
      <c r="C54" s="1015"/>
      <c r="D54" s="1015"/>
      <c r="E54" s="1015"/>
      <c r="F54" s="1015"/>
      <c r="G54" s="1015"/>
      <c r="H54" s="1015"/>
      <c r="I54" s="1015"/>
      <c r="J54" s="1015"/>
      <c r="K54" s="1015"/>
      <c r="L54" s="1015"/>
      <c r="M54" s="1015"/>
      <c r="N54" s="1015"/>
      <c r="O54" s="1015"/>
      <c r="P54" s="1015"/>
      <c r="Q54" s="1015"/>
      <c r="R54" s="1015"/>
      <c r="S54" s="1015"/>
      <c r="T54" s="1015"/>
      <c r="U54" s="1015"/>
      <c r="V54" s="1015"/>
      <c r="W54" s="1015"/>
      <c r="X54" s="1015"/>
      <c r="Y54" s="1015"/>
      <c r="Z54" s="1015"/>
      <c r="AA54" s="1015"/>
      <c r="AB54" s="1015"/>
      <c r="AC54" s="1015"/>
      <c r="AD54" s="1015"/>
      <c r="AE54" s="1015"/>
      <c r="AF54" s="1015"/>
      <c r="AG54" s="1015"/>
      <c r="AH54" s="1015"/>
      <c r="AI54" s="1015"/>
      <c r="AJ54" s="1015"/>
      <c r="AK54" s="1016"/>
    </row>
    <row r="55" spans="2:37" s="83" customFormat="1" ht="12" customHeight="1" x14ac:dyDescent="0.2">
      <c r="B55" s="2086"/>
      <c r="C55" s="1235"/>
      <c r="D55" s="1235"/>
      <c r="E55" s="1235"/>
      <c r="F55" s="1235"/>
      <c r="G55" s="1235"/>
      <c r="H55" s="1235"/>
      <c r="I55" s="1235"/>
      <c r="J55" s="1235"/>
      <c r="K55" s="1235"/>
      <c r="L55" s="1235"/>
      <c r="M55" s="1235"/>
      <c r="N55" s="1235"/>
      <c r="O55" s="1235"/>
      <c r="P55" s="1235"/>
      <c r="Q55" s="1235"/>
      <c r="R55" s="1235"/>
      <c r="S55" s="1235"/>
      <c r="T55" s="1235"/>
      <c r="U55" s="1235"/>
      <c r="V55" s="1235"/>
      <c r="W55" s="1235"/>
      <c r="X55" s="1235"/>
      <c r="Y55" s="1235"/>
      <c r="Z55" s="1235"/>
      <c r="AA55" s="1235"/>
      <c r="AB55" s="1235"/>
      <c r="AC55" s="1235"/>
      <c r="AD55" s="1235"/>
      <c r="AE55" s="1235"/>
      <c r="AF55" s="1235"/>
      <c r="AG55" s="1235"/>
      <c r="AH55" s="1235"/>
      <c r="AI55" s="1235"/>
      <c r="AJ55" s="1235"/>
      <c r="AK55" s="1236"/>
    </row>
    <row r="56" spans="2:37" s="83" customFormat="1" ht="12" customHeight="1" x14ac:dyDescent="0.2">
      <c r="B56" s="2087"/>
      <c r="C56" s="2088"/>
      <c r="D56" s="2088"/>
      <c r="E56" s="2088"/>
      <c r="F56" s="2088"/>
      <c r="G56" s="2088"/>
      <c r="H56" s="2088"/>
      <c r="I56" s="2088"/>
      <c r="J56" s="2088"/>
      <c r="K56" s="2088"/>
      <c r="L56" s="2088"/>
      <c r="M56" s="2088"/>
      <c r="N56" s="2088"/>
      <c r="O56" s="2088"/>
      <c r="P56" s="2088"/>
      <c r="Q56" s="2088"/>
      <c r="R56" s="2088"/>
      <c r="S56" s="2088"/>
      <c r="T56" s="2088"/>
      <c r="U56" s="2088"/>
      <c r="V56" s="2088"/>
      <c r="W56" s="2088"/>
      <c r="X56" s="2088"/>
      <c r="Y56" s="2088"/>
      <c r="Z56" s="2088"/>
      <c r="AA56" s="2088"/>
      <c r="AB56" s="2088"/>
      <c r="AC56" s="2088"/>
      <c r="AD56" s="2088"/>
      <c r="AE56" s="2088"/>
      <c r="AF56" s="2088"/>
      <c r="AG56" s="2088"/>
      <c r="AH56" s="2088"/>
      <c r="AI56" s="2088"/>
      <c r="AJ56" s="2088"/>
      <c r="AK56" s="2089"/>
    </row>
    <row r="57" spans="2:37" s="83" customFormat="1" ht="12" customHeight="1" x14ac:dyDescent="0.2">
      <c r="B57" s="2087"/>
      <c r="C57" s="2088"/>
      <c r="D57" s="2088"/>
      <c r="E57" s="2088"/>
      <c r="F57" s="2088"/>
      <c r="G57" s="2088"/>
      <c r="H57" s="2088"/>
      <c r="I57" s="2088"/>
      <c r="J57" s="2088"/>
      <c r="K57" s="2088"/>
      <c r="L57" s="2088"/>
      <c r="M57" s="2088"/>
      <c r="N57" s="2088"/>
      <c r="O57" s="2088"/>
      <c r="P57" s="2088"/>
      <c r="Q57" s="2088"/>
      <c r="R57" s="2088"/>
      <c r="S57" s="2088"/>
      <c r="T57" s="2088"/>
      <c r="U57" s="2088"/>
      <c r="V57" s="2088"/>
      <c r="W57" s="2088"/>
      <c r="X57" s="2088"/>
      <c r="Y57" s="2088"/>
      <c r="Z57" s="2088"/>
      <c r="AA57" s="2088"/>
      <c r="AB57" s="2088"/>
      <c r="AC57" s="2088"/>
      <c r="AD57" s="2088"/>
      <c r="AE57" s="2088"/>
      <c r="AF57" s="2088"/>
      <c r="AG57" s="2088"/>
      <c r="AH57" s="2088"/>
      <c r="AI57" s="2088"/>
      <c r="AJ57" s="2088"/>
      <c r="AK57" s="2089"/>
    </row>
    <row r="58" spans="2:37" s="83" customFormat="1" ht="12" customHeight="1" x14ac:dyDescent="0.2">
      <c r="B58" s="2087"/>
      <c r="C58" s="2088"/>
      <c r="D58" s="2088"/>
      <c r="E58" s="2088"/>
      <c r="F58" s="2088"/>
      <c r="G58" s="2088"/>
      <c r="H58" s="2088"/>
      <c r="I58" s="2088"/>
      <c r="J58" s="2088"/>
      <c r="K58" s="2088"/>
      <c r="L58" s="2088"/>
      <c r="M58" s="2088"/>
      <c r="N58" s="2088"/>
      <c r="O58" s="2088"/>
      <c r="P58" s="2088"/>
      <c r="Q58" s="2088"/>
      <c r="R58" s="2088"/>
      <c r="S58" s="2088"/>
      <c r="T58" s="2088"/>
      <c r="U58" s="2088"/>
      <c r="V58" s="2088"/>
      <c r="W58" s="2088"/>
      <c r="X58" s="2088"/>
      <c r="Y58" s="2088"/>
      <c r="Z58" s="2088"/>
      <c r="AA58" s="2088"/>
      <c r="AB58" s="2088"/>
      <c r="AC58" s="2088"/>
      <c r="AD58" s="2088"/>
      <c r="AE58" s="2088"/>
      <c r="AF58" s="2088"/>
      <c r="AG58" s="2088"/>
      <c r="AH58" s="2088"/>
      <c r="AI58" s="2088"/>
      <c r="AJ58" s="2088"/>
      <c r="AK58" s="2089"/>
    </row>
    <row r="59" spans="2:37" s="83" customFormat="1" ht="12" customHeight="1" thickBot="1" x14ac:dyDescent="0.25">
      <c r="B59" s="2090"/>
      <c r="C59" s="2025"/>
      <c r="D59" s="2025"/>
      <c r="E59" s="2025"/>
      <c r="F59" s="2025"/>
      <c r="G59" s="2025"/>
      <c r="H59" s="2025"/>
      <c r="I59" s="2025"/>
      <c r="J59" s="2025"/>
      <c r="K59" s="2025"/>
      <c r="L59" s="2025"/>
      <c r="M59" s="2025"/>
      <c r="N59" s="2025"/>
      <c r="O59" s="2025"/>
      <c r="P59" s="2025"/>
      <c r="Q59" s="2025"/>
      <c r="R59" s="2025"/>
      <c r="S59" s="2025"/>
      <c r="T59" s="2025"/>
      <c r="U59" s="2025"/>
      <c r="V59" s="2025"/>
      <c r="W59" s="2025"/>
      <c r="X59" s="2025"/>
      <c r="Y59" s="2025"/>
      <c r="Z59" s="2025"/>
      <c r="AA59" s="2025"/>
      <c r="AB59" s="2025"/>
      <c r="AC59" s="2025"/>
      <c r="AD59" s="2025"/>
      <c r="AE59" s="2025"/>
      <c r="AF59" s="2025"/>
      <c r="AG59" s="2025"/>
      <c r="AH59" s="2025"/>
      <c r="AI59" s="2025"/>
      <c r="AJ59" s="2025"/>
      <c r="AK59" s="202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4"/>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485</v>
      </c>
      <c r="C1" s="208"/>
      <c r="D1" s="208"/>
      <c r="E1" s="208"/>
      <c r="F1" s="208"/>
      <c r="G1" s="208"/>
      <c r="H1" s="208"/>
      <c r="K1" s="208"/>
      <c r="N1" s="14" t="s">
        <v>2521</v>
      </c>
    </row>
    <row r="2" spans="2:14" ht="17.25" customHeight="1" x14ac:dyDescent="0.3">
      <c r="B2" s="215" t="s">
        <v>486</v>
      </c>
      <c r="N2" s="14" t="s">
        <v>2522</v>
      </c>
    </row>
    <row r="3" spans="2:14" ht="15.75" customHeight="1" x14ac:dyDescent="0.25">
      <c r="B3" s="215" t="s">
        <v>62</v>
      </c>
      <c r="J3" s="226"/>
      <c r="N3" s="14" t="s">
        <v>2144</v>
      </c>
    </row>
    <row r="4" spans="2:14" ht="12" customHeight="1" x14ac:dyDescent="0.25">
      <c r="B4" s="215"/>
      <c r="J4" s="226"/>
      <c r="N4" s="226"/>
    </row>
    <row r="5" spans="2:14" ht="12" hidden="1" customHeight="1" x14ac:dyDescent="0.25">
      <c r="B5" s="215"/>
      <c r="J5" s="226"/>
      <c r="N5" s="226"/>
    </row>
    <row r="6" spans="2:14" ht="12.75" customHeight="1" thickBot="1" x14ac:dyDescent="0.25">
      <c r="B6" s="2450" t="s">
        <v>64</v>
      </c>
      <c r="C6" s="253"/>
      <c r="D6" s="254"/>
      <c r="E6" s="254"/>
      <c r="F6" s="254"/>
      <c r="G6" s="254"/>
      <c r="H6" s="254"/>
      <c r="I6" s="254"/>
      <c r="J6" s="254"/>
      <c r="K6" s="254"/>
      <c r="L6" s="254"/>
      <c r="M6" s="254"/>
      <c r="N6" s="254"/>
    </row>
    <row r="7" spans="2:14" ht="14.25" customHeight="1" x14ac:dyDescent="0.2">
      <c r="B7" s="45" t="s">
        <v>326</v>
      </c>
      <c r="C7" s="177" t="s">
        <v>419</v>
      </c>
      <c r="D7" s="178"/>
      <c r="E7" s="177" t="s">
        <v>2017</v>
      </c>
      <c r="F7" s="178"/>
      <c r="G7" s="179"/>
      <c r="H7" s="177" t="s">
        <v>654</v>
      </c>
      <c r="I7" s="178"/>
      <c r="J7" s="179"/>
      <c r="K7" s="178" t="s">
        <v>2101</v>
      </c>
      <c r="L7" s="178"/>
      <c r="M7" s="178"/>
      <c r="N7" s="203"/>
    </row>
    <row r="8" spans="2:14" ht="27" x14ac:dyDescent="0.2">
      <c r="B8" s="1861" t="s">
        <v>328</v>
      </c>
      <c r="C8" s="335" t="s">
        <v>487</v>
      </c>
      <c r="D8" s="330"/>
      <c r="E8" s="2091" t="s">
        <v>66</v>
      </c>
      <c r="F8" s="2091" t="s">
        <v>67</v>
      </c>
      <c r="G8" s="2091" t="s">
        <v>68</v>
      </c>
      <c r="H8" s="2092" t="s">
        <v>66</v>
      </c>
      <c r="I8" s="2092" t="s">
        <v>67</v>
      </c>
      <c r="J8" s="2093" t="s">
        <v>68</v>
      </c>
      <c r="K8" s="1835" t="s">
        <v>488</v>
      </c>
      <c r="L8" s="1835" t="s">
        <v>1794</v>
      </c>
      <c r="M8" s="1836" t="s">
        <v>67</v>
      </c>
      <c r="N8" s="1837" t="s">
        <v>68</v>
      </c>
    </row>
    <row r="9" spans="2:14" ht="15" customHeight="1" thickBot="1" x14ac:dyDescent="0.25">
      <c r="B9" s="2094"/>
      <c r="C9" s="266" t="s">
        <v>2018</v>
      </c>
      <c r="D9" s="267" t="s">
        <v>73</v>
      </c>
      <c r="E9" s="2095" t="s">
        <v>489</v>
      </c>
      <c r="F9" s="2096"/>
      <c r="G9" s="2096"/>
      <c r="H9" s="1748" t="s">
        <v>73</v>
      </c>
      <c r="I9" s="344"/>
      <c r="J9" s="1772"/>
      <c r="K9" s="344" t="s">
        <v>73</v>
      </c>
      <c r="L9" s="344"/>
      <c r="M9" s="344"/>
      <c r="N9" s="345"/>
    </row>
    <row r="10" spans="2:14" ht="18" customHeight="1" thickTop="1" x14ac:dyDescent="0.2">
      <c r="B10" s="1276" t="s">
        <v>490</v>
      </c>
      <c r="C10" s="2097"/>
      <c r="D10" s="3779"/>
      <c r="E10" s="2134"/>
      <c r="F10" s="2134"/>
      <c r="G10" s="3780"/>
      <c r="H10" s="3192">
        <f>IF(SUM(H11:H14)=0,"IE",SUM(H11:H14))</f>
        <v>6668.9977667490357</v>
      </c>
      <c r="I10" s="628"/>
      <c r="J10" s="628"/>
      <c r="K10" s="3192" t="str">
        <f>IF(SUM(K11:K14)=0,"NO",SUM(K11:K14))</f>
        <v>NO</v>
      </c>
      <c r="L10" s="3192" t="str">
        <f>IF(SUM(L11:L14)=0,"NO",SUM(L11:L14))</f>
        <v>NO</v>
      </c>
      <c r="M10" s="628"/>
      <c r="N10" s="1838"/>
    </row>
    <row r="11" spans="2:14" ht="18" customHeight="1" x14ac:dyDescent="0.2">
      <c r="B11" s="287" t="s">
        <v>491</v>
      </c>
      <c r="C11" s="2099" t="s">
        <v>2181</v>
      </c>
      <c r="D11" s="691">
        <v>7075.5650000000005</v>
      </c>
      <c r="E11" s="1913">
        <f>IF(SUM($D11)=0,"NA",H11/$D11)</f>
        <v>0.54950545546539387</v>
      </c>
      <c r="F11" s="628"/>
      <c r="G11" s="628"/>
      <c r="H11" s="3180">
        <v>3888.0615680000001</v>
      </c>
      <c r="I11" s="628"/>
      <c r="J11" s="628"/>
      <c r="K11" s="3180" t="s">
        <v>2146</v>
      </c>
      <c r="L11" s="691" t="s">
        <v>2146</v>
      </c>
      <c r="M11" s="628"/>
      <c r="N11" s="1838"/>
    </row>
    <row r="12" spans="2:14" ht="18" customHeight="1" x14ac:dyDescent="0.2">
      <c r="B12" s="287" t="s">
        <v>492</v>
      </c>
      <c r="C12" s="2100" t="s">
        <v>2182</v>
      </c>
      <c r="D12" s="691">
        <v>1468.4670000000001</v>
      </c>
      <c r="E12" s="1913">
        <f>IF(SUM($D12)=0,"NA",H12/$D12)</f>
        <v>0.75031449695095898</v>
      </c>
      <c r="F12" s="628"/>
      <c r="G12" s="628"/>
      <c r="H12" s="3180">
        <v>1101.812078394084</v>
      </c>
      <c r="I12" s="628"/>
      <c r="J12" s="628"/>
      <c r="K12" s="3180" t="s">
        <v>2146</v>
      </c>
      <c r="L12" s="691" t="s">
        <v>2146</v>
      </c>
      <c r="M12" s="628"/>
      <c r="N12" s="1838"/>
    </row>
    <row r="13" spans="2:14" ht="18" customHeight="1" x14ac:dyDescent="0.2">
      <c r="B13" s="287" t="s">
        <v>493</v>
      </c>
      <c r="C13" s="2100" t="s">
        <v>2267</v>
      </c>
      <c r="D13" s="691">
        <v>265.40186409742824</v>
      </c>
      <c r="E13" s="1913">
        <f>IF(SUM($D13)=0,"NA",H13/$D13)</f>
        <v>0.39573899999999995</v>
      </c>
      <c r="F13" s="628"/>
      <c r="G13" s="628"/>
      <c r="H13" s="3180">
        <v>105.02986829605214</v>
      </c>
      <c r="I13" s="628"/>
      <c r="J13" s="628"/>
      <c r="K13" s="3180" t="s">
        <v>2146</v>
      </c>
      <c r="L13" s="691" t="s">
        <v>2146</v>
      </c>
      <c r="M13" s="628"/>
      <c r="N13" s="1838"/>
    </row>
    <row r="14" spans="2:14" ht="18" customHeight="1" x14ac:dyDescent="0.2">
      <c r="B14" s="287" t="s">
        <v>494</v>
      </c>
      <c r="C14" s="2101"/>
      <c r="D14" s="1879"/>
      <c r="E14" s="1879"/>
      <c r="F14" s="628"/>
      <c r="G14" s="628"/>
      <c r="H14" s="3193">
        <f>IF(SUM(H15:H18)=0,"IE",SUM(H15:H18))</f>
        <v>1574.0942520588994</v>
      </c>
      <c r="I14" s="628"/>
      <c r="J14" s="628"/>
      <c r="K14" s="3193" t="str">
        <f>IF(SUM(K15:K18)=0,"NO",SUM(K15:K18))</f>
        <v>NO</v>
      </c>
      <c r="L14" s="3193" t="str">
        <f>IF(SUM(L15:L18)=0,"NO",SUM(L15:L18))</f>
        <v>NO</v>
      </c>
      <c r="M14" s="628"/>
      <c r="N14" s="1838"/>
    </row>
    <row r="15" spans="2:14" ht="18" customHeight="1" x14ac:dyDescent="0.2">
      <c r="B15" s="160" t="s">
        <v>495</v>
      </c>
      <c r="C15" s="484" t="s">
        <v>2315</v>
      </c>
      <c r="D15" s="2905" t="s">
        <v>2147</v>
      </c>
      <c r="E15" s="1913" t="str">
        <f>IF(SUM($D15)=0,"NA",H15/$D15)</f>
        <v>NA</v>
      </c>
      <c r="F15" s="628"/>
      <c r="G15" s="628"/>
      <c r="H15" s="3180">
        <v>34.06444757369335</v>
      </c>
      <c r="I15" s="628"/>
      <c r="J15" s="628"/>
      <c r="K15" s="3180" t="s">
        <v>2146</v>
      </c>
      <c r="L15" s="691" t="s">
        <v>2146</v>
      </c>
      <c r="M15" s="628"/>
      <c r="N15" s="1838"/>
    </row>
    <row r="16" spans="2:14" ht="18" customHeight="1" x14ac:dyDescent="0.2">
      <c r="B16" s="160" t="s">
        <v>496</v>
      </c>
      <c r="C16" s="484" t="s">
        <v>2316</v>
      </c>
      <c r="D16" s="2905">
        <v>405.54173799999995</v>
      </c>
      <c r="E16" s="1913">
        <f>IF(SUM($D16)=0,"NA",H16/$D16)</f>
        <v>0.41491999999999996</v>
      </c>
      <c r="F16" s="628"/>
      <c r="G16" s="628"/>
      <c r="H16" s="3180">
        <v>168.26737793095995</v>
      </c>
      <c r="I16" s="628"/>
      <c r="J16" s="628"/>
      <c r="K16" s="3180" t="s">
        <v>2146</v>
      </c>
      <c r="L16" s="691" t="s">
        <v>2146</v>
      </c>
      <c r="M16" s="628"/>
      <c r="N16" s="1838"/>
    </row>
    <row r="17" spans="2:14" ht="18" customHeight="1" x14ac:dyDescent="0.2">
      <c r="B17" s="1277" t="s">
        <v>497</v>
      </c>
      <c r="C17" s="484" t="s">
        <v>220</v>
      </c>
      <c r="D17" s="2905" t="s">
        <v>2184</v>
      </c>
      <c r="E17" s="1913" t="str">
        <f>IF(SUM($D17)=0,"NA",H17/$D17)</f>
        <v>NA</v>
      </c>
      <c r="F17" s="628"/>
      <c r="G17" s="628"/>
      <c r="H17" s="3180" t="s">
        <v>2153</v>
      </c>
      <c r="I17" s="628"/>
      <c r="J17" s="628"/>
      <c r="K17" s="3180" t="s">
        <v>2146</v>
      </c>
      <c r="L17" s="691" t="s">
        <v>2146</v>
      </c>
      <c r="M17" s="628"/>
      <c r="N17" s="1838"/>
    </row>
    <row r="18" spans="2:14" ht="18" customHeight="1" x14ac:dyDescent="0.2">
      <c r="B18" s="160" t="s">
        <v>2102</v>
      </c>
      <c r="C18" s="2101"/>
      <c r="D18" s="1879"/>
      <c r="E18" s="1879"/>
      <c r="F18" s="628"/>
      <c r="G18" s="628"/>
      <c r="H18" s="3181">
        <f>SUM(H19:H21)</f>
        <v>1371.7624265542461</v>
      </c>
      <c r="I18" s="628"/>
      <c r="J18" s="628"/>
      <c r="K18" s="3181" t="str">
        <f>K19</f>
        <v>NO</v>
      </c>
      <c r="L18" s="3193" t="str">
        <f>L19</f>
        <v>NO</v>
      </c>
      <c r="M18" s="628"/>
      <c r="N18" s="1838"/>
    </row>
    <row r="19" spans="2:14" ht="18" customHeight="1" x14ac:dyDescent="0.2">
      <c r="B19" s="3182" t="s">
        <v>2265</v>
      </c>
      <c r="C19" s="484" t="s">
        <v>2267</v>
      </c>
      <c r="D19" s="2905">
        <v>2063.8331359025719</v>
      </c>
      <c r="E19" s="1913">
        <f>IF(SUM($D19)=0,"NA",H19/$D19)</f>
        <v>0.41356593723584872</v>
      </c>
      <c r="F19" s="628"/>
      <c r="G19" s="628"/>
      <c r="H19" s="3180">
        <v>853.53108514794792</v>
      </c>
      <c r="I19" s="628"/>
      <c r="J19" s="628"/>
      <c r="K19" s="3180" t="s">
        <v>2146</v>
      </c>
      <c r="L19" s="3180" t="s">
        <v>2146</v>
      </c>
      <c r="M19" s="628"/>
      <c r="N19" s="1838"/>
    </row>
    <row r="20" spans="2:14" ht="18" customHeight="1" x14ac:dyDescent="0.2">
      <c r="B20" s="3183" t="s">
        <v>2264</v>
      </c>
      <c r="C20" s="484" t="s">
        <v>2267</v>
      </c>
      <c r="D20" s="2905">
        <v>504.88315378676054</v>
      </c>
      <c r="E20" s="1913">
        <f>IF(SUM($D20)=0,"NA",H20/$D20)</f>
        <v>0.51321598216327635</v>
      </c>
      <c r="F20" s="628"/>
      <c r="G20" s="628"/>
      <c r="H20" s="3180">
        <v>259.11410364836479</v>
      </c>
      <c r="I20" s="628"/>
      <c r="J20" s="628"/>
      <c r="K20" s="3180" t="s">
        <v>2146</v>
      </c>
      <c r="L20" s="3180" t="s">
        <v>2146</v>
      </c>
      <c r="M20" s="2135"/>
      <c r="N20" s="2149"/>
    </row>
    <row r="21" spans="2:14" ht="18" customHeight="1" thickBot="1" x14ac:dyDescent="0.25">
      <c r="B21" s="3183" t="s">
        <v>2266</v>
      </c>
      <c r="C21" s="484" t="s">
        <v>2267</v>
      </c>
      <c r="D21" s="2905">
        <v>1091.4422935444443</v>
      </c>
      <c r="E21" s="1913">
        <f>IF(SUM($D21)=0,"NA",H21/$D21)</f>
        <v>0.23740809687377398</v>
      </c>
      <c r="F21" s="628"/>
      <c r="G21" s="628"/>
      <c r="H21" s="3180">
        <v>259.11723775793348</v>
      </c>
      <c r="I21" s="628"/>
      <c r="J21" s="628"/>
      <c r="K21" s="3180" t="s">
        <v>2146</v>
      </c>
      <c r="L21" s="3180" t="s">
        <v>2146</v>
      </c>
      <c r="M21" s="2135"/>
      <c r="N21" s="2149"/>
    </row>
    <row r="22" spans="2:14" ht="18" customHeight="1" x14ac:dyDescent="0.2">
      <c r="B22" s="1278" t="s">
        <v>498</v>
      </c>
      <c r="C22" s="2102"/>
      <c r="D22" s="3052"/>
      <c r="E22" s="3081"/>
      <c r="F22" s="1929"/>
      <c r="G22" s="1930"/>
      <c r="H22" s="3067">
        <f>IF(SUM(H23:H26,H30,H33:H35,H47)=0,"IE",SUM(H23:H26,H30,H33:H35,H47))</f>
        <v>3700.0638770693699</v>
      </c>
      <c r="I22" s="3067">
        <f>IF(SUM(I23:I26,I30,I33:I35,I47)=0,"IE",SUM(I23:I26,I30,I33:I35,I47))</f>
        <v>0.5693838</v>
      </c>
      <c r="J22" s="3067">
        <f>IF(SUM(J23:J26,J30,J33:J35,J47)=0,"IE",SUM(J23:J26,J30,J33:J35,J47))</f>
        <v>8.8043569476129075</v>
      </c>
      <c r="K22" s="3067">
        <f>IF(SUM(K23:K26,K30,K33:K35,K47)=0,"NO",SUM(K23:K26,K30,K33:K35,K47))</f>
        <v>-257.76400000000001</v>
      </c>
      <c r="L22" s="3067" t="str">
        <f>IF(SUM(L23:L26,L30,L33:L35,L47)=0,"NO",SUM(L23:L26,L30,L33:L35,L47))</f>
        <v>NO</v>
      </c>
      <c r="M22" s="3067" t="str">
        <f>IF(SUM(M23:M26,M30,M33:M35,M47)=0,"NO",SUM(M23:M26,M30,M33:M35,M47))</f>
        <v>NO</v>
      </c>
      <c r="N22" s="449" t="str">
        <f>IF(SUM(N23:N26,N30,N33:N35,N47)=0,"NO",SUM(N23:N26,N30,N33:N35,N47))</f>
        <v>NO</v>
      </c>
    </row>
    <row r="23" spans="2:14" ht="18" customHeight="1" x14ac:dyDescent="0.2">
      <c r="B23" s="287" t="s">
        <v>499</v>
      </c>
      <c r="C23" s="484" t="s">
        <v>220</v>
      </c>
      <c r="D23" s="691">
        <v>1432.4164599092448</v>
      </c>
      <c r="E23" s="1913">
        <f>IF(SUM($D23)=0,"NA",H23/$D23)</f>
        <v>1.5309761740794738</v>
      </c>
      <c r="F23" s="1913" t="str">
        <f>IFERROR(IF(SUM($D23)=0,"NA",I23/$D23),"NA")</f>
        <v>NA</v>
      </c>
      <c r="G23" s="1913" t="str">
        <f>IFERROR(IF(SUM($D23)=0,"NA",J23/$D23),"NA")</f>
        <v>NA</v>
      </c>
      <c r="H23" s="691">
        <v>2192.9954714803198</v>
      </c>
      <c r="I23" s="691" t="s">
        <v>2146</v>
      </c>
      <c r="J23" s="691" t="s">
        <v>2146</v>
      </c>
      <c r="K23" s="3180">
        <v>-257.76400000000001</v>
      </c>
      <c r="L23" s="691" t="s">
        <v>2146</v>
      </c>
      <c r="M23" s="691" t="s">
        <v>2146</v>
      </c>
      <c r="N23" s="2911" t="s">
        <v>2146</v>
      </c>
    </row>
    <row r="24" spans="2:14" ht="18" customHeight="1" x14ac:dyDescent="0.2">
      <c r="B24" s="287" t="s">
        <v>500</v>
      </c>
      <c r="C24" s="484" t="s">
        <v>220</v>
      </c>
      <c r="D24" s="691">
        <v>915.32</v>
      </c>
      <c r="E24" s="2108"/>
      <c r="F24" s="2108"/>
      <c r="G24" s="1913">
        <f>IF(SUM($D24)=0,"NA",J24/$D24)</f>
        <v>9.6188840488713317E-3</v>
      </c>
      <c r="H24" s="2108"/>
      <c r="I24" s="2108"/>
      <c r="J24" s="691">
        <v>8.8043569476129075</v>
      </c>
      <c r="K24" s="3194"/>
      <c r="L24" s="2108"/>
      <c r="M24" s="2108"/>
      <c r="N24" s="2911" t="s">
        <v>2146</v>
      </c>
    </row>
    <row r="25" spans="2:14" ht="18" customHeight="1" x14ac:dyDescent="0.2">
      <c r="B25" s="287" t="s">
        <v>501</v>
      </c>
      <c r="C25" s="484"/>
      <c r="D25" s="691" t="s">
        <v>2146</v>
      </c>
      <c r="E25" s="1913" t="str">
        <f>IF(SUM($D25)=0,"NA",H25/$D25)</f>
        <v>NA</v>
      </c>
      <c r="F25" s="628"/>
      <c r="G25" s="1913" t="str">
        <f>IF(SUM($D25)=0,"NA",J25/$D25)</f>
        <v>NA</v>
      </c>
      <c r="H25" s="3142" t="s">
        <v>2146</v>
      </c>
      <c r="I25" s="628"/>
      <c r="J25" s="691" t="s">
        <v>2146</v>
      </c>
      <c r="K25" s="3195" t="s">
        <v>2146</v>
      </c>
      <c r="L25" s="3142" t="s">
        <v>2146</v>
      </c>
      <c r="M25" s="628"/>
      <c r="N25" s="2911" t="s">
        <v>2146</v>
      </c>
    </row>
    <row r="26" spans="2:14" ht="18" customHeight="1" x14ac:dyDescent="0.2">
      <c r="B26" s="1279" t="s">
        <v>502</v>
      </c>
      <c r="C26" s="2101"/>
      <c r="D26" s="1879"/>
      <c r="E26" s="2108"/>
      <c r="F26" s="2108"/>
      <c r="G26" s="3119"/>
      <c r="H26" s="3196" t="str">
        <f>IF(SUM(H27:H29)=0,H27,SUM(H27:H29))</f>
        <v>NO</v>
      </c>
      <c r="I26" s="628"/>
      <c r="J26" s="3196" t="str">
        <f>IF(SUM(J27:J29)=0,J27,SUM(J27:J29))</f>
        <v>NO</v>
      </c>
      <c r="K26" s="3196" t="str">
        <f>IF(SUM(K27:K29)=0,K27,SUM(K27:K29))</f>
        <v>NO</v>
      </c>
      <c r="L26" s="3196" t="str">
        <f>IF(SUM(L27:L29)=0,L27,SUM(L27:L29))</f>
        <v>NO</v>
      </c>
      <c r="M26" s="628"/>
      <c r="N26" s="3197" t="str">
        <f>IF(SUM(N27:N29)=0,N27,SUM(N27:N29))</f>
        <v>NO</v>
      </c>
    </row>
    <row r="27" spans="2:14" ht="18" customHeight="1" x14ac:dyDescent="0.2">
      <c r="B27" s="160" t="s">
        <v>503</v>
      </c>
      <c r="C27" s="2100"/>
      <c r="D27" s="691" t="s">
        <v>2146</v>
      </c>
      <c r="E27" s="1913" t="str">
        <f t="shared" ref="E27:E34" si="0">IF(SUM($D27)=0,"NA",H27/$D27)</f>
        <v>NA</v>
      </c>
      <c r="F27" s="628"/>
      <c r="G27" s="1913" t="str">
        <f>IF(SUM($D27)=0,"NA",J27/$D27)</f>
        <v>NA</v>
      </c>
      <c r="H27" s="691" t="s">
        <v>2146</v>
      </c>
      <c r="I27" s="628"/>
      <c r="J27" s="691" t="s">
        <v>2146</v>
      </c>
      <c r="K27" s="691" t="s">
        <v>2146</v>
      </c>
      <c r="L27" s="691" t="s">
        <v>2146</v>
      </c>
      <c r="M27" s="628"/>
      <c r="N27" s="2911" t="s">
        <v>2146</v>
      </c>
    </row>
    <row r="28" spans="2:14" ht="18" customHeight="1" x14ac:dyDescent="0.2">
      <c r="B28" s="160" t="s">
        <v>504</v>
      </c>
      <c r="C28" s="2100"/>
      <c r="D28" s="691" t="s">
        <v>2146</v>
      </c>
      <c r="E28" s="1913" t="str">
        <f t="shared" si="0"/>
        <v>NA</v>
      </c>
      <c r="F28" s="628"/>
      <c r="G28" s="1913" t="str">
        <f>IF(SUM($D28)=0,"NA",J28/$D28)</f>
        <v>NA</v>
      </c>
      <c r="H28" s="691" t="s">
        <v>2146</v>
      </c>
      <c r="I28" s="628"/>
      <c r="J28" s="691" t="s">
        <v>2146</v>
      </c>
      <c r="K28" s="691" t="s">
        <v>2146</v>
      </c>
      <c r="L28" s="691" t="s">
        <v>2146</v>
      </c>
      <c r="M28" s="628"/>
      <c r="N28" s="2911" t="s">
        <v>2146</v>
      </c>
    </row>
    <row r="29" spans="2:14" ht="18" customHeight="1" x14ac:dyDescent="0.2">
      <c r="B29" s="160" t="s">
        <v>505</v>
      </c>
      <c r="C29" s="2100"/>
      <c r="D29" s="691" t="s">
        <v>2146</v>
      </c>
      <c r="E29" s="1913" t="str">
        <f t="shared" si="0"/>
        <v>NA</v>
      </c>
      <c r="F29" s="628"/>
      <c r="G29" s="1913" t="str">
        <f>IF(SUM($D29)=0,"NA",J29/$D29)</f>
        <v>NA</v>
      </c>
      <c r="H29" s="691" t="s">
        <v>2146</v>
      </c>
      <c r="I29" s="628"/>
      <c r="J29" s="691" t="s">
        <v>2146</v>
      </c>
      <c r="K29" s="691" t="s">
        <v>2146</v>
      </c>
      <c r="L29" s="691" t="s">
        <v>2146</v>
      </c>
      <c r="M29" s="628"/>
      <c r="N29" s="2911" t="s">
        <v>2146</v>
      </c>
    </row>
    <row r="30" spans="2:14" ht="18" customHeight="1" x14ac:dyDescent="0.2">
      <c r="B30" s="287" t="s">
        <v>454</v>
      </c>
      <c r="C30" s="2101"/>
      <c r="D30" s="1879"/>
      <c r="E30" s="1913" t="str">
        <f t="shared" si="0"/>
        <v>NA</v>
      </c>
      <c r="F30" s="1913" t="str">
        <f>IF(SUM($D30)=0,"NA",I30/$D30)</f>
        <v>NA</v>
      </c>
      <c r="G30" s="3096"/>
      <c r="H30" s="3196" t="str">
        <f>IF(SUM(H31:H32)=0,H32,SUM(H31:H32))</f>
        <v>IE</v>
      </c>
      <c r="I30" s="3196" t="str">
        <f>IF(SUM(I31:I32)=0,I32,SUM(I31:I32))</f>
        <v>NO</v>
      </c>
      <c r="J30" s="628" t="s">
        <v>284</v>
      </c>
      <c r="K30" s="3196" t="str">
        <f>IF(SUM(K31:K32)=0,K32,SUM(K31:K32))</f>
        <v>NO</v>
      </c>
      <c r="L30" s="3196" t="str">
        <f>IF(SUM(L31:L32)=0,L32,SUM(L31:L32))</f>
        <v>NO</v>
      </c>
      <c r="M30" s="3196" t="str">
        <f>IF(SUM(M31:M32)=0,M32,SUM(M31:M32))</f>
        <v>NO</v>
      </c>
      <c r="N30" s="1838" t="s">
        <v>284</v>
      </c>
    </row>
    <row r="31" spans="2:14" ht="18" customHeight="1" x14ac:dyDescent="0.2">
      <c r="B31" s="282" t="s">
        <v>506</v>
      </c>
      <c r="C31" s="2100"/>
      <c r="D31" s="691" t="s">
        <v>2146</v>
      </c>
      <c r="E31" s="1913" t="str">
        <f t="shared" si="0"/>
        <v>NA</v>
      </c>
      <c r="F31" s="1913" t="str">
        <f>IF(SUM($D31)=0,"NA",I31/$D31)</f>
        <v>NA</v>
      </c>
      <c r="G31" s="3096"/>
      <c r="H31" s="691" t="s">
        <v>2146</v>
      </c>
      <c r="I31" s="691" t="s">
        <v>2146</v>
      </c>
      <c r="J31" s="628"/>
      <c r="K31" s="691" t="s">
        <v>2146</v>
      </c>
      <c r="L31" s="691" t="s">
        <v>2146</v>
      </c>
      <c r="M31" s="691" t="s">
        <v>2146</v>
      </c>
      <c r="N31" s="1838"/>
    </row>
    <row r="32" spans="2:14" ht="18" customHeight="1" x14ac:dyDescent="0.2">
      <c r="B32" s="282" t="s">
        <v>507</v>
      </c>
      <c r="C32" s="2100" t="s">
        <v>220</v>
      </c>
      <c r="D32" s="691" t="s">
        <v>2184</v>
      </c>
      <c r="E32" s="1913" t="str">
        <f t="shared" si="0"/>
        <v>NA</v>
      </c>
      <c r="F32" s="1913" t="str">
        <f>IF(SUM($D32)=0,"NA",I32/$D32)</f>
        <v>NA</v>
      </c>
      <c r="G32" s="628"/>
      <c r="H32" s="691" t="s">
        <v>2153</v>
      </c>
      <c r="I32" s="691" t="s">
        <v>2146</v>
      </c>
      <c r="J32" s="628"/>
      <c r="K32" s="691" t="s">
        <v>2146</v>
      </c>
      <c r="L32" s="691" t="s">
        <v>2146</v>
      </c>
      <c r="M32" s="691" t="s">
        <v>2146</v>
      </c>
      <c r="N32" s="1838"/>
    </row>
    <row r="33" spans="2:16" ht="18" customHeight="1" x14ac:dyDescent="0.2">
      <c r="B33" s="1280" t="s">
        <v>508</v>
      </c>
      <c r="C33" s="2100" t="s">
        <v>220</v>
      </c>
      <c r="D33" s="691" t="s">
        <v>2184</v>
      </c>
      <c r="E33" s="1913" t="str">
        <f t="shared" si="0"/>
        <v>NA</v>
      </c>
      <c r="F33" s="1879"/>
      <c r="G33" s="628"/>
      <c r="H33" s="691">
        <v>1330.9299818626614</v>
      </c>
      <c r="I33" s="1879"/>
      <c r="J33" s="628"/>
      <c r="K33" s="691" t="s">
        <v>2146</v>
      </c>
      <c r="L33" s="691" t="s">
        <v>2146</v>
      </c>
      <c r="M33" s="1879"/>
      <c r="N33" s="1838"/>
    </row>
    <row r="34" spans="2:16" ht="18" customHeight="1" x14ac:dyDescent="0.2">
      <c r="B34" s="1280" t="s">
        <v>509</v>
      </c>
      <c r="C34" s="2100" t="s">
        <v>220</v>
      </c>
      <c r="D34" s="691" t="s">
        <v>2184</v>
      </c>
      <c r="E34" s="1913" t="str">
        <f t="shared" si="0"/>
        <v>NA</v>
      </c>
      <c r="F34" s="1879"/>
      <c r="G34" s="628"/>
      <c r="H34" s="691" t="s">
        <v>2153</v>
      </c>
      <c r="I34" s="1879"/>
      <c r="J34" s="628"/>
      <c r="K34" s="691" t="s">
        <v>2146</v>
      </c>
      <c r="L34" s="691" t="s">
        <v>2146</v>
      </c>
      <c r="M34" s="1879"/>
      <c r="N34" s="1838"/>
    </row>
    <row r="35" spans="2:16" ht="18" customHeight="1" x14ac:dyDescent="0.2">
      <c r="B35" s="1280" t="s">
        <v>510</v>
      </c>
      <c r="C35" s="2101"/>
      <c r="D35" s="1879"/>
      <c r="E35" s="1879"/>
      <c r="F35" s="1879"/>
      <c r="G35" s="2108"/>
      <c r="H35" s="3196">
        <f>H46</f>
        <v>46.86107299999999</v>
      </c>
      <c r="I35" s="3196">
        <f>I46</f>
        <v>0.5693838</v>
      </c>
      <c r="J35" s="628"/>
      <c r="K35" s="3196" t="str">
        <f>IF(SUM(K36:K42)=0,"NO",SUM(K36:K42))</f>
        <v>NO</v>
      </c>
      <c r="L35" s="3196" t="str">
        <f>IF(SUM(L36:L42)=0,"NO",SUM(L36:L42))</f>
        <v>NO</v>
      </c>
      <c r="M35" s="3196" t="str">
        <f>IF(SUM(M36:M42)=0,"NO",SUM(M36:M42))</f>
        <v>NO</v>
      </c>
      <c r="N35" s="1838"/>
    </row>
    <row r="36" spans="2:16" ht="18" customHeight="1" x14ac:dyDescent="0.2">
      <c r="B36" s="282" t="s">
        <v>511</v>
      </c>
      <c r="C36" s="2100" t="s">
        <v>220</v>
      </c>
      <c r="D36" s="691" t="s">
        <v>2184</v>
      </c>
      <c r="E36" s="1913" t="str">
        <f t="shared" ref="E36:F41" si="1">IF(SUM($D36)=0,"NA",H36/$D36)</f>
        <v>NA</v>
      </c>
      <c r="F36" s="1913" t="str">
        <f t="shared" si="1"/>
        <v>NA</v>
      </c>
      <c r="G36" s="628"/>
      <c r="H36" s="691" t="str">
        <f>IF(H$46="NO","NO","IE")</f>
        <v>IE</v>
      </c>
      <c r="I36" s="691" t="s">
        <v>2153</v>
      </c>
      <c r="J36" s="628"/>
      <c r="K36" s="3180" t="s">
        <v>2146</v>
      </c>
      <c r="L36" s="3180" t="s">
        <v>2146</v>
      </c>
      <c r="M36" s="3180" t="s">
        <v>2146</v>
      </c>
      <c r="N36" s="1838"/>
      <c r="P36" s="1788"/>
    </row>
    <row r="37" spans="2:16" ht="18" customHeight="1" x14ac:dyDescent="0.2">
      <c r="B37" s="282" t="s">
        <v>512</v>
      </c>
      <c r="C37" s="2100" t="s">
        <v>220</v>
      </c>
      <c r="D37" s="691" t="s">
        <v>2184</v>
      </c>
      <c r="E37" s="1913" t="str">
        <f t="shared" si="1"/>
        <v>NA</v>
      </c>
      <c r="F37" s="1913" t="str">
        <f t="shared" si="1"/>
        <v>NA</v>
      </c>
      <c r="G37" s="628"/>
      <c r="H37" s="691" t="s">
        <v>2146</v>
      </c>
      <c r="I37" s="691" t="s">
        <v>2153</v>
      </c>
      <c r="J37" s="628"/>
      <c r="K37" s="3180" t="s">
        <v>2146</v>
      </c>
      <c r="L37" s="3180" t="s">
        <v>2146</v>
      </c>
      <c r="M37" s="3180" t="s">
        <v>2146</v>
      </c>
      <c r="N37" s="1838"/>
    </row>
    <row r="38" spans="2:16" ht="18" customHeight="1" x14ac:dyDescent="0.2">
      <c r="B38" s="1281" t="s">
        <v>513</v>
      </c>
      <c r="C38" s="2100"/>
      <c r="D38" s="691" t="s">
        <v>2146</v>
      </c>
      <c r="E38" s="1913" t="str">
        <f t="shared" si="1"/>
        <v>NA</v>
      </c>
      <c r="F38" s="1913" t="str">
        <f t="shared" si="1"/>
        <v>NA</v>
      </c>
      <c r="G38" s="628"/>
      <c r="H38" s="691" t="s">
        <v>2146</v>
      </c>
      <c r="I38" s="691" t="s">
        <v>2146</v>
      </c>
      <c r="J38" s="628"/>
      <c r="K38" s="3180" t="s">
        <v>2146</v>
      </c>
      <c r="L38" s="3180" t="s">
        <v>2146</v>
      </c>
      <c r="M38" s="3180" t="s">
        <v>2146</v>
      </c>
      <c r="N38" s="1838"/>
    </row>
    <row r="39" spans="2:16" ht="18" customHeight="1" x14ac:dyDescent="0.2">
      <c r="B39" s="282" t="s">
        <v>514</v>
      </c>
      <c r="C39" s="2100" t="s">
        <v>220</v>
      </c>
      <c r="D39" s="691" t="s">
        <v>2184</v>
      </c>
      <c r="E39" s="1913" t="str">
        <f t="shared" si="1"/>
        <v>NA</v>
      </c>
      <c r="F39" s="1913" t="str">
        <f t="shared" si="1"/>
        <v>NA</v>
      </c>
      <c r="G39" s="628"/>
      <c r="H39" s="691" t="str">
        <f>IF(H$46="NO","NO","IE")</f>
        <v>IE</v>
      </c>
      <c r="I39" s="691" t="s">
        <v>2146</v>
      </c>
      <c r="J39" s="628"/>
      <c r="K39" s="3180" t="s">
        <v>2146</v>
      </c>
      <c r="L39" s="3180" t="s">
        <v>2146</v>
      </c>
      <c r="M39" s="3180" t="s">
        <v>2146</v>
      </c>
      <c r="N39" s="1838"/>
    </row>
    <row r="40" spans="2:16" ht="18" customHeight="1" x14ac:dyDescent="0.2">
      <c r="B40" s="282" t="s">
        <v>515</v>
      </c>
      <c r="C40" s="2100"/>
      <c r="D40" s="691" t="s">
        <v>2146</v>
      </c>
      <c r="E40" s="1913" t="str">
        <f t="shared" si="1"/>
        <v>NA</v>
      </c>
      <c r="F40" s="1913" t="str">
        <f t="shared" si="1"/>
        <v>NA</v>
      </c>
      <c r="G40" s="628"/>
      <c r="H40" s="691" t="s">
        <v>2146</v>
      </c>
      <c r="I40" s="691" t="s">
        <v>2146</v>
      </c>
      <c r="J40" s="628"/>
      <c r="K40" s="3180" t="s">
        <v>2146</v>
      </c>
      <c r="L40" s="3180" t="s">
        <v>2146</v>
      </c>
      <c r="M40" s="3180" t="s">
        <v>2146</v>
      </c>
      <c r="N40" s="1838"/>
    </row>
    <row r="41" spans="2:16" ht="18" customHeight="1" x14ac:dyDescent="0.2">
      <c r="B41" s="282" t="s">
        <v>516</v>
      </c>
      <c r="C41" s="2100" t="s">
        <v>220</v>
      </c>
      <c r="D41" s="691" t="s">
        <v>2184</v>
      </c>
      <c r="E41" s="1913" t="str">
        <f t="shared" si="1"/>
        <v>NA</v>
      </c>
      <c r="F41" s="1913" t="str">
        <f t="shared" si="1"/>
        <v>NA</v>
      </c>
      <c r="G41" s="628"/>
      <c r="H41" s="691" t="s">
        <v>2146</v>
      </c>
      <c r="I41" s="691" t="s">
        <v>2153</v>
      </c>
      <c r="J41" s="628"/>
      <c r="K41" s="3180" t="s">
        <v>2146</v>
      </c>
      <c r="L41" s="3180" t="s">
        <v>2146</v>
      </c>
      <c r="M41" s="3180" t="s">
        <v>2146</v>
      </c>
      <c r="N41" s="1838"/>
    </row>
    <row r="42" spans="2:16" ht="18" customHeight="1" x14ac:dyDescent="0.2">
      <c r="B42" s="282" t="s">
        <v>517</v>
      </c>
      <c r="C42" s="621"/>
      <c r="D42" s="628"/>
      <c r="E42" s="628"/>
      <c r="F42" s="628"/>
      <c r="G42" s="628"/>
      <c r="H42" s="3198">
        <f>IF(SUM(H44:H45)=0,"NO",SUM(H44:H45))</f>
        <v>46.86107299999999</v>
      </c>
      <c r="I42" s="3198">
        <f>IF(SUM(I44:I45)=0,"NO",SUM(I44:I45))</f>
        <v>0.5693838</v>
      </c>
      <c r="J42" s="628"/>
      <c r="K42" s="3198" t="str">
        <f>IF(SUM(K44:K45)=0,"NO",SUM(K44:K45))</f>
        <v>NO</v>
      </c>
      <c r="L42" s="3198" t="str">
        <f>IF(SUM(L44:L45)=0,"NO",SUM(L44:L45))</f>
        <v>NO</v>
      </c>
      <c r="M42" s="3198" t="str">
        <f>IF(SUM(M44:M45)=0,"NO",SUM(M44:M45))</f>
        <v>NO</v>
      </c>
      <c r="N42" s="1838"/>
    </row>
    <row r="43" spans="2:16" ht="18" customHeight="1" x14ac:dyDescent="0.2">
      <c r="B43" s="1282" t="s">
        <v>203</v>
      </c>
      <c r="C43" s="2103"/>
      <c r="D43" s="3097"/>
      <c r="E43" s="3097"/>
      <c r="F43" s="3097"/>
      <c r="G43" s="3097"/>
      <c r="H43" s="3097"/>
      <c r="I43" s="3097"/>
      <c r="J43" s="3097"/>
      <c r="K43" s="3097"/>
      <c r="L43" s="3097"/>
      <c r="M43" s="3097"/>
      <c r="N43" s="3111"/>
    </row>
    <row r="44" spans="2:16" ht="18" customHeight="1" x14ac:dyDescent="0.2">
      <c r="B44" s="1282" t="s">
        <v>518</v>
      </c>
      <c r="C44" s="2100"/>
      <c r="D44" s="691" t="s">
        <v>2146</v>
      </c>
      <c r="E44" s="1913" t="str">
        <f>IF(SUM($D44)=0,"NA",H44/$D44)</f>
        <v>NA</v>
      </c>
      <c r="F44" s="1913" t="str">
        <f>IF(SUM($D44)=0,"NA",I44/$D44)</f>
        <v>NA</v>
      </c>
      <c r="G44" s="628"/>
      <c r="H44" s="691" t="s">
        <v>2146</v>
      </c>
      <c r="I44" s="691" t="s">
        <v>2146</v>
      </c>
      <c r="J44" s="628"/>
      <c r="K44" s="691" t="s">
        <v>2146</v>
      </c>
      <c r="L44" s="691" t="s">
        <v>2146</v>
      </c>
      <c r="M44" s="691" t="s">
        <v>2146</v>
      </c>
      <c r="N44" s="1838"/>
    </row>
    <row r="45" spans="2:16" ht="18" customHeight="1" x14ac:dyDescent="0.2">
      <c r="B45" s="1282" t="s">
        <v>519</v>
      </c>
      <c r="C45" s="621"/>
      <c r="D45" s="628"/>
      <c r="E45" s="628"/>
      <c r="F45" s="628"/>
      <c r="G45" s="628"/>
      <c r="H45" s="3198">
        <f>H46</f>
        <v>46.86107299999999</v>
      </c>
      <c r="I45" s="3198">
        <f>I46</f>
        <v>0.5693838</v>
      </c>
      <c r="J45" s="628"/>
      <c r="K45" s="3198" t="str">
        <f>K46</f>
        <v>NO</v>
      </c>
      <c r="L45" s="3198" t="str">
        <f>L46</f>
        <v>NO</v>
      </c>
      <c r="M45" s="3198" t="str">
        <f>M46</f>
        <v>NO</v>
      </c>
      <c r="N45" s="1838"/>
    </row>
    <row r="46" spans="2:16" ht="18" customHeight="1" x14ac:dyDescent="0.2">
      <c r="B46" s="3184" t="s">
        <v>2268</v>
      </c>
      <c r="C46" s="2100" t="s">
        <v>220</v>
      </c>
      <c r="D46" s="691" t="s">
        <v>2184</v>
      </c>
      <c r="E46" s="1913" t="str">
        <f>IF(SUM($D46)=0,"NA",H46/$D46)</f>
        <v>NA</v>
      </c>
      <c r="F46" s="1913" t="str">
        <f>IF(SUM($D46)=0,"NA",I46/$D46)</f>
        <v>NA</v>
      </c>
      <c r="G46" s="628"/>
      <c r="H46" s="691">
        <v>46.86107299999999</v>
      </c>
      <c r="I46" s="691">
        <v>0.5693838</v>
      </c>
      <c r="J46" s="628"/>
      <c r="K46" s="691" t="s">
        <v>2146</v>
      </c>
      <c r="L46" s="691" t="s">
        <v>2146</v>
      </c>
      <c r="M46" s="691" t="s">
        <v>2146</v>
      </c>
      <c r="N46" s="1838"/>
    </row>
    <row r="47" spans="2:16" ht="18" customHeight="1" x14ac:dyDescent="0.2">
      <c r="B47" s="287" t="s">
        <v>520</v>
      </c>
      <c r="C47" s="2104"/>
      <c r="D47" s="628"/>
      <c r="E47" s="628"/>
      <c r="F47" s="628"/>
      <c r="G47" s="628"/>
      <c r="H47" s="3198">
        <f>H50</f>
        <v>129.27735072638853</v>
      </c>
      <c r="I47" s="1913" t="s">
        <v>2157</v>
      </c>
      <c r="J47" s="1913" t="str">
        <f t="shared" ref="J47:N47" si="2">J50</f>
        <v>NO</v>
      </c>
      <c r="K47" s="3199" t="str">
        <f t="shared" si="2"/>
        <v>C</v>
      </c>
      <c r="L47" s="1913" t="str">
        <f t="shared" si="2"/>
        <v>C</v>
      </c>
      <c r="M47" s="1913" t="str">
        <f t="shared" si="2"/>
        <v>NO</v>
      </c>
      <c r="N47" s="3085" t="str">
        <f t="shared" si="2"/>
        <v>NO</v>
      </c>
    </row>
    <row r="48" spans="2:16" ht="18" customHeight="1" x14ac:dyDescent="0.2">
      <c r="B48" s="1242" t="s">
        <v>203</v>
      </c>
      <c r="C48" s="2103"/>
      <c r="D48" s="2285"/>
      <c r="E48" s="2285"/>
      <c r="F48" s="2285"/>
      <c r="G48" s="2285"/>
      <c r="H48" s="3097"/>
      <c r="I48" s="3097"/>
      <c r="J48" s="3097"/>
      <c r="K48" s="3097"/>
      <c r="L48" s="3097"/>
      <c r="M48" s="3097"/>
      <c r="N48" s="3111"/>
    </row>
    <row r="49" spans="2:14" ht="18" customHeight="1" x14ac:dyDescent="0.2">
      <c r="B49" s="2416" t="s">
        <v>521</v>
      </c>
      <c r="C49" s="2387"/>
      <c r="D49" s="4146" t="s">
        <v>2153</v>
      </c>
      <c r="E49" s="276" t="str">
        <f>IF(SUM($D49)=0,"NA",H49/$D49)</f>
        <v>NA</v>
      </c>
      <c r="F49" s="276" t="str">
        <f>IF(SUM($D49)=0,"NA",I49/$D49)</f>
        <v>NA</v>
      </c>
      <c r="G49" s="276" t="str">
        <f>IF(SUM($D49)=0,"NA",J49/$D49)</f>
        <v>NA</v>
      </c>
      <c r="H49" s="2967" t="s">
        <v>2153</v>
      </c>
      <c r="I49" s="2967" t="s">
        <v>2153</v>
      </c>
      <c r="J49" s="2967" t="s">
        <v>2146</v>
      </c>
      <c r="K49" s="3200" t="s">
        <v>2146</v>
      </c>
      <c r="L49" s="2967" t="s">
        <v>2146</v>
      </c>
      <c r="M49" s="2967" t="s">
        <v>2146</v>
      </c>
      <c r="N49" s="3201" t="s">
        <v>2146</v>
      </c>
    </row>
    <row r="50" spans="2:14" ht="18" customHeight="1" x14ac:dyDescent="0.2">
      <c r="B50" s="2416" t="s">
        <v>522</v>
      </c>
      <c r="C50" s="2385"/>
      <c r="D50" s="2386"/>
      <c r="E50" s="2386"/>
      <c r="F50" s="2386"/>
      <c r="G50" s="2386"/>
      <c r="H50" s="3095">
        <f>H51</f>
        <v>129.27735072638853</v>
      </c>
      <c r="I50" s="3095" t="str">
        <f t="shared" ref="I50:N50" si="3">I51</f>
        <v>NO</v>
      </c>
      <c r="J50" s="3095" t="str">
        <f t="shared" si="3"/>
        <v>NO</v>
      </c>
      <c r="K50" s="3095" t="str">
        <f t="shared" si="3"/>
        <v>C</v>
      </c>
      <c r="L50" s="3095" t="str">
        <f t="shared" si="3"/>
        <v>C</v>
      </c>
      <c r="M50" s="3095" t="str">
        <f t="shared" si="3"/>
        <v>NO</v>
      </c>
      <c r="N50" s="3095" t="str">
        <f t="shared" si="3"/>
        <v>NO</v>
      </c>
    </row>
    <row r="51" spans="2:14" ht="18" customHeight="1" thickBot="1" x14ac:dyDescent="0.25">
      <c r="B51" s="3185" t="s">
        <v>2269</v>
      </c>
      <c r="C51" s="506" t="s">
        <v>220</v>
      </c>
      <c r="D51" s="245" t="s">
        <v>2184</v>
      </c>
      <c r="E51" s="511" t="str">
        <f>IF(SUM($D51)=0,"NA",H51/$D51)</f>
        <v>NA</v>
      </c>
      <c r="F51" s="511" t="str">
        <f>IF(SUM($D51)=0,"NA",I51/$D51)</f>
        <v>NA</v>
      </c>
      <c r="G51" s="511" t="str">
        <f>IF(SUM($D51)=0,"NA",J51/$D51)</f>
        <v>NA</v>
      </c>
      <c r="H51" s="3137">
        <v>129.27735072638853</v>
      </c>
      <c r="I51" s="3137" t="s">
        <v>2146</v>
      </c>
      <c r="J51" s="3137" t="s">
        <v>2146</v>
      </c>
      <c r="K51" s="3202" t="s">
        <v>2184</v>
      </c>
      <c r="L51" s="3137" t="s">
        <v>2184</v>
      </c>
      <c r="M51" s="3137" t="s">
        <v>2146</v>
      </c>
      <c r="N51" s="3203" t="s">
        <v>2146</v>
      </c>
    </row>
    <row r="52" spans="2:14" s="83" customFormat="1" ht="18" customHeight="1" x14ac:dyDescent="0.2">
      <c r="B52" s="1276" t="s">
        <v>523</v>
      </c>
      <c r="C52" s="2105"/>
      <c r="D52" s="231"/>
      <c r="E52" s="2098"/>
      <c r="F52" s="2098"/>
      <c r="G52" s="2106"/>
      <c r="H52" s="3067">
        <f>IF(SUM(H53,H62:H67)=0,"IE",SUM(H53,H62:H67))</f>
        <v>12730.761169823347</v>
      </c>
      <c r="I52" s="3192">
        <f>IF(SUM(I53,I62:I67)=0,"IE",SUM(I53,I62:I67))</f>
        <v>2.9771984636148945</v>
      </c>
      <c r="J52" s="1909">
        <f>J67</f>
        <v>7.5404857489833013E-2</v>
      </c>
      <c r="K52" s="3192" t="str">
        <f>IF(SUM(K53,K62:K67)=0,"NO",SUM(K53,K62:K67))</f>
        <v>NO</v>
      </c>
      <c r="L52" s="1909" t="str">
        <f t="shared" ref="L52:N52" si="4">IF(SUM(L53,L62:L67)=0,"NO",SUM(L53,L62:L67))</f>
        <v>NO</v>
      </c>
      <c r="M52" s="1909" t="str">
        <f t="shared" si="4"/>
        <v>NO</v>
      </c>
      <c r="N52" s="420" t="str">
        <f t="shared" si="4"/>
        <v>NO</v>
      </c>
    </row>
    <row r="53" spans="2:14" s="83" customFormat="1" ht="18" customHeight="1" x14ac:dyDescent="0.2">
      <c r="B53" s="287" t="s">
        <v>524</v>
      </c>
      <c r="C53" s="2287"/>
      <c r="D53" s="621"/>
      <c r="E53" s="276" t="str">
        <f t="shared" ref="E53:F58" si="5">IF(SUM($D53)=0,"NA",H53/$D53)</f>
        <v>NA</v>
      </c>
      <c r="F53" s="276" t="str">
        <f t="shared" si="5"/>
        <v>NA</v>
      </c>
      <c r="G53" s="2107"/>
      <c r="H53" s="1913" t="str">
        <f>IF(SUM(H54:H59)=0,"IE",SUM(H54:H59))</f>
        <v>IE</v>
      </c>
      <c r="I53" s="3199" t="str">
        <f>IF(SUM(I54:I59)=0,"IE",SUM(I54:I59))</f>
        <v>IE</v>
      </c>
      <c r="J53" s="2108"/>
      <c r="K53" s="3199" t="str">
        <f>IF(SUM(K54:K59)=0,"NO",SUM(K54:K59))</f>
        <v>NO</v>
      </c>
      <c r="L53" s="3199" t="str">
        <f t="shared" ref="L53:M53" si="6">IF(SUM(L54:L59)=0,"NO",SUM(L54:L59))</f>
        <v>NO</v>
      </c>
      <c r="M53" s="3199" t="str">
        <f t="shared" si="6"/>
        <v>NO</v>
      </c>
      <c r="N53" s="2109"/>
    </row>
    <row r="54" spans="2:14" s="83" customFormat="1" ht="18" customHeight="1" x14ac:dyDescent="0.2">
      <c r="B54" s="282" t="s">
        <v>525</v>
      </c>
      <c r="C54" s="2604" t="s">
        <v>2191</v>
      </c>
      <c r="D54" s="277" t="s">
        <v>2184</v>
      </c>
      <c r="E54" s="276" t="str">
        <f t="shared" si="5"/>
        <v>NA</v>
      </c>
      <c r="F54" s="276" t="str">
        <f t="shared" si="5"/>
        <v>NA</v>
      </c>
      <c r="G54" s="2107"/>
      <c r="H54" s="691" t="s">
        <v>2153</v>
      </c>
      <c r="I54" s="691" t="s">
        <v>2153</v>
      </c>
      <c r="J54" s="2108"/>
      <c r="K54" s="3180" t="s">
        <v>2146</v>
      </c>
      <c r="L54" s="3180" t="s">
        <v>2146</v>
      </c>
      <c r="M54" s="3180" t="s">
        <v>2146</v>
      </c>
      <c r="N54" s="2109"/>
    </row>
    <row r="55" spans="2:14" s="83" customFormat="1" ht="18" customHeight="1" x14ac:dyDescent="0.2">
      <c r="B55" s="282" t="s">
        <v>526</v>
      </c>
      <c r="C55" s="2604"/>
      <c r="D55" s="278" t="s">
        <v>2153</v>
      </c>
      <c r="E55" s="276" t="str">
        <f t="shared" si="5"/>
        <v>NA</v>
      </c>
      <c r="F55" s="276" t="str">
        <f t="shared" si="5"/>
        <v>NA</v>
      </c>
      <c r="G55" s="2107"/>
      <c r="H55" s="691" t="s">
        <v>2153</v>
      </c>
      <c r="I55" s="691" t="s">
        <v>2153</v>
      </c>
      <c r="J55" s="2108"/>
      <c r="K55" s="3180" t="s">
        <v>2146</v>
      </c>
      <c r="L55" s="3180" t="s">
        <v>2146</v>
      </c>
      <c r="M55" s="3180" t="s">
        <v>2146</v>
      </c>
      <c r="N55" s="2109"/>
    </row>
    <row r="56" spans="2:14" s="83" customFormat="1" ht="18" customHeight="1" x14ac:dyDescent="0.2">
      <c r="B56" s="282" t="s">
        <v>527</v>
      </c>
      <c r="C56" s="2604"/>
      <c r="D56" s="278" t="s">
        <v>2153</v>
      </c>
      <c r="E56" s="276" t="str">
        <f t="shared" si="5"/>
        <v>NA</v>
      </c>
      <c r="F56" s="276" t="str">
        <f t="shared" si="5"/>
        <v>NA</v>
      </c>
      <c r="G56" s="2107"/>
      <c r="H56" s="691" t="s">
        <v>2153</v>
      </c>
      <c r="I56" s="691" t="s">
        <v>2153</v>
      </c>
      <c r="J56" s="2108"/>
      <c r="K56" s="3180" t="s">
        <v>2146</v>
      </c>
      <c r="L56" s="3180" t="s">
        <v>2146</v>
      </c>
      <c r="M56" s="3180" t="s">
        <v>2146</v>
      </c>
      <c r="N56" s="2109"/>
    </row>
    <row r="57" spans="2:14" s="83" customFormat="1" ht="18" customHeight="1" x14ac:dyDescent="0.2">
      <c r="B57" s="282" t="s">
        <v>528</v>
      </c>
      <c r="C57" s="2604"/>
      <c r="D57" s="277" t="s">
        <v>2153</v>
      </c>
      <c r="E57" s="276" t="str">
        <f t="shared" si="5"/>
        <v>NA</v>
      </c>
      <c r="F57" s="276" t="str">
        <f t="shared" si="5"/>
        <v>NA</v>
      </c>
      <c r="G57" s="2107"/>
      <c r="H57" s="691" t="s">
        <v>2153</v>
      </c>
      <c r="I57" s="691" t="s">
        <v>2153</v>
      </c>
      <c r="J57" s="2108"/>
      <c r="K57" s="3180" t="s">
        <v>2146</v>
      </c>
      <c r="L57" s="3180" t="s">
        <v>2146</v>
      </c>
      <c r="M57" s="3180" t="s">
        <v>2146</v>
      </c>
      <c r="N57" s="2109"/>
    </row>
    <row r="58" spans="2:14" s="83" customFormat="1" ht="18" customHeight="1" x14ac:dyDescent="0.2">
      <c r="B58" s="282" t="s">
        <v>529</v>
      </c>
      <c r="C58" s="2604"/>
      <c r="D58" s="278" t="s">
        <v>2153</v>
      </c>
      <c r="E58" s="276" t="str">
        <f t="shared" si="5"/>
        <v>NA</v>
      </c>
      <c r="F58" s="276" t="str">
        <f t="shared" si="5"/>
        <v>NA</v>
      </c>
      <c r="G58" s="2110"/>
      <c r="H58" s="691" t="s">
        <v>2153</v>
      </c>
      <c r="I58" s="691" t="s">
        <v>2153</v>
      </c>
      <c r="J58" s="2108"/>
      <c r="K58" s="3180" t="s">
        <v>2146</v>
      </c>
      <c r="L58" s="3180" t="s">
        <v>2146</v>
      </c>
      <c r="M58" s="3180" t="s">
        <v>2146</v>
      </c>
      <c r="N58" s="2109"/>
    </row>
    <row r="59" spans="2:14" s="83" customFormat="1" ht="18" customHeight="1" x14ac:dyDescent="0.2">
      <c r="B59" s="282" t="s">
        <v>530</v>
      </c>
      <c r="C59" s="2605"/>
      <c r="D59" s="2111"/>
      <c r="E59" s="2111"/>
      <c r="F59" s="2111"/>
      <c r="G59" s="2112"/>
      <c r="H59" s="1913" t="str">
        <f>IF(SUM(H60:H61)=0,"IE",SUM(H60:H61))</f>
        <v>IE</v>
      </c>
      <c r="I59" s="1913" t="str">
        <f>IF(SUM(I60:I61)=0,"IE",SUM(I60:I61))</f>
        <v>IE</v>
      </c>
      <c r="J59" s="2108"/>
      <c r="K59" s="1913" t="str">
        <f>IF(SUM(K60:K61)=0,"NO",SUM(K60:K61))</f>
        <v>NO</v>
      </c>
      <c r="L59" s="1913" t="str">
        <f>IF(SUM(L60:L61)=0,"NO",SUM(L60:L61))</f>
        <v>NO</v>
      </c>
      <c r="M59" s="1913" t="str">
        <f>IF(SUM(M60:M61)=0,"NO",SUM(M60:M61))</f>
        <v>NO</v>
      </c>
      <c r="N59" s="2109"/>
    </row>
    <row r="60" spans="2:14" s="83" customFormat="1" ht="18" customHeight="1" x14ac:dyDescent="0.2">
      <c r="B60" s="2600" t="s">
        <v>2187</v>
      </c>
      <c r="C60" s="2604" t="s">
        <v>2189</v>
      </c>
      <c r="D60" s="277" t="s">
        <v>2184</v>
      </c>
      <c r="E60" s="276" t="str">
        <f t="shared" ref="E60:F62" si="7">IF(SUM($D60)=0,"NA",H60/$D60)</f>
        <v>NA</v>
      </c>
      <c r="F60" s="276" t="str">
        <f t="shared" si="7"/>
        <v>NA</v>
      </c>
      <c r="G60" s="2112"/>
      <c r="H60" s="691" t="s">
        <v>2153</v>
      </c>
      <c r="I60" s="691" t="s">
        <v>2153</v>
      </c>
      <c r="J60" s="2108"/>
      <c r="K60" s="3180" t="s">
        <v>2146</v>
      </c>
      <c r="L60" s="3180" t="s">
        <v>2146</v>
      </c>
      <c r="M60" s="3180" t="s">
        <v>2146</v>
      </c>
      <c r="N60" s="2109"/>
    </row>
    <row r="61" spans="2:14" s="83" customFormat="1" ht="18" customHeight="1" x14ac:dyDescent="0.2">
      <c r="B61" s="2600" t="s">
        <v>2186</v>
      </c>
      <c r="C61" s="2604" t="s">
        <v>2190</v>
      </c>
      <c r="D61" s="277" t="s">
        <v>2184</v>
      </c>
      <c r="E61" s="276" t="str">
        <f t="shared" si="7"/>
        <v>NA</v>
      </c>
      <c r="F61" s="276" t="str">
        <f t="shared" si="7"/>
        <v>NA</v>
      </c>
      <c r="G61" s="2112"/>
      <c r="H61" s="691" t="s">
        <v>2153</v>
      </c>
      <c r="I61" s="691" t="s">
        <v>2153</v>
      </c>
      <c r="J61" s="2108"/>
      <c r="K61" s="3180" t="s">
        <v>2146</v>
      </c>
      <c r="L61" s="3180" t="s">
        <v>2146</v>
      </c>
      <c r="M61" s="3180" t="s">
        <v>2146</v>
      </c>
      <c r="N61" s="2109"/>
    </row>
    <row r="62" spans="2:14" s="83" customFormat="1" ht="18" customHeight="1" x14ac:dyDescent="0.2">
      <c r="B62" s="287" t="s">
        <v>531</v>
      </c>
      <c r="C62" s="2604" t="s">
        <v>220</v>
      </c>
      <c r="D62" s="277" t="s">
        <v>2184</v>
      </c>
      <c r="E62" s="276" t="str">
        <f t="shared" si="7"/>
        <v>NA</v>
      </c>
      <c r="F62" s="276" t="str">
        <f t="shared" si="7"/>
        <v>NA</v>
      </c>
      <c r="G62" s="2107"/>
      <c r="H62" s="691" t="s">
        <v>2153</v>
      </c>
      <c r="I62" s="691" t="s">
        <v>2146</v>
      </c>
      <c r="J62" s="2108"/>
      <c r="K62" s="3180" t="s">
        <v>2146</v>
      </c>
      <c r="L62" s="691" t="s">
        <v>2146</v>
      </c>
      <c r="M62" s="3147" t="s">
        <v>2146</v>
      </c>
      <c r="N62" s="2109"/>
    </row>
    <row r="63" spans="2:14" s="83" customFormat="1" ht="18" customHeight="1" x14ac:dyDescent="0.2">
      <c r="B63" s="287" t="s">
        <v>532</v>
      </c>
      <c r="C63" s="2604" t="s">
        <v>220</v>
      </c>
      <c r="D63" s="4179">
        <v>1912</v>
      </c>
      <c r="E63" s="4130">
        <f>IF(SUM($D63)=0,"NA",H63/$D63)</f>
        <v>1.6150205712646879</v>
      </c>
      <c r="F63" s="1892"/>
      <c r="G63" s="2107"/>
      <c r="H63" s="691">
        <v>3087.9193322580832</v>
      </c>
      <c r="I63" s="1879"/>
      <c r="J63" s="2108"/>
      <c r="K63" s="3180" t="s">
        <v>2146</v>
      </c>
      <c r="L63" s="691" t="s">
        <v>2146</v>
      </c>
      <c r="M63" s="3119"/>
      <c r="N63" s="2109"/>
    </row>
    <row r="64" spans="2:14" s="83" customFormat="1" ht="18" customHeight="1" x14ac:dyDescent="0.2">
      <c r="B64" s="1283" t="s">
        <v>533</v>
      </c>
      <c r="C64" s="2604" t="s">
        <v>2188</v>
      </c>
      <c r="D64" s="277" t="s">
        <v>2146</v>
      </c>
      <c r="E64" s="276" t="str">
        <f>IF(SUM($D64)=0,"NA",H64/$D64)</f>
        <v>NA</v>
      </c>
      <c r="F64" s="1892"/>
      <c r="G64" s="2107"/>
      <c r="H64" s="691" t="str">
        <f>IF(D64="NO","NO","NA")</f>
        <v>NO</v>
      </c>
      <c r="I64" s="1879"/>
      <c r="J64" s="2108"/>
      <c r="K64" s="3180" t="s">
        <v>2146</v>
      </c>
      <c r="L64" s="691" t="s">
        <v>2146</v>
      </c>
      <c r="M64" s="3119"/>
      <c r="N64" s="2109"/>
    </row>
    <row r="65" spans="2:14" s="83" customFormat="1" ht="18" customHeight="1" x14ac:dyDescent="0.2">
      <c r="B65" s="1284" t="s">
        <v>534</v>
      </c>
      <c r="C65" s="2604" t="s">
        <v>220</v>
      </c>
      <c r="D65" s="277" t="s">
        <v>2184</v>
      </c>
      <c r="E65" s="276" t="str">
        <f>IF(SUM($D65)=0,"NA",H65/$D65)</f>
        <v>NA</v>
      </c>
      <c r="F65" s="2108"/>
      <c r="G65" s="2107"/>
      <c r="H65" s="3142" t="s">
        <v>2153</v>
      </c>
      <c r="I65" s="2104"/>
      <c r="J65" s="2108"/>
      <c r="K65" s="3180" t="s">
        <v>2146</v>
      </c>
      <c r="L65" s="691" t="s">
        <v>2146</v>
      </c>
      <c r="M65" s="2113"/>
      <c r="N65" s="2109"/>
    </row>
    <row r="66" spans="2:14" s="83" customFormat="1" ht="18" customHeight="1" x14ac:dyDescent="0.2">
      <c r="B66" s="1284" t="s">
        <v>535</v>
      </c>
      <c r="C66" s="2604" t="s">
        <v>220</v>
      </c>
      <c r="D66" s="277" t="s">
        <v>2184</v>
      </c>
      <c r="E66" s="276" t="str">
        <f>IF(SUM($D66)=0,"NA",H66/$D66)</f>
        <v>NA</v>
      </c>
      <c r="F66" s="2108"/>
      <c r="G66" s="2107"/>
      <c r="H66" s="3142" t="s">
        <v>2146</v>
      </c>
      <c r="I66" s="2104"/>
      <c r="J66" s="2108"/>
      <c r="K66" s="3180" t="s">
        <v>2146</v>
      </c>
      <c r="L66" s="691" t="s">
        <v>2146</v>
      </c>
      <c r="M66" s="2113"/>
      <c r="N66" s="2109"/>
    </row>
    <row r="67" spans="2:14" s="83" customFormat="1" ht="18" customHeight="1" x14ac:dyDescent="0.2">
      <c r="B67" s="287" t="s">
        <v>2061</v>
      </c>
      <c r="C67" s="2605"/>
      <c r="D67" s="621"/>
      <c r="E67" s="621"/>
      <c r="F67" s="621"/>
      <c r="G67" s="621"/>
      <c r="H67" s="3199">
        <f>IF(SUM(H69:H70)=0,H70,SUM(H69:H70))</f>
        <v>9642.8418375652636</v>
      </c>
      <c r="I67" s="3199">
        <f t="shared" ref="I67:N67" si="8">IF(SUM(I69:I70)=0,I70,SUM(I69:I70))</f>
        <v>2.9771984636148945</v>
      </c>
      <c r="J67" s="3199">
        <f t="shared" si="8"/>
        <v>7.5404857489833013E-2</v>
      </c>
      <c r="K67" s="3199" t="str">
        <f t="shared" si="8"/>
        <v>NO</v>
      </c>
      <c r="L67" s="1913" t="str">
        <f t="shared" si="8"/>
        <v>NO</v>
      </c>
      <c r="M67" s="1913" t="str">
        <f t="shared" si="8"/>
        <v>NO</v>
      </c>
      <c r="N67" s="3085" t="str">
        <f t="shared" si="8"/>
        <v>NO</v>
      </c>
    </row>
    <row r="68" spans="2:14" s="83" customFormat="1" ht="18" customHeight="1" x14ac:dyDescent="0.2">
      <c r="B68" s="1242" t="s">
        <v>203</v>
      </c>
      <c r="C68" s="2103"/>
      <c r="D68" s="2285"/>
      <c r="E68" s="2285"/>
      <c r="F68" s="2285"/>
      <c r="G68" s="2285"/>
      <c r="H68" s="3097"/>
      <c r="I68" s="3097"/>
      <c r="J68" s="3097"/>
      <c r="K68" s="3097"/>
      <c r="L68" s="3097"/>
      <c r="M68" s="3097"/>
      <c r="N68" s="3111"/>
    </row>
    <row r="69" spans="2:14" s="83" customFormat="1" ht="18" customHeight="1" x14ac:dyDescent="0.2">
      <c r="B69" s="1286" t="s">
        <v>537</v>
      </c>
      <c r="C69" s="1834"/>
      <c r="D69" s="2117" t="s">
        <v>2146</v>
      </c>
      <c r="E69" s="276" t="str">
        <f>IF(SUM($D69)=0,"NA",H69/$D69)</f>
        <v>NA</v>
      </c>
      <c r="F69" s="276" t="str">
        <f>IF(SUM($D69)=0,"NA",I69/$D69)</f>
        <v>NA</v>
      </c>
      <c r="G69" s="276" t="str">
        <f>IF(SUM($D69)=0,"NA",J69/$D69)</f>
        <v>NA</v>
      </c>
      <c r="H69" s="3204" t="s">
        <v>2146</v>
      </c>
      <c r="I69" s="3204" t="s">
        <v>2146</v>
      </c>
      <c r="J69" s="3204" t="s">
        <v>2146</v>
      </c>
      <c r="K69" s="3205" t="s">
        <v>2146</v>
      </c>
      <c r="L69" s="3204" t="s">
        <v>2146</v>
      </c>
      <c r="M69" s="3204" t="s">
        <v>2146</v>
      </c>
      <c r="N69" s="3206" t="s">
        <v>2146</v>
      </c>
    </row>
    <row r="70" spans="2:14" s="83" customFormat="1" ht="18" customHeight="1" x14ac:dyDescent="0.2">
      <c r="B70" s="2416" t="s">
        <v>538</v>
      </c>
      <c r="C70" s="2388"/>
      <c r="D70" s="2384"/>
      <c r="E70" s="2384"/>
      <c r="F70" s="2384"/>
      <c r="G70" s="2384"/>
      <c r="H70" s="3095">
        <f t="shared" ref="H70:M70" si="9">H71</f>
        <v>9642.8418375652636</v>
      </c>
      <c r="I70" s="3095">
        <f t="shared" si="9"/>
        <v>2.9771984636148945</v>
      </c>
      <c r="J70" s="3095">
        <f t="shared" si="9"/>
        <v>7.5404857489833013E-2</v>
      </c>
      <c r="K70" s="3207" t="str">
        <f t="shared" si="9"/>
        <v>NO</v>
      </c>
      <c r="L70" s="3095" t="str">
        <f t="shared" si="9"/>
        <v>NO</v>
      </c>
      <c r="M70" s="3095" t="str">
        <f t="shared" si="9"/>
        <v>NO</v>
      </c>
      <c r="N70" s="3208" t="str">
        <f>N71</f>
        <v>NO</v>
      </c>
    </row>
    <row r="71" spans="2:14" s="83" customFormat="1" ht="18" customHeight="1" thickBot="1" x14ac:dyDescent="0.25">
      <c r="B71" s="2598" t="s">
        <v>2185</v>
      </c>
      <c r="C71" s="2599" t="s">
        <v>220</v>
      </c>
      <c r="D71" s="2114" t="s">
        <v>2184</v>
      </c>
      <c r="E71" s="511" t="str">
        <f>IF(SUM($D71)=0,"NA",H71/$D71)</f>
        <v>NA</v>
      </c>
      <c r="F71" s="511" t="str">
        <f>IF(SUM($D71)=0,"NA",I71/$D71)</f>
        <v>NA</v>
      </c>
      <c r="G71" s="511" t="str">
        <f>IF(SUM($D71)=0,"NA",J71/$D71)</f>
        <v>NA</v>
      </c>
      <c r="H71" s="3123">
        <v>9642.8418375652636</v>
      </c>
      <c r="I71" s="3123">
        <v>2.9771984636148945</v>
      </c>
      <c r="J71" s="3123">
        <v>7.5404857489833013E-2</v>
      </c>
      <c r="K71" s="3209" t="s">
        <v>2146</v>
      </c>
      <c r="L71" s="3209" t="s">
        <v>2146</v>
      </c>
      <c r="M71" s="3123" t="s">
        <v>2146</v>
      </c>
      <c r="N71" s="3210" t="s">
        <v>2146</v>
      </c>
    </row>
    <row r="72" spans="2:14" s="83" customFormat="1" ht="18" customHeight="1" x14ac:dyDescent="0.2">
      <c r="B72" s="2417" t="s">
        <v>2105</v>
      </c>
      <c r="C72" s="231"/>
      <c r="D72" s="621"/>
      <c r="E72" s="2115"/>
      <c r="F72" s="2115"/>
      <c r="G72" s="2115"/>
      <c r="H72" s="1913">
        <f t="shared" ref="H72:L72" si="10">IF(SUM(H73:H75)=0,"NO",SUM(H73:H75))</f>
        <v>242.50388749999999</v>
      </c>
      <c r="I72" s="1913" t="str">
        <f t="shared" si="10"/>
        <v>NO</v>
      </c>
      <c r="J72" s="1913" t="str">
        <f t="shared" si="10"/>
        <v>NO</v>
      </c>
      <c r="K72" s="3199" t="str">
        <f t="shared" si="10"/>
        <v>NO</v>
      </c>
      <c r="L72" s="1913" t="str">
        <f t="shared" si="10"/>
        <v>NO</v>
      </c>
      <c r="M72" s="1913" t="str">
        <f>IF(SUM(M73:M75)=0,"NO",SUM(M73:M75))</f>
        <v>NO</v>
      </c>
      <c r="N72" s="3085" t="str">
        <f>IF(SUM(N73:N75)=0,"NO",SUM(N73:N75))</f>
        <v>NO</v>
      </c>
    </row>
    <row r="73" spans="2:14" s="83" customFormat="1" ht="18" customHeight="1" x14ac:dyDescent="0.2">
      <c r="B73" s="287" t="s">
        <v>539</v>
      </c>
      <c r="C73" s="82" t="s">
        <v>2183</v>
      </c>
      <c r="D73" s="3191">
        <v>451.07731958762889</v>
      </c>
      <c r="E73" s="4130">
        <f t="shared" ref="E73:G74" si="11">IF(SUM($D73)=0,"NA",H73/$D73)</f>
        <v>0.53761046492360776</v>
      </c>
      <c r="F73" s="276" t="s">
        <v>2147</v>
      </c>
      <c r="G73" s="276" t="s">
        <v>2147</v>
      </c>
      <c r="H73" s="3122">
        <v>242.50388749999999</v>
      </c>
      <c r="I73" s="3122" t="s">
        <v>2146</v>
      </c>
      <c r="J73" s="3122" t="s">
        <v>2146</v>
      </c>
      <c r="K73" s="3211" t="s">
        <v>2146</v>
      </c>
      <c r="L73" s="3122" t="s">
        <v>2146</v>
      </c>
      <c r="M73" s="3122" t="s">
        <v>2146</v>
      </c>
      <c r="N73" s="3212" t="s">
        <v>2146</v>
      </c>
    </row>
    <row r="74" spans="2:14" s="83" customFormat="1" ht="18" customHeight="1" x14ac:dyDescent="0.2">
      <c r="B74" s="287" t="s">
        <v>540</v>
      </c>
      <c r="C74" s="82" t="s">
        <v>2183</v>
      </c>
      <c r="D74" s="82" t="s">
        <v>2154</v>
      </c>
      <c r="E74" s="276" t="str">
        <f t="shared" si="11"/>
        <v>NA</v>
      </c>
      <c r="F74" s="276" t="str">
        <f t="shared" si="11"/>
        <v>NA</v>
      </c>
      <c r="G74" s="276" t="str">
        <f t="shared" si="11"/>
        <v>NA</v>
      </c>
      <c r="H74" s="2147" t="s">
        <v>2154</v>
      </c>
      <c r="I74" s="2147" t="s">
        <v>2146</v>
      </c>
      <c r="J74" s="2147" t="s">
        <v>2146</v>
      </c>
      <c r="K74" s="3211" t="s">
        <v>2146</v>
      </c>
      <c r="L74" s="3122" t="s">
        <v>2146</v>
      </c>
      <c r="M74" s="3122" t="s">
        <v>2146</v>
      </c>
      <c r="N74" s="3212" t="s">
        <v>2146</v>
      </c>
    </row>
    <row r="75" spans="2:14" s="83" customFormat="1" ht="18" customHeight="1" x14ac:dyDescent="0.2">
      <c r="B75" s="287" t="s">
        <v>541</v>
      </c>
      <c r="C75" s="150"/>
      <c r="D75" s="621"/>
      <c r="E75" s="2115"/>
      <c r="F75" s="2115"/>
      <c r="G75" s="2115"/>
      <c r="H75" s="1913" t="str">
        <f>IF(SUM(H77:H80)=0,"NO",SUM(H77:H80))</f>
        <v>NO</v>
      </c>
      <c r="I75" s="1913" t="str">
        <f t="shared" ref="I75:N75" si="12">IF(SUM(I77:I80)=0,"NO",SUM(I77:I80))</f>
        <v>NO</v>
      </c>
      <c r="J75" s="1913" t="str">
        <f t="shared" si="12"/>
        <v>NO</v>
      </c>
      <c r="K75" s="3199" t="str">
        <f t="shared" si="12"/>
        <v>NO</v>
      </c>
      <c r="L75" s="1913" t="str">
        <f t="shared" si="12"/>
        <v>NO</v>
      </c>
      <c r="M75" s="1913" t="str">
        <f t="shared" si="12"/>
        <v>NO</v>
      </c>
      <c r="N75" s="3085" t="str">
        <f t="shared" si="12"/>
        <v>NO</v>
      </c>
    </row>
    <row r="76" spans="2:14" s="83" customFormat="1" ht="18" customHeight="1" x14ac:dyDescent="0.2">
      <c r="B76" s="1242" t="s">
        <v>203</v>
      </c>
      <c r="C76" s="2103"/>
      <c r="D76" s="2285"/>
      <c r="E76" s="2285"/>
      <c r="F76" s="2285"/>
      <c r="G76" s="2285"/>
      <c r="H76" s="3097"/>
      <c r="I76" s="3097"/>
      <c r="J76" s="3097"/>
      <c r="K76" s="3097"/>
      <c r="L76" s="3097"/>
      <c r="M76" s="3097"/>
      <c r="N76" s="3111"/>
    </row>
    <row r="77" spans="2:14" s="83" customFormat="1" ht="18" customHeight="1" x14ac:dyDescent="0.2">
      <c r="B77" s="1285" t="s">
        <v>542</v>
      </c>
      <c r="C77" s="82" t="s">
        <v>2390</v>
      </c>
      <c r="D77" s="82" t="s">
        <v>2147</v>
      </c>
      <c r="E77" s="276" t="str">
        <f t="shared" ref="E77:G79" si="13">IF(SUM($D77)=0,"NA",H77/$D77)</f>
        <v>NA</v>
      </c>
      <c r="F77" s="276" t="str">
        <f t="shared" si="13"/>
        <v>NA</v>
      </c>
      <c r="G77" s="276" t="str">
        <f t="shared" si="13"/>
        <v>NA</v>
      </c>
      <c r="H77" s="3122" t="s">
        <v>2146</v>
      </c>
      <c r="I77" s="3122" t="s">
        <v>2146</v>
      </c>
      <c r="J77" s="3122" t="s">
        <v>2146</v>
      </c>
      <c r="K77" s="3211" t="s">
        <v>2146</v>
      </c>
      <c r="L77" s="3122" t="s">
        <v>2146</v>
      </c>
      <c r="M77" s="3122" t="s">
        <v>2146</v>
      </c>
      <c r="N77" s="3212" t="s">
        <v>2146</v>
      </c>
    </row>
    <row r="78" spans="2:14" s="83" customFormat="1" ht="18" customHeight="1" x14ac:dyDescent="0.2">
      <c r="B78" s="1285" t="s">
        <v>543</v>
      </c>
      <c r="C78" s="82" t="s">
        <v>2183</v>
      </c>
      <c r="D78" s="82">
        <v>348.04636363636399</v>
      </c>
      <c r="E78" s="276" t="s">
        <v>2147</v>
      </c>
      <c r="F78" s="276" t="s">
        <v>2147</v>
      </c>
      <c r="G78" s="276" t="s">
        <v>2147</v>
      </c>
      <c r="H78" s="3122" t="s">
        <v>2146</v>
      </c>
      <c r="I78" s="3122" t="s">
        <v>2146</v>
      </c>
      <c r="J78" s="3122" t="s">
        <v>2146</v>
      </c>
      <c r="K78" s="3211" t="s">
        <v>2146</v>
      </c>
      <c r="L78" s="3122" t="s">
        <v>2146</v>
      </c>
      <c r="M78" s="3122" t="s">
        <v>2146</v>
      </c>
      <c r="N78" s="3212" t="s">
        <v>2146</v>
      </c>
    </row>
    <row r="79" spans="2:14" s="83" customFormat="1" ht="18" customHeight="1" x14ac:dyDescent="0.2">
      <c r="B79" s="1286" t="s">
        <v>544</v>
      </c>
      <c r="C79" s="1834"/>
      <c r="D79" s="2116" t="s">
        <v>2146</v>
      </c>
      <c r="E79" s="276" t="str">
        <f t="shared" si="13"/>
        <v>NA</v>
      </c>
      <c r="F79" s="276" t="str">
        <f t="shared" si="13"/>
        <v>NA</v>
      </c>
      <c r="G79" s="276" t="str">
        <f t="shared" si="13"/>
        <v>NA</v>
      </c>
      <c r="H79" s="3204" t="s">
        <v>2146</v>
      </c>
      <c r="I79" s="3204" t="s">
        <v>2146</v>
      </c>
      <c r="J79" s="3204" t="s">
        <v>2146</v>
      </c>
      <c r="K79" s="3205" t="s">
        <v>2146</v>
      </c>
      <c r="L79" s="3204" t="s">
        <v>2146</v>
      </c>
      <c r="M79" s="3204" t="s">
        <v>2146</v>
      </c>
      <c r="N79" s="3206" t="s">
        <v>2146</v>
      </c>
    </row>
    <row r="80" spans="2:14" s="83" customFormat="1" ht="18" customHeight="1" x14ac:dyDescent="0.2">
      <c r="B80" s="1285" t="s">
        <v>545</v>
      </c>
      <c r="C80" s="621"/>
      <c r="D80" s="621"/>
      <c r="E80" s="2115"/>
      <c r="F80" s="2115"/>
      <c r="G80" s="2115"/>
      <c r="H80" s="1913" t="str">
        <f>H81</f>
        <v>NO</v>
      </c>
      <c r="I80" s="1913" t="str">
        <f t="shared" ref="I80:N80" si="14">I81</f>
        <v>NO</v>
      </c>
      <c r="J80" s="1913" t="str">
        <f t="shared" si="14"/>
        <v>NO</v>
      </c>
      <c r="K80" s="3199" t="str">
        <f t="shared" si="14"/>
        <v>NO</v>
      </c>
      <c r="L80" s="1913" t="str">
        <f t="shared" si="14"/>
        <v>NO</v>
      </c>
      <c r="M80" s="1913" t="str">
        <f t="shared" si="14"/>
        <v>NO</v>
      </c>
      <c r="N80" s="3085" t="str">
        <f t="shared" si="14"/>
        <v>NO</v>
      </c>
    </row>
    <row r="81" spans="2:14" s="83" customFormat="1" ht="18" customHeight="1" thickBot="1" x14ac:dyDescent="0.25">
      <c r="B81" s="2601" t="s">
        <v>2262</v>
      </c>
      <c r="C81" s="3187" t="s">
        <v>2270</v>
      </c>
      <c r="D81" s="82" t="s">
        <v>2147</v>
      </c>
      <c r="E81" s="2119" t="str">
        <f>IF(SUM($D81)=0,"NA",H81/$D81)</f>
        <v>NA</v>
      </c>
      <c r="F81" s="2119" t="str">
        <f>IF(SUM($D81)=0,"NA",I81/$D81)</f>
        <v>NA</v>
      </c>
      <c r="G81" s="2119" t="str">
        <f>IF(SUM($D81)=0,"NA",J81/$D81)</f>
        <v>NA</v>
      </c>
      <c r="H81" s="3213" t="s">
        <v>2146</v>
      </c>
      <c r="I81" s="3213" t="s">
        <v>2146</v>
      </c>
      <c r="J81" s="3213" t="s">
        <v>2146</v>
      </c>
      <c r="K81" s="3214" t="s">
        <v>2146</v>
      </c>
      <c r="L81" s="3213" t="s">
        <v>2146</v>
      </c>
      <c r="M81" s="3213" t="s">
        <v>2146</v>
      </c>
      <c r="N81" s="3215" t="s">
        <v>2146</v>
      </c>
    </row>
    <row r="82" spans="2:14" s="83" customFormat="1" ht="18" customHeight="1" x14ac:dyDescent="0.2">
      <c r="B82" s="2418" t="s">
        <v>546</v>
      </c>
      <c r="C82" s="2120"/>
      <c r="D82" s="2120"/>
      <c r="E82" s="2121"/>
      <c r="F82" s="2121"/>
      <c r="G82" s="2121"/>
      <c r="H82" s="3216"/>
      <c r="I82" s="3216"/>
      <c r="J82" s="3067" t="str">
        <f>IF(SUM(J83:J85)=0,"NO",SUM(J83:J85))</f>
        <v>NO</v>
      </c>
      <c r="K82" s="3217"/>
      <c r="L82" s="3216"/>
      <c r="M82" s="3216"/>
      <c r="N82" s="449" t="str">
        <f>IF(SUM(N83:N85)=0,"NO",SUM(N83:N85))</f>
        <v>NO</v>
      </c>
    </row>
    <row r="83" spans="2:14" s="83" customFormat="1" ht="18" customHeight="1" x14ac:dyDescent="0.2">
      <c r="B83" s="170" t="s">
        <v>547</v>
      </c>
      <c r="C83" s="82"/>
      <c r="D83" s="70" t="s">
        <v>2146</v>
      </c>
      <c r="E83" s="2115"/>
      <c r="F83" s="2115"/>
      <c r="G83" s="276" t="str">
        <f>IF(SUM($D83)=0,"NA",J83/$D83)</f>
        <v>NA</v>
      </c>
      <c r="H83" s="1914"/>
      <c r="I83" s="1914"/>
      <c r="J83" s="3122" t="s">
        <v>2146</v>
      </c>
      <c r="K83" s="3218"/>
      <c r="L83" s="1914"/>
      <c r="M83" s="1914"/>
      <c r="N83" s="3212" t="s">
        <v>2146</v>
      </c>
    </row>
    <row r="84" spans="2:14" s="83" customFormat="1" ht="18" customHeight="1" x14ac:dyDescent="0.2">
      <c r="B84" s="170" t="s">
        <v>548</v>
      </c>
      <c r="C84" s="82"/>
      <c r="D84" s="70" t="s">
        <v>2146</v>
      </c>
      <c r="E84" s="2115"/>
      <c r="F84" s="2115"/>
      <c r="G84" s="276" t="str">
        <f>IF(SUM($D84)=0,"NA",J84/$D84)</f>
        <v>NA</v>
      </c>
      <c r="H84" s="1914"/>
      <c r="I84" s="1914"/>
      <c r="J84" s="3122" t="s">
        <v>2146</v>
      </c>
      <c r="K84" s="3218"/>
      <c r="L84" s="1914"/>
      <c r="M84" s="1914"/>
      <c r="N84" s="3212" t="s">
        <v>2146</v>
      </c>
    </row>
    <row r="85" spans="2:14" s="83" customFormat="1" ht="18" customHeight="1" x14ac:dyDescent="0.2">
      <c r="B85" s="170" t="s">
        <v>2106</v>
      </c>
      <c r="C85" s="150"/>
      <c r="D85" s="621"/>
      <c r="E85" s="2115"/>
      <c r="F85" s="2115"/>
      <c r="G85" s="2115"/>
      <c r="H85" s="1914"/>
      <c r="I85" s="1914"/>
      <c r="J85" s="1913" t="str">
        <f>J86</f>
        <v>NO</v>
      </c>
      <c r="K85" s="3218"/>
      <c r="L85" s="1914"/>
      <c r="M85" s="1914"/>
      <c r="N85" s="3085" t="str">
        <f>N86</f>
        <v>NO</v>
      </c>
    </row>
    <row r="86" spans="2:14" s="83" customFormat="1" ht="18" customHeight="1" thickBot="1" x14ac:dyDescent="0.25">
      <c r="B86" s="3186" t="s">
        <v>2147</v>
      </c>
      <c r="C86" s="2122"/>
      <c r="D86" s="2123" t="s">
        <v>2146</v>
      </c>
      <c r="E86" s="2115"/>
      <c r="F86" s="2115"/>
      <c r="G86" s="2124" t="str">
        <f>IF(SUM($D86)=0,"NA",J86/$D86)</f>
        <v>NA</v>
      </c>
      <c r="H86" s="1914"/>
      <c r="I86" s="1914"/>
      <c r="J86" s="2912" t="s">
        <v>2146</v>
      </c>
      <c r="K86" s="3218"/>
      <c r="L86" s="1914"/>
      <c r="M86" s="1914"/>
      <c r="N86" s="3219" t="s">
        <v>2146</v>
      </c>
    </row>
    <row r="87" spans="2:14" s="83" customFormat="1" ht="18" customHeight="1" x14ac:dyDescent="0.2">
      <c r="B87" s="2419" t="s">
        <v>549</v>
      </c>
      <c r="C87" s="2120"/>
      <c r="D87" s="2120"/>
      <c r="E87" s="2121"/>
      <c r="F87" s="2121"/>
      <c r="G87" s="2121"/>
      <c r="H87" s="3067" t="s">
        <v>2146</v>
      </c>
      <c r="I87" s="3067" t="s">
        <v>2146</v>
      </c>
      <c r="J87" s="3067" t="s">
        <v>2153</v>
      </c>
      <c r="K87" s="3220" t="s">
        <v>2146</v>
      </c>
      <c r="L87" s="3067" t="s">
        <v>2146</v>
      </c>
      <c r="M87" s="3067" t="s">
        <v>2146</v>
      </c>
      <c r="N87" s="449" t="s">
        <v>2146</v>
      </c>
    </row>
    <row r="88" spans="2:14" s="83" customFormat="1" ht="18" customHeight="1" x14ac:dyDescent="0.2">
      <c r="B88" s="1287" t="s">
        <v>550</v>
      </c>
      <c r="C88" s="149"/>
      <c r="D88" s="149"/>
      <c r="E88" s="233"/>
      <c r="F88" s="233"/>
      <c r="G88" s="276" t="str">
        <f>IF(SUM($D88)=0,"NA",J88/$D88)</f>
        <v>NA</v>
      </c>
      <c r="H88" s="1910"/>
      <c r="I88" s="1910"/>
      <c r="J88" s="1913" t="str">
        <f>J89</f>
        <v>IE</v>
      </c>
      <c r="K88" s="3221"/>
      <c r="L88" s="1910"/>
      <c r="M88" s="1910"/>
      <c r="N88" s="3085" t="str">
        <f>N89</f>
        <v>NO</v>
      </c>
    </row>
    <row r="89" spans="2:14" s="83" customFormat="1" ht="18" customHeight="1" x14ac:dyDescent="0.2">
      <c r="B89" s="1285" t="s">
        <v>551</v>
      </c>
      <c r="C89" s="82" t="s">
        <v>2183</v>
      </c>
      <c r="D89" s="70" t="s">
        <v>2153</v>
      </c>
      <c r="E89" s="1892"/>
      <c r="F89" s="1892"/>
      <c r="G89" s="276" t="str">
        <f>IF(SUM($D89)=0,"NA",J89/$D89)</f>
        <v>NA</v>
      </c>
      <c r="H89" s="1879"/>
      <c r="I89" s="1879"/>
      <c r="J89" s="3122" t="s">
        <v>2153</v>
      </c>
      <c r="K89" s="3222"/>
      <c r="L89" s="1879"/>
      <c r="M89" s="1879"/>
      <c r="N89" s="3212" t="s">
        <v>2146</v>
      </c>
    </row>
    <row r="90" spans="2:14" s="83" customFormat="1" ht="18" customHeight="1" x14ac:dyDescent="0.2">
      <c r="B90" s="1285" t="s">
        <v>2103</v>
      </c>
      <c r="C90" s="150"/>
      <c r="D90" s="150"/>
      <c r="E90" s="1892"/>
      <c r="F90" s="1892"/>
      <c r="G90" s="1892"/>
      <c r="H90" s="1879"/>
      <c r="I90" s="1879"/>
      <c r="J90" s="1913" t="str">
        <f>J93</f>
        <v>IE</v>
      </c>
      <c r="K90" s="3222"/>
      <c r="L90" s="1879"/>
      <c r="M90" s="1879"/>
      <c r="N90" s="3085" t="str">
        <f>N93</f>
        <v>NO</v>
      </c>
    </row>
    <row r="91" spans="2:14" s="83" customFormat="1" ht="18" customHeight="1" x14ac:dyDescent="0.2">
      <c r="B91" s="2506" t="s">
        <v>203</v>
      </c>
      <c r="C91" s="2103"/>
      <c r="D91" s="2285"/>
      <c r="E91" s="2285"/>
      <c r="F91" s="2285"/>
      <c r="G91" s="2285"/>
      <c r="H91" s="3097"/>
      <c r="I91" s="3097"/>
      <c r="J91" s="3097"/>
      <c r="K91" s="3097"/>
      <c r="L91" s="3097"/>
      <c r="M91" s="3097"/>
      <c r="N91" s="3111"/>
    </row>
    <row r="92" spans="2:14" s="83" customFormat="1" ht="18" customHeight="1" x14ac:dyDescent="0.2">
      <c r="B92" s="290" t="s">
        <v>552</v>
      </c>
      <c r="C92" s="82"/>
      <c r="D92" s="70" t="s">
        <v>2146</v>
      </c>
      <c r="E92" s="1892"/>
      <c r="F92" s="1892"/>
      <c r="G92" s="276" t="str">
        <f>IF(SUM($D92)=0,"NA",J92/$D92)</f>
        <v>NA</v>
      </c>
      <c r="H92" s="1879"/>
      <c r="I92" s="1879"/>
      <c r="J92" s="3122" t="s">
        <v>2146</v>
      </c>
      <c r="K92" s="3222"/>
      <c r="L92" s="1879"/>
      <c r="M92" s="1879"/>
      <c r="N92" s="3212" t="s">
        <v>2146</v>
      </c>
    </row>
    <row r="93" spans="2:14" s="83" customFormat="1" ht="18" customHeight="1" x14ac:dyDescent="0.2">
      <c r="B93" s="290" t="s">
        <v>553</v>
      </c>
      <c r="C93" s="621"/>
      <c r="D93" s="621"/>
      <c r="E93" s="2115"/>
      <c r="F93" s="2115"/>
      <c r="G93" s="2115"/>
      <c r="H93" s="1879"/>
      <c r="I93" s="1879"/>
      <c r="J93" s="1913" t="str">
        <f>J94</f>
        <v>IE</v>
      </c>
      <c r="K93" s="3222"/>
      <c r="L93" s="1879"/>
      <c r="M93" s="1879"/>
      <c r="N93" s="3085" t="str">
        <f>N94</f>
        <v>NO</v>
      </c>
    </row>
    <row r="94" spans="2:14" s="83" customFormat="1" ht="18" customHeight="1" x14ac:dyDescent="0.2">
      <c r="B94" s="2602" t="s">
        <v>2192</v>
      </c>
      <c r="C94" s="3187"/>
      <c r="D94" s="2118" t="s">
        <v>2153</v>
      </c>
      <c r="E94" s="276" t="str">
        <f>IF(SUM($D94)=0,"NA",H94/$D94)</f>
        <v>NA</v>
      </c>
      <c r="F94" s="276" t="str">
        <f>IF(SUM($D94)=0,"NA",I94/$D94)</f>
        <v>NA</v>
      </c>
      <c r="G94" s="276" t="str">
        <f>IF(SUM($D94)=0,"NA",J94/$D94)</f>
        <v>NA</v>
      </c>
      <c r="H94" s="1879"/>
      <c r="I94" s="1879"/>
      <c r="J94" s="3204" t="s">
        <v>2153</v>
      </c>
      <c r="K94" s="3222"/>
      <c r="L94" s="1879"/>
      <c r="M94" s="1879"/>
      <c r="N94" s="3206" t="s">
        <v>2146</v>
      </c>
    </row>
    <row r="95" spans="2:14" s="83" customFormat="1" ht="18" customHeight="1" x14ac:dyDescent="0.2">
      <c r="B95" s="287" t="s">
        <v>2104</v>
      </c>
      <c r="C95" s="150"/>
      <c r="D95" s="621"/>
      <c r="E95" s="621"/>
      <c r="F95" s="621"/>
      <c r="G95" s="621"/>
      <c r="H95" s="1913" t="str">
        <f>H96</f>
        <v>NO</v>
      </c>
      <c r="I95" s="1913" t="str">
        <f t="shared" ref="I95:N95" si="15">I96</f>
        <v>NO</v>
      </c>
      <c r="J95" s="1913" t="str">
        <f t="shared" si="15"/>
        <v>NO</v>
      </c>
      <c r="K95" s="3199" t="str">
        <f t="shared" si="15"/>
        <v>NO</v>
      </c>
      <c r="L95" s="1913" t="str">
        <f t="shared" si="15"/>
        <v>NO</v>
      </c>
      <c r="M95" s="1913" t="str">
        <f t="shared" si="15"/>
        <v>NO</v>
      </c>
      <c r="N95" s="3085" t="str">
        <f t="shared" si="15"/>
        <v>NO</v>
      </c>
    </row>
    <row r="96" spans="2:14" s="83" customFormat="1" ht="18" customHeight="1" thickBot="1" x14ac:dyDescent="0.25">
      <c r="B96" s="2597" t="s">
        <v>2147</v>
      </c>
      <c r="C96" s="93"/>
      <c r="D96" s="2114" t="s">
        <v>2146</v>
      </c>
      <c r="E96" s="511" t="str">
        <f>IF(SUM($D96)=0,"NA",H96/$D96)</f>
        <v>NA</v>
      </c>
      <c r="F96" s="511" t="str">
        <f>IF(SUM($D96)=0,"NA",I96/$D96)</f>
        <v>NA</v>
      </c>
      <c r="G96" s="511" t="str">
        <f>IF(SUM($D96)=0,"NA",J96/$D96)</f>
        <v>NA</v>
      </c>
      <c r="H96" s="3123" t="s">
        <v>2146</v>
      </c>
      <c r="I96" s="3123" t="s">
        <v>2146</v>
      </c>
      <c r="J96" s="3123" t="s">
        <v>2146</v>
      </c>
      <c r="K96" s="3209" t="s">
        <v>2146</v>
      </c>
      <c r="L96" s="3123" t="s">
        <v>2146</v>
      </c>
      <c r="M96" s="3123" t="s">
        <v>2146</v>
      </c>
      <c r="N96" s="3210" t="s">
        <v>2146</v>
      </c>
    </row>
    <row r="97" spans="2:14" s="83" customFormat="1" ht="18" customHeight="1" x14ac:dyDescent="0.2">
      <c r="B97" s="1276" t="s">
        <v>554</v>
      </c>
      <c r="C97" s="149"/>
      <c r="D97" s="2125"/>
      <c r="E97" s="2125"/>
      <c r="F97" s="2125"/>
      <c r="G97" s="2125"/>
      <c r="H97" s="1909">
        <f>IF(SUM(H99:H101)=0,"NO",SUM(H99:H101))</f>
        <v>160.49409054511213</v>
      </c>
      <c r="I97" s="1909" t="str">
        <f t="shared" ref="I97:N97" si="16">IF(SUM(I99:I101)=0,"NO",SUM(I99:I101))</f>
        <v>NO</v>
      </c>
      <c r="J97" s="1909" t="str">
        <f t="shared" si="16"/>
        <v>NO</v>
      </c>
      <c r="K97" s="3192" t="str">
        <f t="shared" si="16"/>
        <v>NO</v>
      </c>
      <c r="L97" s="1909" t="str">
        <f t="shared" si="16"/>
        <v>NO</v>
      </c>
      <c r="M97" s="1909" t="str">
        <f t="shared" si="16"/>
        <v>NO</v>
      </c>
      <c r="N97" s="420" t="str">
        <f t="shared" si="16"/>
        <v>NO</v>
      </c>
    </row>
    <row r="98" spans="2:14" s="83" customFormat="1" ht="18" customHeight="1" x14ac:dyDescent="0.2">
      <c r="B98" s="1241" t="s">
        <v>203</v>
      </c>
      <c r="C98" s="2110"/>
      <c r="D98" s="2288"/>
      <c r="E98" s="2288"/>
      <c r="F98" s="2288"/>
      <c r="G98" s="2288"/>
      <c r="H98" s="3097"/>
      <c r="I98" s="3097"/>
      <c r="J98" s="3097"/>
      <c r="K98" s="3097"/>
      <c r="L98" s="3097"/>
      <c r="M98" s="3097"/>
      <c r="N98" s="3111"/>
    </row>
    <row r="99" spans="2:14" s="83" customFormat="1" ht="18" customHeight="1" x14ac:dyDescent="0.2">
      <c r="B99" s="287" t="s">
        <v>555</v>
      </c>
      <c r="C99" s="82"/>
      <c r="D99" s="70" t="s">
        <v>2146</v>
      </c>
      <c r="E99" s="276" t="str">
        <f t="shared" ref="E99:G100" si="17">IF(SUM($D99)=0,"NA",H99/$D99)</f>
        <v>NA</v>
      </c>
      <c r="F99" s="276" t="str">
        <f t="shared" si="17"/>
        <v>NA</v>
      </c>
      <c r="G99" s="276" t="str">
        <f t="shared" si="17"/>
        <v>NA</v>
      </c>
      <c r="H99" s="692" t="s">
        <v>2146</v>
      </c>
      <c r="I99" s="692" t="s">
        <v>2146</v>
      </c>
      <c r="J99" s="692" t="s">
        <v>2146</v>
      </c>
      <c r="K99" s="3223" t="s">
        <v>2146</v>
      </c>
      <c r="L99" s="692" t="s">
        <v>2146</v>
      </c>
      <c r="M99" s="692" t="s">
        <v>2146</v>
      </c>
      <c r="N99" s="2919" t="s">
        <v>2146</v>
      </c>
    </row>
    <row r="100" spans="2:14" s="83" customFormat="1" ht="18" customHeight="1" x14ac:dyDescent="0.2">
      <c r="B100" s="287" t="s">
        <v>556</v>
      </c>
      <c r="C100" s="2604" t="s">
        <v>220</v>
      </c>
      <c r="D100" s="277" t="s">
        <v>2184</v>
      </c>
      <c r="E100" s="276" t="str">
        <f t="shared" si="17"/>
        <v>NA</v>
      </c>
      <c r="F100" s="276" t="str">
        <f t="shared" si="17"/>
        <v>NA</v>
      </c>
      <c r="G100" s="276" t="str">
        <f t="shared" si="17"/>
        <v>NA</v>
      </c>
      <c r="H100" s="692">
        <v>160.49409054511213</v>
      </c>
      <c r="I100" s="692" t="s">
        <v>2146</v>
      </c>
      <c r="J100" s="692" t="s">
        <v>2146</v>
      </c>
      <c r="K100" s="3223" t="s">
        <v>2146</v>
      </c>
      <c r="L100" s="692" t="s">
        <v>2146</v>
      </c>
      <c r="M100" s="692" t="s">
        <v>2146</v>
      </c>
      <c r="N100" s="2919" t="s">
        <v>2146</v>
      </c>
    </row>
    <row r="101" spans="2:14" s="83" customFormat="1" ht="18" customHeight="1" x14ac:dyDescent="0.2">
      <c r="B101" s="287" t="s">
        <v>2060</v>
      </c>
      <c r="C101" s="149"/>
      <c r="D101" s="2125"/>
      <c r="E101" s="149"/>
      <c r="F101" s="2125"/>
      <c r="G101" s="2125"/>
      <c r="H101" s="1913" t="str">
        <f>H102</f>
        <v>NO</v>
      </c>
      <c r="I101" s="1913" t="str">
        <f t="shared" ref="I101:N101" si="18">I102</f>
        <v>NO</v>
      </c>
      <c r="J101" s="1913" t="str">
        <f t="shared" si="18"/>
        <v>NO</v>
      </c>
      <c r="K101" s="3199" t="str">
        <f t="shared" si="18"/>
        <v>NO</v>
      </c>
      <c r="L101" s="1913" t="str">
        <f t="shared" si="18"/>
        <v>NO</v>
      </c>
      <c r="M101" s="1913" t="str">
        <f t="shared" si="18"/>
        <v>NO</v>
      </c>
      <c r="N101" s="3085" t="str">
        <f t="shared" si="18"/>
        <v>NO</v>
      </c>
    </row>
    <row r="102" spans="2:14" s="83" customFormat="1" ht="18" customHeight="1" thickBot="1" x14ac:dyDescent="0.25">
      <c r="B102" s="2603" t="s">
        <v>2147</v>
      </c>
      <c r="C102" s="93"/>
      <c r="D102" s="245" t="s">
        <v>2146</v>
      </c>
      <c r="E102" s="511" t="str">
        <f>IF(SUM($D102)=0,"NA",H102/$D102)</f>
        <v>NA</v>
      </c>
      <c r="F102" s="511" t="str">
        <f>IF(SUM($D102)=0,"NA",I102/$D102)</f>
        <v>NA</v>
      </c>
      <c r="G102" s="511" t="str">
        <f>IF(SUM($D102)=0,"NA",J102/$D102)</f>
        <v>NA</v>
      </c>
      <c r="H102" s="3137" t="s">
        <v>2146</v>
      </c>
      <c r="I102" s="3137" t="s">
        <v>2146</v>
      </c>
      <c r="J102" s="3137" t="s">
        <v>2146</v>
      </c>
      <c r="K102" s="3137" t="s">
        <v>2146</v>
      </c>
      <c r="L102" s="3137" t="s">
        <v>2146</v>
      </c>
      <c r="M102" s="3137" t="s">
        <v>2146</v>
      </c>
      <c r="N102" s="3203" t="s">
        <v>2146</v>
      </c>
    </row>
    <row r="103" spans="2:14" ht="12" customHeight="1" x14ac:dyDescent="0.2">
      <c r="B103" s="1"/>
      <c r="C103" s="1"/>
      <c r="D103" s="1"/>
      <c r="E103" s="1"/>
      <c r="F103" s="1"/>
      <c r="G103" s="1"/>
      <c r="H103" s="1"/>
      <c r="I103" s="1"/>
      <c r="J103" s="1"/>
      <c r="K103" s="1"/>
      <c r="L103" s="1"/>
      <c r="M103" s="1"/>
      <c r="N103" s="1"/>
    </row>
    <row r="104" spans="2:14" ht="13.5" x14ac:dyDescent="0.2">
      <c r="B104" s="1050"/>
      <c r="C104" s="1050"/>
      <c r="D104" s="1050"/>
      <c r="E104" s="1050"/>
      <c r="F104" s="1050"/>
      <c r="G104" s="1050"/>
      <c r="H104" s="1050"/>
      <c r="I104" s="1050"/>
      <c r="J104" s="1050"/>
      <c r="K104" s="1050"/>
      <c r="L104" s="1050"/>
      <c r="M104" s="1050"/>
      <c r="N104" s="1050"/>
    </row>
    <row r="105" spans="2:14" ht="13.5" x14ac:dyDescent="0.2">
      <c r="B105" s="994"/>
      <c r="C105" s="994"/>
      <c r="D105" s="994"/>
      <c r="E105" s="994"/>
      <c r="F105" s="994"/>
      <c r="G105" s="994"/>
      <c r="H105" s="994"/>
      <c r="K105" s="994"/>
      <c r="L105" s="994"/>
    </row>
    <row r="106" spans="2:14" ht="13.5" x14ac:dyDescent="0.2">
      <c r="B106" s="994"/>
      <c r="C106" s="994"/>
      <c r="D106" s="994"/>
      <c r="E106" s="994"/>
    </row>
    <row r="107" spans="2:14" ht="13.5" x14ac:dyDescent="0.2">
      <c r="B107" s="994"/>
      <c r="C107" s="994"/>
      <c r="D107" s="994"/>
    </row>
    <row r="108" spans="2:14" ht="13.5" x14ac:dyDescent="0.2">
      <c r="B108" s="1050"/>
      <c r="C108" s="1050"/>
      <c r="D108" s="1050"/>
      <c r="E108" s="1050"/>
      <c r="F108" s="1050"/>
      <c r="G108" s="1050"/>
      <c r="H108" s="1050"/>
      <c r="I108" s="1050"/>
      <c r="J108" s="1049"/>
      <c r="K108" s="1050"/>
      <c r="L108" s="1050"/>
      <c r="M108" s="1050"/>
      <c r="N108" s="1049"/>
    </row>
    <row r="109" spans="2:14" ht="13.5" x14ac:dyDescent="0.2">
      <c r="B109" s="1050"/>
      <c r="C109" s="1050"/>
      <c r="D109" s="1050"/>
      <c r="E109" s="1050"/>
      <c r="F109" s="1050"/>
      <c r="G109" s="1050"/>
      <c r="H109" s="1050"/>
      <c r="I109" s="1050"/>
      <c r="J109" s="1049"/>
      <c r="K109" s="1050"/>
      <c r="L109" s="1050"/>
      <c r="M109" s="1050"/>
      <c r="N109" s="1049"/>
    </row>
    <row r="111" spans="2:14" ht="25.5" customHeight="1" x14ac:dyDescent="0.2"/>
    <row r="112" spans="2:14" ht="25.5" customHeight="1" x14ac:dyDescent="0.2"/>
    <row r="113" spans="2:14" ht="13.5" customHeight="1" x14ac:dyDescent="0.2"/>
    <row r="114" spans="2:14" ht="13.5" customHeight="1" x14ac:dyDescent="0.2"/>
    <row r="115" spans="2:14" ht="13.5" customHeight="1" x14ac:dyDescent="0.2"/>
    <row r="116" spans="2:14" ht="13.5" customHeight="1" x14ac:dyDescent="0.2"/>
    <row r="127" spans="2:14" ht="12" customHeight="1" thickBot="1" x14ac:dyDescent="0.25"/>
    <row r="128" spans="2:14" ht="12" customHeight="1" x14ac:dyDescent="0.2">
      <c r="B128" s="991" t="s">
        <v>118</v>
      </c>
      <c r="C128" s="992"/>
      <c r="D128" s="992"/>
      <c r="E128" s="992"/>
      <c r="F128" s="992"/>
      <c r="G128" s="992"/>
      <c r="H128" s="992"/>
      <c r="I128" s="992"/>
      <c r="J128" s="992"/>
      <c r="K128" s="992"/>
      <c r="L128" s="992"/>
      <c r="M128" s="992"/>
      <c r="N128" s="993"/>
    </row>
    <row r="129" spans="2:14" ht="12" customHeight="1" x14ac:dyDescent="0.2">
      <c r="B129" s="2239"/>
      <c r="C129" s="1042"/>
      <c r="D129" s="1042"/>
      <c r="E129" s="1042"/>
      <c r="F129" s="1042"/>
      <c r="G129" s="1042"/>
      <c r="H129" s="1042"/>
      <c r="I129" s="1042"/>
      <c r="J129" s="1042"/>
      <c r="K129" s="1042"/>
      <c r="L129" s="1042"/>
      <c r="M129" s="1042"/>
      <c r="N129" s="1043"/>
    </row>
    <row r="130" spans="2:14" ht="12" customHeight="1" x14ac:dyDescent="0.2">
      <c r="B130" s="1025"/>
      <c r="C130" s="2240"/>
      <c r="D130" s="2240"/>
      <c r="E130" s="2240"/>
      <c r="F130" s="2240"/>
      <c r="G130" s="2240"/>
      <c r="H130" s="2240"/>
      <c r="I130" s="2240"/>
      <c r="J130" s="2240"/>
      <c r="K130" s="2240"/>
      <c r="L130" s="2240"/>
      <c r="M130" s="2240"/>
      <c r="N130" s="2241"/>
    </row>
    <row r="131" spans="2:14" ht="12" customHeight="1" x14ac:dyDescent="0.2">
      <c r="B131" s="1025"/>
      <c r="C131" s="2240"/>
      <c r="D131" s="2240"/>
      <c r="E131" s="2240"/>
      <c r="F131" s="2240"/>
      <c r="G131" s="2240"/>
      <c r="H131" s="2240"/>
      <c r="I131" s="2240"/>
      <c r="J131" s="2240"/>
      <c r="K131" s="2240"/>
      <c r="L131" s="2240"/>
      <c r="M131" s="2240"/>
      <c r="N131" s="2241"/>
    </row>
    <row r="132" spans="2:14" ht="12" customHeight="1" x14ac:dyDescent="0.2">
      <c r="B132" s="1025"/>
      <c r="C132" s="2240"/>
      <c r="D132" s="2240"/>
      <c r="E132" s="2240"/>
      <c r="F132" s="2240"/>
      <c r="G132" s="2240"/>
      <c r="H132" s="2240"/>
      <c r="I132" s="2240"/>
      <c r="J132" s="2240"/>
      <c r="K132" s="2240"/>
      <c r="L132" s="2240"/>
      <c r="M132" s="2240"/>
      <c r="N132" s="2241"/>
    </row>
    <row r="133" spans="2:14" ht="12" customHeight="1" x14ac:dyDescent="0.2">
      <c r="B133" s="2242"/>
      <c r="C133" s="997"/>
      <c r="D133" s="997"/>
      <c r="E133" s="997"/>
      <c r="F133" s="997"/>
      <c r="G133" s="997"/>
      <c r="H133" s="997"/>
      <c r="I133" s="997"/>
      <c r="J133" s="997"/>
      <c r="K133" s="997"/>
      <c r="L133" s="997"/>
      <c r="M133" s="997"/>
      <c r="N133" s="998"/>
    </row>
    <row r="134" spans="2:14" ht="12" customHeight="1" thickBot="1" x14ac:dyDescent="0.25">
      <c r="B134" s="4468" t="s">
        <v>2261</v>
      </c>
      <c r="C134" s="4469"/>
      <c r="D134" s="4469"/>
      <c r="E134" s="4469"/>
      <c r="F134" s="4469"/>
      <c r="G134" s="4469"/>
      <c r="H134" s="4469"/>
      <c r="I134" s="4469"/>
      <c r="J134" s="4469"/>
      <c r="K134" s="4469"/>
      <c r="L134" s="4469"/>
      <c r="M134" s="4469"/>
      <c r="N134" s="4470"/>
    </row>
  </sheetData>
  <mergeCells count="1">
    <mergeCell ref="B134:N134"/>
  </mergeCells>
  <dataValidations disablePrompts="1" count="1">
    <dataValidation allowBlank="1" showInputMessage="1" showErrorMessage="1" sqref="B83:B85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614</v>
      </c>
      <c r="C1" s="213"/>
      <c r="D1" s="213"/>
      <c r="E1" s="213"/>
      <c r="F1" s="213"/>
      <c r="H1" s="14" t="s">
        <v>2521</v>
      </c>
    </row>
    <row r="2" spans="2:8" ht="15.75" x14ac:dyDescent="0.2">
      <c r="B2" s="3" t="s">
        <v>615</v>
      </c>
      <c r="C2" s="3"/>
      <c r="D2" s="3"/>
      <c r="H2" s="14" t="s">
        <v>2522</v>
      </c>
    </row>
    <row r="3" spans="2:8" ht="15.75" x14ac:dyDescent="0.2">
      <c r="B3" s="3" t="s">
        <v>616</v>
      </c>
      <c r="C3" s="3"/>
      <c r="D3" s="3"/>
      <c r="H3" s="14" t="s">
        <v>2144</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46" t="s">
        <v>64</v>
      </c>
    </row>
    <row r="8" spans="2:8" ht="51.75" customHeight="1" x14ac:dyDescent="0.2">
      <c r="B8" s="90" t="s">
        <v>65</v>
      </c>
      <c r="C8" s="1820" t="s">
        <v>617</v>
      </c>
      <c r="D8" s="1744" t="s">
        <v>327</v>
      </c>
      <c r="E8" s="1817"/>
      <c r="F8" s="2233" t="s">
        <v>618</v>
      </c>
      <c r="G8" s="2233" t="s">
        <v>654</v>
      </c>
      <c r="H8" s="2233" t="s">
        <v>2097</v>
      </c>
    </row>
    <row r="9" spans="2:8" ht="13.5" thickBot="1" x14ac:dyDescent="0.25">
      <c r="B9" s="103"/>
      <c r="C9" s="1813"/>
      <c r="D9" s="1813" t="s">
        <v>619</v>
      </c>
      <c r="E9" s="1813" t="s">
        <v>593</v>
      </c>
      <c r="F9" s="266" t="s">
        <v>620</v>
      </c>
      <c r="G9" s="1821" t="s">
        <v>593</v>
      </c>
      <c r="H9" s="1822" t="s">
        <v>593</v>
      </c>
    </row>
    <row r="10" spans="2:8" ht="18" customHeight="1" thickTop="1" x14ac:dyDescent="0.2">
      <c r="B10" s="102" t="s">
        <v>621</v>
      </c>
      <c r="C10" s="2507"/>
      <c r="D10" s="1823"/>
      <c r="E10" s="1824"/>
      <c r="F10" s="4321"/>
      <c r="G10" s="1909" t="str">
        <f t="shared" ref="G10:H12" si="0">G11</f>
        <v>NO</v>
      </c>
      <c r="H10" s="2612" t="str">
        <f t="shared" si="0"/>
        <v>NO</v>
      </c>
    </row>
    <row r="11" spans="2:8" ht="18" customHeight="1" x14ac:dyDescent="0.2">
      <c r="B11" s="169" t="s">
        <v>596</v>
      </c>
      <c r="C11" s="2507"/>
      <c r="D11" s="1825"/>
      <c r="E11" s="1826"/>
      <c r="F11" s="4322"/>
      <c r="G11" s="1913" t="str">
        <f t="shared" si="0"/>
        <v>NO</v>
      </c>
      <c r="H11" s="2611" t="str">
        <f t="shared" si="0"/>
        <v>NO</v>
      </c>
    </row>
    <row r="12" spans="2:8" ht="18" customHeight="1" x14ac:dyDescent="0.2">
      <c r="B12" s="1169" t="s">
        <v>597</v>
      </c>
      <c r="C12" s="2507"/>
      <c r="D12" s="1825"/>
      <c r="E12" s="1826"/>
      <c r="F12" s="4322"/>
      <c r="G12" s="1913" t="str">
        <f t="shared" si="0"/>
        <v>NO</v>
      </c>
      <c r="H12" s="2611" t="str">
        <f t="shared" si="0"/>
        <v>NO</v>
      </c>
    </row>
    <row r="13" spans="2:8" ht="18" customHeight="1" x14ac:dyDescent="0.2">
      <c r="B13" s="1170" t="s">
        <v>622</v>
      </c>
      <c r="C13" s="2620" t="s">
        <v>559</v>
      </c>
      <c r="D13" s="73" t="s">
        <v>624</v>
      </c>
      <c r="E13" s="2608" t="s">
        <v>2146</v>
      </c>
      <c r="F13" s="4323" t="str">
        <f>IF(SUM(E13)=0,"NA",SUM(G13)*1000/E13)</f>
        <v>NA</v>
      </c>
      <c r="G13" s="691" t="s">
        <v>2146</v>
      </c>
      <c r="H13" s="2610" t="s">
        <v>2146</v>
      </c>
    </row>
    <row r="14" spans="2:8" ht="18" customHeight="1" x14ac:dyDescent="0.2">
      <c r="B14" s="1170" t="s">
        <v>625</v>
      </c>
      <c r="C14" s="2507"/>
      <c r="D14" s="1826"/>
      <c r="E14" s="1826"/>
      <c r="F14" s="4322"/>
      <c r="G14" s="1913" t="str">
        <f>G15</f>
        <v>NO</v>
      </c>
      <c r="H14" s="2611" t="str">
        <f>H15</f>
        <v>NO</v>
      </c>
    </row>
    <row r="15" spans="2:8" ht="18" customHeight="1" x14ac:dyDescent="0.2">
      <c r="B15" s="2609" t="s">
        <v>2147</v>
      </c>
      <c r="C15" s="2507"/>
      <c r="D15" s="74" t="s">
        <v>629</v>
      </c>
      <c r="E15" s="2608" t="s">
        <v>2146</v>
      </c>
      <c r="F15" s="4323" t="str">
        <f>IF(SUM(E15)=0,"NA",SUM(G15)*1000/E15)</f>
        <v>NA</v>
      </c>
      <c r="G15" s="691" t="s">
        <v>2146</v>
      </c>
      <c r="H15" s="2610" t="s">
        <v>2146</v>
      </c>
    </row>
    <row r="16" spans="2:8" ht="18" customHeight="1" x14ac:dyDescent="0.2">
      <c r="B16" s="1169" t="s">
        <v>626</v>
      </c>
      <c r="C16" s="2507"/>
      <c r="D16" s="1825"/>
      <c r="E16" s="1826"/>
      <c r="F16" s="4322"/>
      <c r="G16" s="1913" t="str">
        <f>G17</f>
        <v>NO</v>
      </c>
      <c r="H16" s="2611" t="str">
        <f>H17</f>
        <v>NO</v>
      </c>
    </row>
    <row r="17" spans="2:8" ht="18" customHeight="1" x14ac:dyDescent="0.2">
      <c r="B17" s="1170" t="s">
        <v>627</v>
      </c>
      <c r="C17" s="2507" t="s">
        <v>628</v>
      </c>
      <c r="D17" s="74" t="s">
        <v>629</v>
      </c>
      <c r="E17" s="2608" t="s">
        <v>2146</v>
      </c>
      <c r="F17" s="4323" t="str">
        <f t="shared" ref="F17:F19" si="1">IF(SUM(E17)=0,"NA",SUM(G17)*1000/E17)</f>
        <v>NA</v>
      </c>
      <c r="G17" s="691" t="s">
        <v>2146</v>
      </c>
      <c r="H17" s="2610" t="s">
        <v>2146</v>
      </c>
    </row>
    <row r="18" spans="2:8" ht="18" customHeight="1" x14ac:dyDescent="0.25">
      <c r="B18" s="1170" t="s">
        <v>630</v>
      </c>
      <c r="C18" s="2507" t="s">
        <v>631</v>
      </c>
      <c r="D18" s="74" t="s">
        <v>629</v>
      </c>
      <c r="E18" s="2608" t="s">
        <v>2146</v>
      </c>
      <c r="F18" s="4323" t="str">
        <f t="shared" si="1"/>
        <v>NA</v>
      </c>
      <c r="G18" s="691" t="s">
        <v>2146</v>
      </c>
      <c r="H18" s="2610" t="s">
        <v>2146</v>
      </c>
    </row>
    <row r="19" spans="2:8" ht="18" customHeight="1" x14ac:dyDescent="0.25">
      <c r="B19" s="1170" t="s">
        <v>632</v>
      </c>
      <c r="C19" s="2507" t="s">
        <v>633</v>
      </c>
      <c r="D19" s="74" t="s">
        <v>629</v>
      </c>
      <c r="E19" s="2608" t="s">
        <v>2146</v>
      </c>
      <c r="F19" s="4323" t="str">
        <f t="shared" si="1"/>
        <v>NA</v>
      </c>
      <c r="G19" s="691" t="s">
        <v>2146</v>
      </c>
      <c r="H19" s="2610" t="s">
        <v>2146</v>
      </c>
    </row>
    <row r="20" spans="2:8" ht="18" customHeight="1" x14ac:dyDescent="0.2">
      <c r="B20" s="1170" t="s">
        <v>634</v>
      </c>
      <c r="C20" s="2507"/>
      <c r="D20" s="75"/>
      <c r="E20" s="75"/>
      <c r="F20" s="4322"/>
      <c r="G20" s="1913" t="str">
        <f>G21</f>
        <v>NO</v>
      </c>
      <c r="H20" s="2611" t="str">
        <f>H21</f>
        <v>NO</v>
      </c>
    </row>
    <row r="21" spans="2:8" ht="18" customHeight="1" x14ac:dyDescent="0.2">
      <c r="B21" s="2609" t="s">
        <v>2147</v>
      </c>
      <c r="C21" s="2507"/>
      <c r="D21" s="74" t="s">
        <v>629</v>
      </c>
      <c r="E21" s="2608" t="s">
        <v>2146</v>
      </c>
      <c r="F21" s="4323" t="str">
        <f>IF(SUM(E21)=0,"NA",SUM(G21)*1000/E21)</f>
        <v>NA</v>
      </c>
      <c r="G21" s="691" t="s">
        <v>2146</v>
      </c>
      <c r="H21" s="2610" t="s">
        <v>2146</v>
      </c>
    </row>
    <row r="22" spans="2:8" ht="18" customHeight="1" x14ac:dyDescent="0.2">
      <c r="B22" s="89" t="s">
        <v>635</v>
      </c>
      <c r="C22" s="2507"/>
      <c r="D22" s="1828"/>
      <c r="E22" s="1829"/>
      <c r="F22" s="4322"/>
      <c r="G22" s="3188">
        <f>IF(SUM(G23,G28,G29)=0,"NO",SUM(G23,G28,G29))</f>
        <v>86.500160967344002</v>
      </c>
      <c r="H22" s="2611" t="str">
        <f>H23</f>
        <v>NO</v>
      </c>
    </row>
    <row r="23" spans="2:8" ht="18" customHeight="1" x14ac:dyDescent="0.2">
      <c r="B23" s="169" t="s">
        <v>636</v>
      </c>
      <c r="C23" s="2507"/>
      <c r="D23" s="76"/>
      <c r="E23" s="76"/>
      <c r="F23" s="4322"/>
      <c r="G23" s="3188">
        <f>IF(SUM(G24,G27)=0,"NO",SUM(G24,G27))</f>
        <v>86.500160967344002</v>
      </c>
      <c r="H23" s="2611" t="str">
        <f>H24</f>
        <v>NO</v>
      </c>
    </row>
    <row r="24" spans="2:8" ht="18" customHeight="1" x14ac:dyDescent="0.2">
      <c r="B24" s="171" t="s">
        <v>637</v>
      </c>
      <c r="C24" s="2507"/>
      <c r="D24" s="76"/>
      <c r="E24" s="76"/>
      <c r="F24" s="4322"/>
      <c r="G24" s="3188">
        <f>IF(SUM(G25:G26)=0,"NO",SUM(G25:G26))</f>
        <v>86.500160967344002</v>
      </c>
      <c r="H24" s="2611" t="str">
        <f>H25</f>
        <v>NO</v>
      </c>
    </row>
    <row r="25" spans="2:8" ht="18" customHeight="1" x14ac:dyDescent="0.25">
      <c r="B25" s="2609" t="s">
        <v>1741</v>
      </c>
      <c r="C25" s="2620" t="s">
        <v>1741</v>
      </c>
      <c r="D25" s="73" t="s">
        <v>638</v>
      </c>
      <c r="E25" s="691">
        <v>1912000</v>
      </c>
      <c r="F25" s="4320">
        <f t="shared" ref="F25:F28" si="2">IF(SUM(E25)=0,"NA",G25*1000/E25)</f>
        <v>4.0040592954999996E-2</v>
      </c>
      <c r="G25" s="691">
        <v>76.557613729959996</v>
      </c>
      <c r="H25" s="2610" t="s">
        <v>2146</v>
      </c>
    </row>
    <row r="26" spans="2:8" ht="18" customHeight="1" x14ac:dyDescent="0.25">
      <c r="B26" s="2609" t="s">
        <v>1742</v>
      </c>
      <c r="C26" s="2620" t="s">
        <v>1742</v>
      </c>
      <c r="D26" s="73" t="s">
        <v>638</v>
      </c>
      <c r="E26" s="691">
        <v>1912000</v>
      </c>
      <c r="F26" s="4320">
        <f t="shared" si="2"/>
        <v>5.2000770070000013E-3</v>
      </c>
      <c r="G26" s="691">
        <v>9.9425472373840016</v>
      </c>
      <c r="H26" s="2610" t="s">
        <v>2146</v>
      </c>
    </row>
    <row r="27" spans="2:8" ht="18" customHeight="1" x14ac:dyDescent="0.2">
      <c r="B27" s="171" t="s">
        <v>639</v>
      </c>
      <c r="C27" s="2507"/>
      <c r="D27" s="1830"/>
      <c r="E27" s="1831" t="s">
        <v>2146</v>
      </c>
      <c r="F27" s="4320" t="str">
        <f t="shared" si="2"/>
        <v>NA</v>
      </c>
      <c r="G27" s="3189" t="s">
        <v>2146</v>
      </c>
      <c r="H27" s="2610" t="s">
        <v>2146</v>
      </c>
    </row>
    <row r="28" spans="2:8" ht="18" customHeight="1" x14ac:dyDescent="0.2">
      <c r="B28" s="169" t="s">
        <v>640</v>
      </c>
      <c r="C28" s="2620" t="s">
        <v>2193</v>
      </c>
      <c r="D28" s="1830" t="s">
        <v>2292</v>
      </c>
      <c r="E28" s="4211" t="s">
        <v>2146</v>
      </c>
      <c r="F28" s="4320" t="str">
        <f t="shared" si="2"/>
        <v>NA</v>
      </c>
      <c r="G28" s="691" t="s">
        <v>2146</v>
      </c>
      <c r="H28" s="2610" t="s">
        <v>2146</v>
      </c>
    </row>
    <row r="29" spans="2:8" ht="18" customHeight="1" x14ac:dyDescent="0.2">
      <c r="B29" s="169" t="s">
        <v>536</v>
      </c>
      <c r="C29" s="2507"/>
      <c r="D29" s="1832"/>
      <c r="E29" s="1833"/>
      <c r="F29" s="4322"/>
      <c r="G29" s="3188" t="s">
        <v>2146</v>
      </c>
      <c r="H29" s="2611" t="s">
        <v>2146</v>
      </c>
    </row>
    <row r="30" spans="2:8" ht="18" customHeight="1" x14ac:dyDescent="0.2">
      <c r="B30" s="1242" t="s">
        <v>203</v>
      </c>
      <c r="C30" s="2507"/>
      <c r="D30" s="2390"/>
      <c r="E30" s="2391"/>
      <c r="F30" s="3190"/>
      <c r="G30" s="3190"/>
      <c r="H30" s="2392"/>
    </row>
    <row r="31" spans="2:8" ht="18" customHeight="1" x14ac:dyDescent="0.2">
      <c r="B31" s="1170" t="s">
        <v>537</v>
      </c>
      <c r="C31" s="2507"/>
      <c r="D31" s="1830"/>
      <c r="E31" s="2608" t="s">
        <v>2146</v>
      </c>
      <c r="F31" s="4320" t="str">
        <f>IF(SUM(E31)=0,"NA",G31*1000/E31)</f>
        <v>NA</v>
      </c>
      <c r="G31" s="691" t="s">
        <v>2146</v>
      </c>
      <c r="H31" s="2610" t="s">
        <v>2146</v>
      </c>
    </row>
    <row r="32" spans="2:8" ht="18" customHeight="1" x14ac:dyDescent="0.2">
      <c r="B32" s="2421" t="s">
        <v>641</v>
      </c>
      <c r="C32" s="2507"/>
      <c r="D32" s="1832"/>
      <c r="E32" s="1833"/>
      <c r="F32" s="4322"/>
      <c r="G32" s="3188" t="s">
        <v>2146</v>
      </c>
      <c r="H32" s="2611" t="s">
        <v>2146</v>
      </c>
    </row>
    <row r="33" spans="2:8" ht="18" customHeight="1" x14ac:dyDescent="0.2">
      <c r="B33" s="2609" t="s">
        <v>2185</v>
      </c>
      <c r="C33" s="2507"/>
      <c r="D33" s="1830"/>
      <c r="E33" s="2608" t="s">
        <v>2146</v>
      </c>
      <c r="F33" s="4323" t="str">
        <f>IF(SUM(E33)=0,"NA",SUM(G33)*1000/E33)</f>
        <v>NA</v>
      </c>
      <c r="G33" s="691" t="s">
        <v>2146</v>
      </c>
      <c r="H33" s="2610" t="s">
        <v>2146</v>
      </c>
    </row>
    <row r="34" spans="2:8" ht="18" customHeight="1" x14ac:dyDescent="0.2">
      <c r="B34" s="89" t="s">
        <v>642</v>
      </c>
      <c r="C34" s="2507"/>
      <c r="D34" s="75"/>
      <c r="E34" s="75"/>
      <c r="F34" s="4322"/>
      <c r="G34" s="3188" t="s">
        <v>2146</v>
      </c>
      <c r="H34" s="2611" t="s">
        <v>2146</v>
      </c>
    </row>
    <row r="35" spans="2:8" ht="18" customHeight="1" x14ac:dyDescent="0.2">
      <c r="B35" s="170" t="s">
        <v>547</v>
      </c>
      <c r="C35" s="2507" t="s">
        <v>643</v>
      </c>
      <c r="D35" s="144" t="s">
        <v>644</v>
      </c>
      <c r="E35" s="2608" t="s">
        <v>2146</v>
      </c>
      <c r="F35" s="4323" t="str">
        <f t="shared" ref="F35:F38" si="3">IF(SUM(E35)=0,"NA",SUM(G35)*1000/E35)</f>
        <v>NA</v>
      </c>
      <c r="G35" s="691" t="s">
        <v>2146</v>
      </c>
      <c r="H35" s="2610" t="s">
        <v>2146</v>
      </c>
    </row>
    <row r="36" spans="2:8" ht="18" customHeight="1" x14ac:dyDescent="0.2">
      <c r="B36" s="170" t="s">
        <v>548</v>
      </c>
      <c r="C36" s="2507" t="s">
        <v>645</v>
      </c>
      <c r="D36" s="144" t="s">
        <v>644</v>
      </c>
      <c r="E36" s="2608" t="s">
        <v>2146</v>
      </c>
      <c r="F36" s="4323" t="str">
        <f t="shared" si="3"/>
        <v>NA</v>
      </c>
      <c r="G36" s="691" t="s">
        <v>2146</v>
      </c>
      <c r="H36" s="2610" t="s">
        <v>2146</v>
      </c>
    </row>
    <row r="37" spans="2:8" ht="18" customHeight="1" x14ac:dyDescent="0.2">
      <c r="B37" s="170" t="s">
        <v>601</v>
      </c>
      <c r="C37" s="2507" t="s">
        <v>2098</v>
      </c>
      <c r="D37" s="144" t="s">
        <v>644</v>
      </c>
      <c r="E37" s="2608" t="s">
        <v>2146</v>
      </c>
      <c r="F37" s="4323" t="str">
        <f t="shared" si="3"/>
        <v>NA</v>
      </c>
      <c r="G37" s="691" t="s">
        <v>2146</v>
      </c>
      <c r="H37" s="2610" t="s">
        <v>2146</v>
      </c>
    </row>
    <row r="38" spans="2:8" ht="18" customHeight="1" x14ac:dyDescent="0.2">
      <c r="B38" s="170" t="s">
        <v>602</v>
      </c>
      <c r="C38" s="2507" t="s">
        <v>646</v>
      </c>
      <c r="D38" s="144" t="s">
        <v>644</v>
      </c>
      <c r="E38" s="2608" t="s">
        <v>2146</v>
      </c>
      <c r="F38" s="4323" t="str">
        <f t="shared" si="3"/>
        <v>NA</v>
      </c>
      <c r="G38" s="691" t="s">
        <v>2146</v>
      </c>
      <c r="H38" s="2610" t="s">
        <v>2146</v>
      </c>
    </row>
    <row r="39" spans="2:8" ht="18" customHeight="1" x14ac:dyDescent="0.2">
      <c r="B39" s="170" t="s">
        <v>647</v>
      </c>
      <c r="C39" s="2507"/>
      <c r="D39" s="145"/>
      <c r="E39" s="107"/>
      <c r="F39" s="4324"/>
      <c r="G39" s="3188" t="s">
        <v>2146</v>
      </c>
      <c r="H39" s="2611" t="s">
        <v>2146</v>
      </c>
    </row>
    <row r="40" spans="2:8" ht="18" customHeight="1" x14ac:dyDescent="0.2">
      <c r="B40" s="1242" t="s">
        <v>203</v>
      </c>
      <c r="C40" s="2507"/>
      <c r="D40" s="2390"/>
      <c r="E40" s="2391"/>
      <c r="F40" s="3190"/>
      <c r="G40" s="3190"/>
      <c r="H40" s="2392"/>
    </row>
    <row r="41" spans="2:8" ht="18" customHeight="1" x14ac:dyDescent="0.2">
      <c r="B41" s="2422" t="s">
        <v>648</v>
      </c>
      <c r="C41" s="2507"/>
      <c r="D41" s="2389" t="s">
        <v>644</v>
      </c>
      <c r="E41" s="2608" t="s">
        <v>2146</v>
      </c>
      <c r="F41" s="4323" t="str">
        <f>IF(SUM(E41)=0,"NA",SUM(G41)*1000/E41)</f>
        <v>NA</v>
      </c>
      <c r="G41" s="691" t="s">
        <v>2146</v>
      </c>
      <c r="H41" s="2610" t="s">
        <v>2146</v>
      </c>
    </row>
    <row r="42" spans="2:8" ht="18" customHeight="1" x14ac:dyDescent="0.2">
      <c r="B42" s="2421" t="s">
        <v>649</v>
      </c>
      <c r="C42" s="2507"/>
      <c r="D42" s="145"/>
      <c r="E42" s="107"/>
      <c r="F42" s="4324"/>
      <c r="G42" s="3188" t="s">
        <v>2146</v>
      </c>
      <c r="H42" s="2611" t="s">
        <v>2146</v>
      </c>
    </row>
    <row r="43" spans="2:8" ht="18" customHeight="1" thickBot="1" x14ac:dyDescent="0.25">
      <c r="B43" s="2613" t="s">
        <v>2147</v>
      </c>
      <c r="C43" s="2512"/>
      <c r="D43" s="146" t="s">
        <v>644</v>
      </c>
      <c r="E43" s="2614" t="s">
        <v>2146</v>
      </c>
      <c r="F43" s="4325" t="str">
        <f>IF(SUM(E43)=0,"NA",SUM(G43)*1000/E43)</f>
        <v>NA</v>
      </c>
      <c r="G43" s="1559" t="s">
        <v>2146</v>
      </c>
      <c r="H43" s="2615" t="s">
        <v>2146</v>
      </c>
    </row>
    <row r="44" spans="2:8" x14ac:dyDescent="0.2">
      <c r="B44" s="1993"/>
    </row>
    <row r="45" spans="2:8" x14ac:dyDescent="0.2">
      <c r="B45" s="2015"/>
      <c r="C45" s="2015"/>
    </row>
    <row r="47" spans="2:8" ht="13.5" x14ac:dyDescent="0.2">
      <c r="B47" s="72"/>
    </row>
  </sheetData>
  <phoneticPr fontId="49" type="noConversion"/>
  <dataValidations count="1">
    <dataValidation allowBlank="1" showInputMessage="1" showErrorMessage="1" sqref="B31:B39 B8:D8 B1:B6 C2:D6 H8:H9 B41:B44 H40 H1:H6 D10:D22 C10:C43 B10:B29 H30 E9:E22 D25:E43 F8:G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B6" sqref="B6"/>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6.42578125" customWidth="1"/>
    <col min="8" max="9" width="12.140625" customWidth="1"/>
    <col min="10" max="10" width="15.42578125" customWidth="1"/>
    <col min="11" max="12" width="12.140625" customWidth="1"/>
    <col min="13" max="13" width="12.85546875" customWidth="1"/>
  </cols>
  <sheetData>
    <row r="1" spans="1:13" ht="15.75" x14ac:dyDescent="0.2">
      <c r="B1" s="213" t="s">
        <v>614</v>
      </c>
      <c r="C1" s="213"/>
      <c r="D1" s="213"/>
      <c r="E1" s="213"/>
      <c r="F1" s="213"/>
      <c r="G1" s="213"/>
      <c r="H1" s="226"/>
      <c r="M1" s="14" t="s">
        <v>2521</v>
      </c>
    </row>
    <row r="2" spans="1:13" ht="15.75" x14ac:dyDescent="0.2">
      <c r="B2" s="3" t="s">
        <v>615</v>
      </c>
      <c r="C2" s="3"/>
      <c r="D2" s="3"/>
      <c r="H2" s="226"/>
      <c r="M2" s="14" t="s">
        <v>2522</v>
      </c>
    </row>
    <row r="3" spans="1:13" ht="15.75" x14ac:dyDescent="0.2">
      <c r="B3" s="3" t="s">
        <v>650</v>
      </c>
      <c r="C3" s="3"/>
      <c r="D3" s="3"/>
      <c r="H3" s="226"/>
      <c r="M3" s="14" t="s">
        <v>2144</v>
      </c>
    </row>
    <row r="4" spans="1:13" ht="12" customHeight="1" x14ac:dyDescent="0.2">
      <c r="B4" s="3"/>
      <c r="C4" s="3"/>
      <c r="D4" s="3"/>
      <c r="H4" s="226"/>
      <c r="M4" s="226"/>
    </row>
    <row r="5" spans="1:13" ht="12" hidden="1" customHeight="1" x14ac:dyDescent="0.2">
      <c r="A5" t="s">
        <v>1933</v>
      </c>
      <c r="B5" s="3"/>
      <c r="C5" s="3"/>
      <c r="D5" s="3"/>
      <c r="H5" s="226"/>
      <c r="M5" s="226"/>
    </row>
    <row r="6" spans="1:13" ht="13.5" thickBot="1" x14ac:dyDescent="0.25">
      <c r="B6" s="2446" t="s">
        <v>64</v>
      </c>
    </row>
    <row r="7" spans="1:13" ht="25.5" x14ac:dyDescent="0.2">
      <c r="B7" s="45" t="s">
        <v>65</v>
      </c>
      <c r="C7" s="431" t="s">
        <v>651</v>
      </c>
      <c r="D7" s="1885" t="s">
        <v>652</v>
      </c>
      <c r="E7" s="1816"/>
      <c r="F7" s="1817"/>
      <c r="G7" s="177" t="s">
        <v>653</v>
      </c>
      <c r="H7" s="178"/>
      <c r="I7" s="178"/>
      <c r="J7" s="177" t="s">
        <v>654</v>
      </c>
      <c r="K7" s="178"/>
      <c r="L7" s="178"/>
      <c r="M7" s="258" t="s">
        <v>2097</v>
      </c>
    </row>
    <row r="8" spans="1:13" ht="71.25" customHeight="1" x14ac:dyDescent="0.2">
      <c r="B8" s="259"/>
      <c r="C8" s="1706"/>
      <c r="D8" s="81" t="s">
        <v>655</v>
      </c>
      <c r="E8" s="81" t="s">
        <v>656</v>
      </c>
      <c r="F8" s="434" t="s">
        <v>657</v>
      </c>
      <c r="G8" s="92" t="s">
        <v>658</v>
      </c>
      <c r="H8" s="92" t="s">
        <v>659</v>
      </c>
      <c r="I8" s="1769" t="s">
        <v>660</v>
      </c>
      <c r="J8" s="92" t="s">
        <v>661</v>
      </c>
      <c r="K8" s="92" t="s">
        <v>662</v>
      </c>
      <c r="L8" s="1769" t="s">
        <v>663</v>
      </c>
      <c r="M8" s="1746"/>
    </row>
    <row r="9" spans="1:13" ht="12" customHeight="1" thickBot="1" x14ac:dyDescent="0.25">
      <c r="B9" s="1818"/>
      <c r="C9" s="1819"/>
      <c r="D9" s="1748" t="s">
        <v>664</v>
      </c>
      <c r="E9" s="344"/>
      <c r="F9" s="1772"/>
      <c r="G9" s="1748" t="s">
        <v>665</v>
      </c>
      <c r="H9" s="344"/>
      <c r="I9" s="1772"/>
      <c r="J9" s="1748" t="s">
        <v>593</v>
      </c>
      <c r="K9" s="344"/>
      <c r="L9" s="344"/>
      <c r="M9" s="345"/>
    </row>
    <row r="10" spans="1:13" ht="18" customHeight="1" thickTop="1" x14ac:dyDescent="0.2">
      <c r="B10" s="94" t="s">
        <v>666</v>
      </c>
      <c r="C10" s="2508"/>
      <c r="D10" s="2136"/>
      <c r="E10" s="2136"/>
      <c r="F10" s="2136"/>
      <c r="G10" s="2136"/>
      <c r="H10" s="2136"/>
      <c r="I10" s="2136"/>
      <c r="J10" s="3224">
        <f>IF(SUM(J11,J90,J117,J130,J146,J159)=0,"NO",SUM(J11,J90,J117,J130,J146,J159))</f>
        <v>32.86620688304037</v>
      </c>
      <c r="K10" s="3224">
        <f>IF(SUM(K11,K90,K117,K130,K146,K159)=0,"NO",SUM(K11,K90,K117,K130,K146,K159))</f>
        <v>1693.3099801556589</v>
      </c>
      <c r="L10" s="3225">
        <f>IF(SUM(L11,L90,L117,L130,L146,L159)=0,"NO",SUM(L11,L90,L117,L130,L146,L159))</f>
        <v>387.26136740491478</v>
      </c>
      <c r="M10" s="3498">
        <f>IF(SUM(M11,M90,M117,M130,M146,M159)=0,"NO",SUM(M11,M90,M117,M130,M146,M159))</f>
        <v>-168.19146853836685</v>
      </c>
    </row>
    <row r="11" spans="1:13" ht="18" customHeight="1" x14ac:dyDescent="0.2">
      <c r="B11" s="147" t="s">
        <v>667</v>
      </c>
      <c r="C11" s="2508"/>
      <c r="D11" s="2108"/>
      <c r="E11" s="2108"/>
      <c r="F11" s="2108"/>
      <c r="G11" s="2108"/>
      <c r="H11" s="2108"/>
      <c r="I11" s="2108"/>
      <c r="J11" s="3103">
        <f>IF(SUM(J12,J25,J38,J51,J64,J77)=0,"NO",SUM(J12,J25,J38,J51,J64,J77))</f>
        <v>19.148942868210241</v>
      </c>
      <c r="K11" s="3103">
        <f t="shared" ref="K11:M11" si="0">IF(SUM(K12,K25,K38,K51,K64,K77)=0,"NO",SUM(K12,K25,K38,K51,K64,K77))</f>
        <v>1594.0128128526314</v>
      </c>
      <c r="L11" s="3103">
        <f t="shared" si="0"/>
        <v>366.94544908799355</v>
      </c>
      <c r="M11" s="3226">
        <f t="shared" si="0"/>
        <v>-162.48765208055664</v>
      </c>
    </row>
    <row r="12" spans="1:13" ht="18" customHeight="1" x14ac:dyDescent="0.2">
      <c r="B12" s="104" t="s">
        <v>668</v>
      </c>
      <c r="C12" s="2508"/>
      <c r="D12" s="2108"/>
      <c r="E12" s="2108"/>
      <c r="F12" s="2108"/>
      <c r="G12" s="2108"/>
      <c r="H12" s="2108"/>
      <c r="I12" s="2108"/>
      <c r="J12" s="3103">
        <f>IF(SUM(J13:J24)=0,"NO",SUM(J13:J24))</f>
        <v>11.439111317636812</v>
      </c>
      <c r="K12" s="3103">
        <f>IF(SUM(K13:K24)=0,"NO",SUM(K13:K24))</f>
        <v>873.45016861013119</v>
      </c>
      <c r="L12" s="3103">
        <f>IF(SUM(L13:L24)=0,"NO",SUM(L13:L24))</f>
        <v>98.69049212422965</v>
      </c>
      <c r="M12" s="3226">
        <f>IF(SUM(M13:M24)=0,"NO",SUM(M13:M24))</f>
        <v>-37.73658229109526</v>
      </c>
    </row>
    <row r="13" spans="1:13" ht="18" customHeight="1" x14ac:dyDescent="0.2">
      <c r="B13" s="2616" t="s">
        <v>559</v>
      </c>
      <c r="C13" s="2618" t="s">
        <v>559</v>
      </c>
      <c r="D13" s="3227" t="s">
        <v>2146</v>
      </c>
      <c r="E13" s="3227" t="s">
        <v>2146</v>
      </c>
      <c r="F13" s="3227" t="s">
        <v>2146</v>
      </c>
      <c r="G13" s="3103" t="str">
        <f>IF(SUM(D13)=0,"NA",J13/D13)</f>
        <v>NA</v>
      </c>
      <c r="H13" s="3103" t="str">
        <f>IF(SUM(E13)=0,"NA",K13/E13)</f>
        <v>NA</v>
      </c>
      <c r="I13" s="3103" t="str">
        <f>IF(SUM(F13)=0,"NA",(SUM(L13:M13))/F13)</f>
        <v>NA</v>
      </c>
      <c r="J13" s="3227" t="s">
        <v>2146</v>
      </c>
      <c r="K13" s="3227" t="s">
        <v>2146</v>
      </c>
      <c r="L13" s="3227" t="s">
        <v>2146</v>
      </c>
      <c r="M13" s="3497" t="s">
        <v>2146</v>
      </c>
    </row>
    <row r="14" spans="1:13" ht="18" customHeight="1" x14ac:dyDescent="0.2">
      <c r="B14" s="2616" t="s">
        <v>560</v>
      </c>
      <c r="C14" s="2618" t="s">
        <v>560</v>
      </c>
      <c r="D14" s="3227">
        <v>13.841890719065162</v>
      </c>
      <c r="E14" s="3227">
        <v>134.26559919074663</v>
      </c>
      <c r="F14" s="3227">
        <v>2.8954063806842845</v>
      </c>
      <c r="G14" s="3103">
        <f t="shared" ref="G14:G24" si="1">IF(SUM(D14)=0,"NA",J14/D14)</f>
        <v>1.7500000000000005E-2</v>
      </c>
      <c r="H14" s="3103">
        <f t="shared" ref="H14:H24" si="2">IF(SUM(E14)=0,"NA",K14/E14)</f>
        <v>0.13775727941990157</v>
      </c>
      <c r="I14" s="3103">
        <f t="shared" ref="I14:I78" si="3">IF(SUM(F14)=0,"NA",(SUM(L14:M14))/F14)</f>
        <v>0.44579297432979054</v>
      </c>
      <c r="J14" s="3227">
        <v>0.2422330875836404</v>
      </c>
      <c r="K14" s="3227">
        <v>18.496063664200193</v>
      </c>
      <c r="L14" s="3227">
        <v>2.093079101511492</v>
      </c>
      <c r="M14" s="3497">
        <v>-0.80232727917279123</v>
      </c>
    </row>
    <row r="15" spans="1:13" ht="18" customHeight="1" x14ac:dyDescent="0.2">
      <c r="B15" s="2616" t="s">
        <v>562</v>
      </c>
      <c r="C15" s="2618" t="s">
        <v>562</v>
      </c>
      <c r="D15" s="3227" t="s">
        <v>2146</v>
      </c>
      <c r="E15" s="3227" t="s">
        <v>2146</v>
      </c>
      <c r="F15" s="3227" t="s">
        <v>2146</v>
      </c>
      <c r="G15" s="3103" t="str">
        <f t="shared" ref="G15" si="4">IF(SUM(D15)=0,"NA",J15/D15)</f>
        <v>NA</v>
      </c>
      <c r="H15" s="3103" t="str">
        <f t="shared" ref="H15" si="5">IF(SUM(E15)=0,"NA",K15/E15)</f>
        <v>NA</v>
      </c>
      <c r="I15" s="3103" t="str">
        <f t="shared" si="3"/>
        <v>NA</v>
      </c>
      <c r="J15" s="3227" t="s">
        <v>2146</v>
      </c>
      <c r="K15" s="3227" t="s">
        <v>2146</v>
      </c>
      <c r="L15" s="3227" t="s">
        <v>2146</v>
      </c>
      <c r="M15" s="3497" t="s">
        <v>2146</v>
      </c>
    </row>
    <row r="16" spans="1:13" ht="18" customHeight="1" x14ac:dyDescent="0.2">
      <c r="B16" s="2616" t="s">
        <v>563</v>
      </c>
      <c r="C16" s="2618" t="s">
        <v>563</v>
      </c>
      <c r="D16" s="3227">
        <v>95.952487722171526</v>
      </c>
      <c r="E16" s="3227">
        <v>930.73399576226404</v>
      </c>
      <c r="F16" s="3227">
        <v>20.071061882510591</v>
      </c>
      <c r="G16" s="3103">
        <f t="shared" si="1"/>
        <v>1.7499999999999998E-2</v>
      </c>
      <c r="H16" s="3103">
        <f t="shared" si="2"/>
        <v>0.13775727941990157</v>
      </c>
      <c r="I16" s="3103">
        <f t="shared" si="3"/>
        <v>0.44579297432979015</v>
      </c>
      <c r="J16" s="3227">
        <v>1.6791685351380017</v>
      </c>
      <c r="K16" s="3227">
        <v>128.21538311982368</v>
      </c>
      <c r="L16" s="3227">
        <v>14.509300128536125</v>
      </c>
      <c r="M16" s="3497">
        <v>-5.5617617539744506</v>
      </c>
    </row>
    <row r="17" spans="2:13" ht="18" customHeight="1" x14ac:dyDescent="0.2">
      <c r="B17" s="2616" t="s">
        <v>564</v>
      </c>
      <c r="C17" s="2618" t="s">
        <v>564</v>
      </c>
      <c r="D17" s="3227">
        <v>0.20490259782588319</v>
      </c>
      <c r="E17" s="3227">
        <v>1.9875442330244613</v>
      </c>
      <c r="F17" s="3227">
        <v>4.2860928554124281E-2</v>
      </c>
      <c r="G17" s="3103">
        <f t="shared" si="1"/>
        <v>1.7500000000000002E-2</v>
      </c>
      <c r="H17" s="3103">
        <f t="shared" si="2"/>
        <v>0.13775727941990157</v>
      </c>
      <c r="I17" s="3103">
        <f t="shared" si="3"/>
        <v>0.44579297432979093</v>
      </c>
      <c r="J17" s="3227">
        <v>3.5857954619529561E-3</v>
      </c>
      <c r="K17" s="3227">
        <v>0.27379868626816467</v>
      </c>
      <c r="L17" s="3227">
        <v>3.0984014688402006E-2</v>
      </c>
      <c r="M17" s="3497">
        <v>-1.1876913865722278E-2</v>
      </c>
    </row>
    <row r="18" spans="2:13" ht="18" customHeight="1" x14ac:dyDescent="0.2">
      <c r="B18" s="2616" t="s">
        <v>565</v>
      </c>
      <c r="C18" s="2618" t="s">
        <v>565</v>
      </c>
      <c r="D18" s="3227">
        <v>409.98338779546191</v>
      </c>
      <c r="E18" s="3227">
        <v>3976.8169203063617</v>
      </c>
      <c r="F18" s="3227">
        <v>85.759130821812363</v>
      </c>
      <c r="G18" s="3103">
        <f t="shared" si="1"/>
        <v>1.7500000000000002E-2</v>
      </c>
      <c r="H18" s="3103">
        <f t="shared" si="2"/>
        <v>0.13775727941990154</v>
      </c>
      <c r="I18" s="3103">
        <f t="shared" si="3"/>
        <v>0.44579297432979026</v>
      </c>
      <c r="J18" s="3227">
        <v>7.1747092864205841</v>
      </c>
      <c r="K18" s="3227">
        <v>547.8354796924358</v>
      </c>
      <c r="L18" s="3227">
        <v>61.994974413402815</v>
      </c>
      <c r="M18" s="3497">
        <v>-23.764156408409491</v>
      </c>
    </row>
    <row r="19" spans="2:13" ht="18" customHeight="1" x14ac:dyDescent="0.2">
      <c r="B19" s="2616" t="s">
        <v>567</v>
      </c>
      <c r="C19" s="2618" t="s">
        <v>567</v>
      </c>
      <c r="D19" s="3227">
        <v>102.81252431308008</v>
      </c>
      <c r="E19" s="3227">
        <v>997.27598356167277</v>
      </c>
      <c r="F19" s="3227">
        <v>21.506024354052602</v>
      </c>
      <c r="G19" s="3103">
        <f t="shared" si="1"/>
        <v>1.7500000000000002E-2</v>
      </c>
      <c r="H19" s="3103">
        <f t="shared" si="2"/>
        <v>0.13775727941990154</v>
      </c>
      <c r="I19" s="3103">
        <f t="shared" si="3"/>
        <v>0.44579297432979031</v>
      </c>
      <c r="J19" s="3227">
        <v>1.7992191754789015</v>
      </c>
      <c r="K19" s="3227">
        <v>137.38202632626249</v>
      </c>
      <c r="L19" s="3227">
        <v>15.546629458427304</v>
      </c>
      <c r="M19" s="3497">
        <v>-5.9593948956252882</v>
      </c>
    </row>
    <row r="20" spans="2:13" ht="18" customHeight="1" x14ac:dyDescent="0.2">
      <c r="B20" s="2616" t="s">
        <v>569</v>
      </c>
      <c r="C20" s="2618" t="s">
        <v>569</v>
      </c>
      <c r="D20" s="3227">
        <v>8.9013771652862221</v>
      </c>
      <c r="E20" s="3227">
        <v>86.342882123310162</v>
      </c>
      <c r="F20" s="3227">
        <v>1.8619641466861507</v>
      </c>
      <c r="G20" s="3103">
        <f t="shared" si="1"/>
        <v>1.7500000000000002E-2</v>
      </c>
      <c r="H20" s="3103">
        <f t="shared" si="2"/>
        <v>0.13775727941990157</v>
      </c>
      <c r="I20" s="3103">
        <f t="shared" si="3"/>
        <v>0.44579297432979104</v>
      </c>
      <c r="J20" s="3227">
        <v>0.15577410039250891</v>
      </c>
      <c r="K20" s="3227">
        <v>11.894360538580461</v>
      </c>
      <c r="L20" s="3227">
        <v>1.2929853799926985</v>
      </c>
      <c r="M20" s="3497">
        <v>-0.46293484494604797</v>
      </c>
    </row>
    <row r="21" spans="2:13" ht="18" customHeight="1" x14ac:dyDescent="0.2">
      <c r="B21" s="2616" t="s">
        <v>571</v>
      </c>
      <c r="C21" s="2618" t="s">
        <v>571</v>
      </c>
      <c r="D21" s="3227">
        <v>3.7401691818628215</v>
      </c>
      <c r="E21" s="3227">
        <v>36.279440899349311</v>
      </c>
      <c r="F21" s="3227">
        <v>0.78235769475398009</v>
      </c>
      <c r="G21" s="3103">
        <f t="shared" si="1"/>
        <v>1.7500000000000005E-2</v>
      </c>
      <c r="H21" s="3103">
        <f t="shared" si="2"/>
        <v>0.13775727941990157</v>
      </c>
      <c r="I21" s="3103">
        <f t="shared" si="3"/>
        <v>0.44579297432979026</v>
      </c>
      <c r="J21" s="3227">
        <v>6.5452960682599398E-2</v>
      </c>
      <c r="K21" s="3227">
        <v>4.9977570771694682</v>
      </c>
      <c r="L21" s="3227">
        <v>0.56556362924407733</v>
      </c>
      <c r="M21" s="3497">
        <v>-0.21679406550990238</v>
      </c>
    </row>
    <row r="22" spans="2:13" ht="18" customHeight="1" x14ac:dyDescent="0.2">
      <c r="B22" s="2616" t="s">
        <v>574</v>
      </c>
      <c r="C22" s="2618" t="s">
        <v>574</v>
      </c>
      <c r="D22" s="3227">
        <v>1.5805832994288069</v>
      </c>
      <c r="E22" s="3227">
        <v>11.941369233120572</v>
      </c>
      <c r="F22" s="3227">
        <v>0.33062181050640921</v>
      </c>
      <c r="G22" s="3103">
        <f t="shared" si="1"/>
        <v>1.7500000000000002E-2</v>
      </c>
      <c r="H22" s="3103">
        <f t="shared" si="2"/>
        <v>0.17686714159110251</v>
      </c>
      <c r="I22" s="3103">
        <f t="shared" si="3"/>
        <v>0.44579297432978987</v>
      </c>
      <c r="J22" s="3227">
        <v>2.7660207740004127E-2</v>
      </c>
      <c r="K22" s="3227">
        <v>2.1120358429459714</v>
      </c>
      <c r="L22" s="3227">
        <v>0.23900534539518059</v>
      </c>
      <c r="M22" s="3497">
        <v>-9.1616465111228257E-2</v>
      </c>
    </row>
    <row r="23" spans="2:13" ht="18" customHeight="1" x14ac:dyDescent="0.2">
      <c r="B23" s="2616" t="s">
        <v>576</v>
      </c>
      <c r="C23" s="2618" t="s">
        <v>576</v>
      </c>
      <c r="D23" s="3227">
        <v>9.7641986330206478</v>
      </c>
      <c r="E23" s="3227">
        <v>94.71220418423637</v>
      </c>
      <c r="F23" s="3227">
        <v>2.0424466280012723</v>
      </c>
      <c r="G23" s="3103">
        <f t="shared" si="1"/>
        <v>1.7500000000000002E-2</v>
      </c>
      <c r="H23" s="3103">
        <f t="shared" si="2"/>
        <v>0.13775727941990154</v>
      </c>
      <c r="I23" s="3103">
        <f t="shared" si="3"/>
        <v>0.44579297432979043</v>
      </c>
      <c r="J23" s="3227">
        <v>0.17087347607786135</v>
      </c>
      <c r="K23" s="3227">
        <v>13.047295576282618</v>
      </c>
      <c r="L23" s="3227">
        <v>1.4183160476645664</v>
      </c>
      <c r="M23" s="3497">
        <v>-0.5078076904580282</v>
      </c>
    </row>
    <row r="24" spans="2:13" ht="18" customHeight="1" x14ac:dyDescent="0.2">
      <c r="B24" s="2616" t="s">
        <v>577</v>
      </c>
      <c r="C24" s="2618" t="s">
        <v>577</v>
      </c>
      <c r="D24" s="3227">
        <v>6.8819824377574879</v>
      </c>
      <c r="E24" s="3227">
        <v>66.754861339355315</v>
      </c>
      <c r="F24" s="3227">
        <v>1.4395530398600029</v>
      </c>
      <c r="G24" s="3103">
        <f t="shared" si="1"/>
        <v>1.7500000000000002E-2</v>
      </c>
      <c r="H24" s="3103">
        <f t="shared" si="2"/>
        <v>0.13775727941990157</v>
      </c>
      <c r="I24" s="3103">
        <f t="shared" si="3"/>
        <v>0.44579297432979031</v>
      </c>
      <c r="J24" s="3227">
        <v>0.12043469266075606</v>
      </c>
      <c r="K24" s="3227">
        <v>9.1959680861623543</v>
      </c>
      <c r="L24" s="3227">
        <v>0.99965460536698991</v>
      </c>
      <c r="M24" s="3497">
        <v>-0.35791197402230801</v>
      </c>
    </row>
    <row r="25" spans="2:13" ht="18" customHeight="1" x14ac:dyDescent="0.2">
      <c r="B25" s="105" t="s">
        <v>669</v>
      </c>
      <c r="C25" s="2508"/>
      <c r="D25" s="2108"/>
      <c r="E25" s="2108"/>
      <c r="F25" s="2108"/>
      <c r="G25" s="2108"/>
      <c r="H25" s="2108"/>
      <c r="I25" s="2108"/>
      <c r="J25" s="3103">
        <f>IF(SUM(J26:J37)=0,"NO",SUM(J26:J37))</f>
        <v>0.14453520502041042</v>
      </c>
      <c r="K25" s="3103">
        <f>IF(SUM(K26:K37)=0,"NO",SUM(K26:K37))</f>
        <v>10.544926087128808</v>
      </c>
      <c r="L25" s="3103">
        <f>IF(SUM(L26:L37)=0,"NO",SUM(L26:L37))</f>
        <v>18.543620549851909</v>
      </c>
      <c r="M25" s="3226">
        <f>IF(SUM(M26:M37)=0,"NO",SUM(M26:M37))</f>
        <v>-5.8340997738493288</v>
      </c>
    </row>
    <row r="26" spans="2:13" ht="18" customHeight="1" x14ac:dyDescent="0.2">
      <c r="B26" s="2616" t="s">
        <v>559</v>
      </c>
      <c r="C26" s="2618" t="s">
        <v>559</v>
      </c>
      <c r="D26" s="3227" t="s">
        <v>2146</v>
      </c>
      <c r="E26" s="3227" t="s">
        <v>2146</v>
      </c>
      <c r="F26" s="3227" t="s">
        <v>2146</v>
      </c>
      <c r="G26" s="3103" t="str">
        <f>IF(SUM(D26)=0,"NA",J26/D26)</f>
        <v>NA</v>
      </c>
      <c r="H26" s="3103" t="str">
        <f>IF(SUM(E26)=0,"NA",K26/E26)</f>
        <v>NA</v>
      </c>
      <c r="I26" s="3103" t="str">
        <f t="shared" si="3"/>
        <v>NA</v>
      </c>
      <c r="J26" s="3227" t="s">
        <v>2146</v>
      </c>
      <c r="K26" s="3227" t="s">
        <v>2146</v>
      </c>
      <c r="L26" s="3227" t="s">
        <v>2146</v>
      </c>
      <c r="M26" s="3497" t="s">
        <v>2146</v>
      </c>
    </row>
    <row r="27" spans="2:13" ht="18" customHeight="1" x14ac:dyDescent="0.2">
      <c r="B27" s="2616" t="s">
        <v>560</v>
      </c>
      <c r="C27" s="2618" t="s">
        <v>560</v>
      </c>
      <c r="D27" s="3227">
        <v>0.51010968720166583</v>
      </c>
      <c r="E27" s="3227">
        <v>13.082857211505479</v>
      </c>
      <c r="F27" s="3227">
        <v>0.51621933717492108</v>
      </c>
      <c r="G27" s="3103">
        <f t="shared" ref="G27:G37" si="6">IF(SUM(D27)=0,"NA",J27/D27)</f>
        <v>6.0000000000000001E-3</v>
      </c>
      <c r="H27" s="3103">
        <f t="shared" ref="H27:H37" si="7">IF(SUM(E27)=0,"NA",K27/E27)</f>
        <v>1.7067979678959757E-2</v>
      </c>
      <c r="I27" s="3103">
        <f t="shared" si="3"/>
        <v>0.52135805182922512</v>
      </c>
      <c r="J27" s="3227">
        <v>3.0606581232099951E-3</v>
      </c>
      <c r="K27" s="3227">
        <v>0.22329794102870762</v>
      </c>
      <c r="L27" s="3227">
        <v>0.39267722256050597</v>
      </c>
      <c r="M27" s="3497">
        <v>-0.12354211461441522</v>
      </c>
    </row>
    <row r="28" spans="2:13" ht="18" customHeight="1" x14ac:dyDescent="0.2">
      <c r="B28" s="2616" t="s">
        <v>562</v>
      </c>
      <c r="C28" s="2618" t="s">
        <v>562</v>
      </c>
      <c r="D28" s="3227" t="s">
        <v>2146</v>
      </c>
      <c r="E28" s="3227" t="s">
        <v>2146</v>
      </c>
      <c r="F28" s="3227" t="s">
        <v>2146</v>
      </c>
      <c r="G28" s="3103" t="str">
        <f t="shared" si="6"/>
        <v>NA</v>
      </c>
      <c r="H28" s="3103" t="str">
        <f t="shared" si="7"/>
        <v>NA</v>
      </c>
      <c r="I28" s="3103" t="str">
        <f t="shared" si="3"/>
        <v>NA</v>
      </c>
      <c r="J28" s="3227" t="s">
        <v>2146</v>
      </c>
      <c r="K28" s="3227" t="s">
        <v>2146</v>
      </c>
      <c r="L28" s="3227" t="s">
        <v>2146</v>
      </c>
      <c r="M28" s="3497" t="s">
        <v>2146</v>
      </c>
    </row>
    <row r="29" spans="2:13" ht="18" customHeight="1" x14ac:dyDescent="0.2">
      <c r="B29" s="2616" t="s">
        <v>563</v>
      </c>
      <c r="C29" s="2618" t="s">
        <v>563</v>
      </c>
      <c r="D29" s="3227">
        <v>3.536098824329128</v>
      </c>
      <c r="E29" s="3227">
        <v>90.690839960820313</v>
      </c>
      <c r="F29" s="3227">
        <v>3.578451139193028</v>
      </c>
      <c r="G29" s="3103">
        <f t="shared" si="6"/>
        <v>6.0000000000000001E-3</v>
      </c>
      <c r="H29" s="3103">
        <f t="shared" si="7"/>
        <v>1.7067979678959757E-2</v>
      </c>
      <c r="I29" s="3103">
        <f t="shared" si="3"/>
        <v>0.52135805182922479</v>
      </c>
      <c r="J29" s="3227">
        <v>2.121659294597477E-2</v>
      </c>
      <c r="K29" s="3227">
        <v>1.5479094135190725</v>
      </c>
      <c r="L29" s="3227">
        <v>2.7220527268443875</v>
      </c>
      <c r="M29" s="3497">
        <v>-0.85639841234864023</v>
      </c>
    </row>
    <row r="30" spans="2:13" ht="18" customHeight="1" x14ac:dyDescent="0.2">
      <c r="B30" s="2616" t="s">
        <v>564</v>
      </c>
      <c r="C30" s="2618" t="s">
        <v>564</v>
      </c>
      <c r="D30" s="3227">
        <v>7.551193850982023E-3</v>
      </c>
      <c r="E30" s="3227">
        <v>0.19366656506905361</v>
      </c>
      <c r="F30" s="3227">
        <v>7.6416354804338853E-3</v>
      </c>
      <c r="G30" s="3103">
        <f t="shared" si="6"/>
        <v>6.000000000000001E-3</v>
      </c>
      <c r="H30" s="3103">
        <f t="shared" si="7"/>
        <v>1.7067979678959757E-2</v>
      </c>
      <c r="I30" s="3103">
        <f t="shared" si="3"/>
        <v>0.52135805182922479</v>
      </c>
      <c r="J30" s="3227">
        <v>4.5307163105892147E-5</v>
      </c>
      <c r="K30" s="3227">
        <v>3.3054969970925442E-3</v>
      </c>
      <c r="L30" s="3227">
        <v>5.8128318336509886E-3</v>
      </c>
      <c r="M30" s="3497">
        <v>-1.8288036467828956E-3</v>
      </c>
    </row>
    <row r="31" spans="2:13" ht="18" customHeight="1" x14ac:dyDescent="0.2">
      <c r="B31" s="2616" t="s">
        <v>565</v>
      </c>
      <c r="C31" s="2618" t="s">
        <v>565</v>
      </c>
      <c r="D31" s="3227">
        <v>15.108954546084346</v>
      </c>
      <c r="E31" s="3227">
        <v>387.50155094271378</v>
      </c>
      <c r="F31" s="3227">
        <v>15.289916456932955</v>
      </c>
      <c r="G31" s="3103">
        <f t="shared" si="6"/>
        <v>6.0000000000000001E-3</v>
      </c>
      <c r="H31" s="3103">
        <f t="shared" si="7"/>
        <v>1.7067979678959757E-2</v>
      </c>
      <c r="I31" s="3103">
        <f t="shared" si="3"/>
        <v>0.52135805182922468</v>
      </c>
      <c r="J31" s="3227">
        <v>9.0653727276506085E-2</v>
      </c>
      <c r="K31" s="3227">
        <v>6.6138685970556281</v>
      </c>
      <c r="L31" s="3227">
        <v>11.630718756775559</v>
      </c>
      <c r="M31" s="3497">
        <v>-3.6591977001573919</v>
      </c>
    </row>
    <row r="32" spans="2:13" ht="18" customHeight="1" x14ac:dyDescent="0.2">
      <c r="B32" s="2616" t="s">
        <v>567</v>
      </c>
      <c r="C32" s="2618" t="s">
        <v>567</v>
      </c>
      <c r="D32" s="3227">
        <v>0.17642466150870212</v>
      </c>
      <c r="E32" s="3227">
        <v>97.174699789372738</v>
      </c>
      <c r="F32" s="3227">
        <v>3.8342892767587959</v>
      </c>
      <c r="G32" s="3103">
        <f t="shared" si="6"/>
        <v>0.12885644180120034</v>
      </c>
      <c r="H32" s="3103">
        <f t="shared" si="7"/>
        <v>1.7067979678959757E-2</v>
      </c>
      <c r="I32" s="3103">
        <f t="shared" si="3"/>
        <v>0.5213580518292249</v>
      </c>
      <c r="J32" s="3227">
        <v>2.2733454127992544E-2</v>
      </c>
      <c r="K32" s="3227">
        <v>1.6585758013140288</v>
      </c>
      <c r="L32" s="3227">
        <v>2.9166634321197242</v>
      </c>
      <c r="M32" s="3497">
        <v>-0.91762584463907093</v>
      </c>
    </row>
    <row r="33" spans="2:13" ht="18" customHeight="1" x14ac:dyDescent="0.2">
      <c r="B33" s="2616" t="s">
        <v>569</v>
      </c>
      <c r="C33" s="2618" t="s">
        <v>569</v>
      </c>
      <c r="D33" s="3227">
        <v>0.32803890838367122</v>
      </c>
      <c r="E33" s="3227">
        <v>8.413261511940334</v>
      </c>
      <c r="F33" s="3227">
        <v>0.33196787299288599</v>
      </c>
      <c r="G33" s="3103">
        <f t="shared" si="6"/>
        <v>5.9999999999999993E-3</v>
      </c>
      <c r="H33" s="3103">
        <f t="shared" si="7"/>
        <v>1.7067979678959757E-2</v>
      </c>
      <c r="I33" s="3103">
        <f t="shared" si="3"/>
        <v>0.52135805182922501</v>
      </c>
      <c r="J33" s="3227">
        <v>1.9682334503020272E-3</v>
      </c>
      <c r="K33" s="3227">
        <v>0.14359737651957186</v>
      </c>
      <c r="L33" s="3227">
        <v>0.25252099826317431</v>
      </c>
      <c r="M33" s="3497">
        <v>-7.9446874729711695E-2</v>
      </c>
    </row>
    <row r="34" spans="2:13" ht="18" customHeight="1" x14ac:dyDescent="0.2">
      <c r="B34" s="2616" t="s">
        <v>571</v>
      </c>
      <c r="C34" s="2618" t="s">
        <v>571</v>
      </c>
      <c r="D34" s="3227">
        <v>0.1378349656245666</v>
      </c>
      <c r="E34" s="3227">
        <v>3.5350733759072241</v>
      </c>
      <c r="F34" s="3227">
        <v>0.13948583290893726</v>
      </c>
      <c r="G34" s="3103">
        <f t="shared" si="6"/>
        <v>6.0000000000000001E-3</v>
      </c>
      <c r="H34" s="3103">
        <f t="shared" si="7"/>
        <v>1.706797967895976E-2</v>
      </c>
      <c r="I34" s="3103">
        <f t="shared" si="3"/>
        <v>0.5213580518292249</v>
      </c>
      <c r="J34" s="3227">
        <v>8.2700979374739959E-4</v>
      </c>
      <c r="K34" s="3227">
        <v>6.0336560543616177E-2</v>
      </c>
      <c r="L34" s="3227">
        <v>0.10610394750605878</v>
      </c>
      <c r="M34" s="3497">
        <v>-3.3381885402878467E-2</v>
      </c>
    </row>
    <row r="35" spans="2:13" ht="18" customHeight="1" x14ac:dyDescent="0.2">
      <c r="B35" s="2616" t="s">
        <v>574</v>
      </c>
      <c r="C35" s="2618" t="s">
        <v>574</v>
      </c>
      <c r="D35" s="3227">
        <v>5.8248606988154185E-2</v>
      </c>
      <c r="E35" s="3227">
        <v>1.4939104806567822</v>
      </c>
      <c r="F35" s="3227">
        <v>5.8946258118991547E-2</v>
      </c>
      <c r="G35" s="3103">
        <f t="shared" si="6"/>
        <v>6.0000000000000001E-3</v>
      </c>
      <c r="H35" s="3103">
        <f t="shared" si="7"/>
        <v>1.7067979678959753E-2</v>
      </c>
      <c r="I35" s="3103">
        <f t="shared" si="3"/>
        <v>0.52135805182922479</v>
      </c>
      <c r="J35" s="3227">
        <v>3.4949164192892511E-4</v>
      </c>
      <c r="K35" s="3227">
        <v>2.5498033726034958E-2</v>
      </c>
      <c r="L35" s="3227">
        <v>4.48391822072658E-2</v>
      </c>
      <c r="M35" s="3497">
        <v>-1.4107075911725738E-2</v>
      </c>
    </row>
    <row r="36" spans="2:13" ht="18" customHeight="1" x14ac:dyDescent="0.2">
      <c r="B36" s="2616" t="s">
        <v>576</v>
      </c>
      <c r="C36" s="2618" t="s">
        <v>576</v>
      </c>
      <c r="D36" s="3227">
        <v>0.35983612438182017</v>
      </c>
      <c r="E36" s="3227">
        <v>9.2287693273461624</v>
      </c>
      <c r="F36" s="3227">
        <v>0.36414592837665505</v>
      </c>
      <c r="G36" s="3103">
        <f t="shared" si="6"/>
        <v>6.0000000000000019E-3</v>
      </c>
      <c r="H36" s="3103">
        <f t="shared" si="7"/>
        <v>1.7067979678959757E-2</v>
      </c>
      <c r="I36" s="3103">
        <f t="shared" si="3"/>
        <v>0.5213580518292249</v>
      </c>
      <c r="J36" s="3227">
        <v>2.1590167462909216E-3</v>
      </c>
      <c r="K36" s="3227">
        <v>0.15751644734095141</v>
      </c>
      <c r="L36" s="3227">
        <v>0.27699817008832617</v>
      </c>
      <c r="M36" s="3497">
        <v>-8.7147758288328839E-2</v>
      </c>
    </row>
    <row r="37" spans="2:13" ht="18" customHeight="1" x14ac:dyDescent="0.2">
      <c r="B37" s="2616" t="s">
        <v>577</v>
      </c>
      <c r="C37" s="2618" t="s">
        <v>577</v>
      </c>
      <c r="D37" s="3227">
        <v>0.25361895855864131</v>
      </c>
      <c r="E37" s="3227">
        <v>6.5046022535966346</v>
      </c>
      <c r="F37" s="3227">
        <v>0.25665658576363548</v>
      </c>
      <c r="G37" s="3103">
        <f t="shared" si="6"/>
        <v>6.0000000000000019E-3</v>
      </c>
      <c r="H37" s="3103">
        <f t="shared" si="7"/>
        <v>1.7067979678959757E-2</v>
      </c>
      <c r="I37" s="3103">
        <f t="shared" si="3"/>
        <v>0.52135805182922479</v>
      </c>
      <c r="J37" s="3227">
        <v>1.5217137513518482E-3</v>
      </c>
      <c r="K37" s="3227">
        <v>0.11102041908410321</v>
      </c>
      <c r="L37" s="3227">
        <v>0.19523328165325241</v>
      </c>
      <c r="M37" s="3497">
        <v>-6.1423304110383048E-2</v>
      </c>
    </row>
    <row r="38" spans="2:13" ht="18" customHeight="1" x14ac:dyDescent="0.2">
      <c r="B38" s="104" t="s">
        <v>670</v>
      </c>
      <c r="C38" s="2508"/>
      <c r="D38" s="2108"/>
      <c r="E38" s="2108"/>
      <c r="F38" s="2108"/>
      <c r="G38" s="2108"/>
      <c r="H38" s="2108"/>
      <c r="I38" s="2108"/>
      <c r="J38" s="3103" t="str">
        <f>IF(SUM(J39:J50)=0,"NO",SUM(J39:J50))</f>
        <v>NO</v>
      </c>
      <c r="K38" s="3103" t="str">
        <f>IF(SUM(K39:K50)=0,"NO",SUM(K39:K50))</f>
        <v>NO</v>
      </c>
      <c r="L38" s="3103" t="str">
        <f>IF(SUM(L39:L50)=0,"NO",SUM(L39:L50))</f>
        <v>NO</v>
      </c>
      <c r="M38" s="3226" t="str">
        <f>IF(SUM(M39:M50)=0,"NO",SUM(M39:M50))</f>
        <v>NO</v>
      </c>
    </row>
    <row r="39" spans="2:13" ht="18" customHeight="1" x14ac:dyDescent="0.2">
      <c r="B39" s="2616" t="s">
        <v>559</v>
      </c>
      <c r="C39" s="2618" t="s">
        <v>559</v>
      </c>
      <c r="D39" s="3227" t="str">
        <f>IF(D13="NO","NO","IE")</f>
        <v>NO</v>
      </c>
      <c r="E39" s="3227" t="str">
        <f t="shared" ref="E39:F39" si="8">IF(E13="NO","NO","IE")</f>
        <v>NO</v>
      </c>
      <c r="F39" s="3227" t="str">
        <f t="shared" si="8"/>
        <v>NO</v>
      </c>
      <c r="G39" s="3103" t="str">
        <f>IF(SUM(D39)=0,"NA",J39/D39)</f>
        <v>NA</v>
      </c>
      <c r="H39" s="3103" t="str">
        <f>IF(SUM(E39)=0,"NA",K39/E39)</f>
        <v>NA</v>
      </c>
      <c r="I39" s="3103" t="str">
        <f t="shared" si="3"/>
        <v>NA</v>
      </c>
      <c r="J39" s="3227" t="str">
        <f>IF(J13="NO","NO","IE")</f>
        <v>NO</v>
      </c>
      <c r="K39" s="3227" t="str">
        <f t="shared" ref="K39:L39" si="9">IF(K13="NO","NO","IE")</f>
        <v>NO</v>
      </c>
      <c r="L39" s="3227" t="str">
        <f t="shared" si="9"/>
        <v>NO</v>
      </c>
      <c r="M39" s="3497" t="str">
        <f t="shared" ref="M39" si="10">IF(M13="NO","NO","IE")</f>
        <v>NO</v>
      </c>
    </row>
    <row r="40" spans="2:13" ht="18" customHeight="1" x14ac:dyDescent="0.2">
      <c r="B40" s="2616" t="s">
        <v>560</v>
      </c>
      <c r="C40" s="2618" t="s">
        <v>560</v>
      </c>
      <c r="D40" s="3227" t="str">
        <f t="shared" ref="D40:F50" si="11">IF(D14="NO","NO","IE")</f>
        <v>IE</v>
      </c>
      <c r="E40" s="3227" t="str">
        <f t="shared" si="11"/>
        <v>IE</v>
      </c>
      <c r="F40" s="3227" t="str">
        <f t="shared" si="11"/>
        <v>IE</v>
      </c>
      <c r="G40" s="3103" t="str">
        <f t="shared" ref="G40:G50" si="12">IF(SUM(D40)=0,"NA",J40/D40)</f>
        <v>NA</v>
      </c>
      <c r="H40" s="3103" t="str">
        <f t="shared" ref="H40:H50" si="13">IF(SUM(E40)=0,"NA",K40/E40)</f>
        <v>NA</v>
      </c>
      <c r="I40" s="3103" t="str">
        <f t="shared" si="3"/>
        <v>NA</v>
      </c>
      <c r="J40" s="3227" t="str">
        <f t="shared" ref="J40:L40" si="14">IF(J14="NO","NO","IE")</f>
        <v>IE</v>
      </c>
      <c r="K40" s="3227" t="str">
        <f t="shared" si="14"/>
        <v>IE</v>
      </c>
      <c r="L40" s="3227" t="str">
        <f t="shared" si="14"/>
        <v>IE</v>
      </c>
      <c r="M40" s="3497" t="str">
        <f t="shared" ref="M40" si="15">IF(M14="NO","NO","IE")</f>
        <v>IE</v>
      </c>
    </row>
    <row r="41" spans="2:13" ht="18" customHeight="1" x14ac:dyDescent="0.2">
      <c r="B41" s="2616" t="s">
        <v>562</v>
      </c>
      <c r="C41" s="2618" t="s">
        <v>562</v>
      </c>
      <c r="D41" s="3227" t="str">
        <f t="shared" si="11"/>
        <v>NO</v>
      </c>
      <c r="E41" s="3227" t="str">
        <f t="shared" si="11"/>
        <v>NO</v>
      </c>
      <c r="F41" s="3227" t="str">
        <f t="shared" si="11"/>
        <v>NO</v>
      </c>
      <c r="G41" s="3103" t="str">
        <f t="shared" si="12"/>
        <v>NA</v>
      </c>
      <c r="H41" s="3103" t="str">
        <f t="shared" si="13"/>
        <v>NA</v>
      </c>
      <c r="I41" s="3103" t="str">
        <f t="shared" si="3"/>
        <v>NA</v>
      </c>
      <c r="J41" s="3227" t="str">
        <f t="shared" ref="J41:L41" si="16">IF(J15="NO","NO","IE")</f>
        <v>NO</v>
      </c>
      <c r="K41" s="3227" t="str">
        <f t="shared" si="16"/>
        <v>NO</v>
      </c>
      <c r="L41" s="3227" t="str">
        <f t="shared" si="16"/>
        <v>NO</v>
      </c>
      <c r="M41" s="3497" t="str">
        <f t="shared" ref="M41" si="17">IF(M15="NO","NO","IE")</f>
        <v>NO</v>
      </c>
    </row>
    <row r="42" spans="2:13" ht="18" customHeight="1" x14ac:dyDescent="0.2">
      <c r="B42" s="2616" t="s">
        <v>563</v>
      </c>
      <c r="C42" s="2618" t="s">
        <v>563</v>
      </c>
      <c r="D42" s="3227" t="str">
        <f t="shared" si="11"/>
        <v>IE</v>
      </c>
      <c r="E42" s="3227" t="str">
        <f t="shared" si="11"/>
        <v>IE</v>
      </c>
      <c r="F42" s="3227" t="str">
        <f t="shared" si="11"/>
        <v>IE</v>
      </c>
      <c r="G42" s="3103" t="str">
        <f t="shared" si="12"/>
        <v>NA</v>
      </c>
      <c r="H42" s="3103" t="str">
        <f t="shared" si="13"/>
        <v>NA</v>
      </c>
      <c r="I42" s="3103" t="str">
        <f t="shared" si="3"/>
        <v>NA</v>
      </c>
      <c r="J42" s="3227" t="str">
        <f t="shared" ref="J42:L42" si="18">IF(J16="NO","NO","IE")</f>
        <v>IE</v>
      </c>
      <c r="K42" s="3227" t="str">
        <f t="shared" si="18"/>
        <v>IE</v>
      </c>
      <c r="L42" s="3227" t="str">
        <f t="shared" si="18"/>
        <v>IE</v>
      </c>
      <c r="M42" s="3497" t="str">
        <f t="shared" ref="M42" si="19">IF(M16="NO","NO","IE")</f>
        <v>IE</v>
      </c>
    </row>
    <row r="43" spans="2:13" ht="18" customHeight="1" x14ac:dyDescent="0.2">
      <c r="B43" s="2616" t="s">
        <v>564</v>
      </c>
      <c r="C43" s="2618" t="s">
        <v>564</v>
      </c>
      <c r="D43" s="3227" t="str">
        <f t="shared" si="11"/>
        <v>IE</v>
      </c>
      <c r="E43" s="3227" t="str">
        <f t="shared" si="11"/>
        <v>IE</v>
      </c>
      <c r="F43" s="3227" t="str">
        <f t="shared" si="11"/>
        <v>IE</v>
      </c>
      <c r="G43" s="3103" t="str">
        <f t="shared" si="12"/>
        <v>NA</v>
      </c>
      <c r="H43" s="3103" t="str">
        <f t="shared" si="13"/>
        <v>NA</v>
      </c>
      <c r="I43" s="3103" t="str">
        <f t="shared" si="3"/>
        <v>NA</v>
      </c>
      <c r="J43" s="3227" t="str">
        <f t="shared" ref="J43:L43" si="20">IF(J17="NO","NO","IE")</f>
        <v>IE</v>
      </c>
      <c r="K43" s="3227" t="str">
        <f t="shared" si="20"/>
        <v>IE</v>
      </c>
      <c r="L43" s="3227" t="str">
        <f t="shared" si="20"/>
        <v>IE</v>
      </c>
      <c r="M43" s="3497" t="str">
        <f t="shared" ref="M43" si="21">IF(M17="NO","NO","IE")</f>
        <v>IE</v>
      </c>
    </row>
    <row r="44" spans="2:13" ht="18" customHeight="1" x14ac:dyDescent="0.2">
      <c r="B44" s="2616" t="s">
        <v>565</v>
      </c>
      <c r="C44" s="2618" t="s">
        <v>565</v>
      </c>
      <c r="D44" s="3227" t="str">
        <f t="shared" si="11"/>
        <v>IE</v>
      </c>
      <c r="E44" s="3227" t="str">
        <f t="shared" si="11"/>
        <v>IE</v>
      </c>
      <c r="F44" s="3227" t="str">
        <f t="shared" si="11"/>
        <v>IE</v>
      </c>
      <c r="G44" s="3103" t="str">
        <f t="shared" si="12"/>
        <v>NA</v>
      </c>
      <c r="H44" s="3103" t="str">
        <f t="shared" si="13"/>
        <v>NA</v>
      </c>
      <c r="I44" s="3103" t="str">
        <f t="shared" si="3"/>
        <v>NA</v>
      </c>
      <c r="J44" s="3227" t="str">
        <f t="shared" ref="J44:L44" si="22">IF(J18="NO","NO","IE")</f>
        <v>IE</v>
      </c>
      <c r="K44" s="3227" t="str">
        <f t="shared" si="22"/>
        <v>IE</v>
      </c>
      <c r="L44" s="3227" t="str">
        <f t="shared" si="22"/>
        <v>IE</v>
      </c>
      <c r="M44" s="3497" t="str">
        <f t="shared" ref="M44" si="23">IF(M18="NO","NO","IE")</f>
        <v>IE</v>
      </c>
    </row>
    <row r="45" spans="2:13" ht="18" customHeight="1" x14ac:dyDescent="0.2">
      <c r="B45" s="2616" t="s">
        <v>567</v>
      </c>
      <c r="C45" s="2618" t="s">
        <v>567</v>
      </c>
      <c r="D45" s="3227" t="str">
        <f t="shared" si="11"/>
        <v>IE</v>
      </c>
      <c r="E45" s="3227" t="str">
        <f t="shared" si="11"/>
        <v>IE</v>
      </c>
      <c r="F45" s="3227" t="str">
        <f t="shared" si="11"/>
        <v>IE</v>
      </c>
      <c r="G45" s="3103" t="str">
        <f t="shared" si="12"/>
        <v>NA</v>
      </c>
      <c r="H45" s="3103" t="str">
        <f t="shared" si="13"/>
        <v>NA</v>
      </c>
      <c r="I45" s="3103" t="str">
        <f t="shared" si="3"/>
        <v>NA</v>
      </c>
      <c r="J45" s="3227" t="str">
        <f t="shared" ref="J45:L45" si="24">IF(J19="NO","NO","IE")</f>
        <v>IE</v>
      </c>
      <c r="K45" s="3227" t="str">
        <f t="shared" si="24"/>
        <v>IE</v>
      </c>
      <c r="L45" s="3227" t="str">
        <f t="shared" si="24"/>
        <v>IE</v>
      </c>
      <c r="M45" s="3497" t="str">
        <f t="shared" ref="M45" si="25">IF(M19="NO","NO","IE")</f>
        <v>IE</v>
      </c>
    </row>
    <row r="46" spans="2:13" ht="18" customHeight="1" x14ac:dyDescent="0.2">
      <c r="B46" s="2616" t="s">
        <v>569</v>
      </c>
      <c r="C46" s="2618" t="s">
        <v>569</v>
      </c>
      <c r="D46" s="3227" t="str">
        <f t="shared" si="11"/>
        <v>IE</v>
      </c>
      <c r="E46" s="3227" t="str">
        <f t="shared" si="11"/>
        <v>IE</v>
      </c>
      <c r="F46" s="3227" t="str">
        <f t="shared" si="11"/>
        <v>IE</v>
      </c>
      <c r="G46" s="3103" t="str">
        <f t="shared" si="12"/>
        <v>NA</v>
      </c>
      <c r="H46" s="3103" t="str">
        <f t="shared" si="13"/>
        <v>NA</v>
      </c>
      <c r="I46" s="3103" t="str">
        <f t="shared" si="3"/>
        <v>NA</v>
      </c>
      <c r="J46" s="3227" t="str">
        <f t="shared" ref="J46:L46" si="26">IF(J20="NO","NO","IE")</f>
        <v>IE</v>
      </c>
      <c r="K46" s="3227" t="str">
        <f t="shared" si="26"/>
        <v>IE</v>
      </c>
      <c r="L46" s="3227" t="str">
        <f t="shared" si="26"/>
        <v>IE</v>
      </c>
      <c r="M46" s="3497" t="str">
        <f t="shared" ref="M46" si="27">IF(M20="NO","NO","IE")</f>
        <v>IE</v>
      </c>
    </row>
    <row r="47" spans="2:13" ht="18" customHeight="1" x14ac:dyDescent="0.2">
      <c r="B47" s="2616" t="s">
        <v>571</v>
      </c>
      <c r="C47" s="2618" t="s">
        <v>571</v>
      </c>
      <c r="D47" s="3227" t="str">
        <f t="shared" si="11"/>
        <v>IE</v>
      </c>
      <c r="E47" s="3227" t="str">
        <f t="shared" si="11"/>
        <v>IE</v>
      </c>
      <c r="F47" s="3227" t="str">
        <f t="shared" si="11"/>
        <v>IE</v>
      </c>
      <c r="G47" s="3103" t="str">
        <f t="shared" si="12"/>
        <v>NA</v>
      </c>
      <c r="H47" s="3103" t="str">
        <f t="shared" si="13"/>
        <v>NA</v>
      </c>
      <c r="I47" s="3103" t="str">
        <f t="shared" si="3"/>
        <v>NA</v>
      </c>
      <c r="J47" s="3227" t="str">
        <f t="shared" ref="J47:L47" si="28">IF(J21="NO","NO","IE")</f>
        <v>IE</v>
      </c>
      <c r="K47" s="3227" t="str">
        <f t="shared" si="28"/>
        <v>IE</v>
      </c>
      <c r="L47" s="3227" t="str">
        <f t="shared" si="28"/>
        <v>IE</v>
      </c>
      <c r="M47" s="3497" t="str">
        <f t="shared" ref="M47" si="29">IF(M21="NO","NO","IE")</f>
        <v>IE</v>
      </c>
    </row>
    <row r="48" spans="2:13" ht="18" customHeight="1" x14ac:dyDescent="0.2">
      <c r="B48" s="2616" t="s">
        <v>574</v>
      </c>
      <c r="C48" s="2618" t="s">
        <v>574</v>
      </c>
      <c r="D48" s="3227" t="str">
        <f t="shared" si="11"/>
        <v>IE</v>
      </c>
      <c r="E48" s="3227" t="str">
        <f t="shared" si="11"/>
        <v>IE</v>
      </c>
      <c r="F48" s="3227" t="str">
        <f t="shared" si="11"/>
        <v>IE</v>
      </c>
      <c r="G48" s="3103" t="str">
        <f t="shared" si="12"/>
        <v>NA</v>
      </c>
      <c r="H48" s="3103" t="str">
        <f t="shared" si="13"/>
        <v>NA</v>
      </c>
      <c r="I48" s="3103" t="str">
        <f t="shared" si="3"/>
        <v>NA</v>
      </c>
      <c r="J48" s="3227" t="str">
        <f t="shared" ref="J48:L48" si="30">IF(J22="NO","NO","IE")</f>
        <v>IE</v>
      </c>
      <c r="K48" s="3227" t="str">
        <f t="shared" si="30"/>
        <v>IE</v>
      </c>
      <c r="L48" s="3227" t="str">
        <f t="shared" si="30"/>
        <v>IE</v>
      </c>
      <c r="M48" s="3497" t="str">
        <f t="shared" ref="M48" si="31">IF(M22="NO","NO","IE")</f>
        <v>IE</v>
      </c>
    </row>
    <row r="49" spans="2:13" ht="18" customHeight="1" x14ac:dyDescent="0.2">
      <c r="B49" s="2616" t="s">
        <v>576</v>
      </c>
      <c r="C49" s="2618" t="s">
        <v>576</v>
      </c>
      <c r="D49" s="3227" t="str">
        <f t="shared" si="11"/>
        <v>IE</v>
      </c>
      <c r="E49" s="3227" t="str">
        <f t="shared" si="11"/>
        <v>IE</v>
      </c>
      <c r="F49" s="3227" t="str">
        <f t="shared" si="11"/>
        <v>IE</v>
      </c>
      <c r="G49" s="3103" t="str">
        <f t="shared" si="12"/>
        <v>NA</v>
      </c>
      <c r="H49" s="3103" t="str">
        <f t="shared" si="13"/>
        <v>NA</v>
      </c>
      <c r="I49" s="3103" t="str">
        <f t="shared" si="3"/>
        <v>NA</v>
      </c>
      <c r="J49" s="3227" t="str">
        <f t="shared" ref="J49:L49" si="32">IF(J23="NO","NO","IE")</f>
        <v>IE</v>
      </c>
      <c r="K49" s="3227" t="str">
        <f t="shared" si="32"/>
        <v>IE</v>
      </c>
      <c r="L49" s="3227" t="str">
        <f t="shared" si="32"/>
        <v>IE</v>
      </c>
      <c r="M49" s="3497" t="str">
        <f t="shared" ref="M49" si="33">IF(M23="NO","NO","IE")</f>
        <v>IE</v>
      </c>
    </row>
    <row r="50" spans="2:13" ht="18" customHeight="1" x14ac:dyDescent="0.2">
      <c r="B50" s="2616" t="s">
        <v>577</v>
      </c>
      <c r="C50" s="2618" t="s">
        <v>577</v>
      </c>
      <c r="D50" s="3227" t="str">
        <f t="shared" si="11"/>
        <v>IE</v>
      </c>
      <c r="E50" s="3227" t="str">
        <f t="shared" si="11"/>
        <v>IE</v>
      </c>
      <c r="F50" s="3227" t="str">
        <f t="shared" si="11"/>
        <v>IE</v>
      </c>
      <c r="G50" s="3103" t="str">
        <f t="shared" si="12"/>
        <v>NA</v>
      </c>
      <c r="H50" s="3103" t="str">
        <f t="shared" si="13"/>
        <v>NA</v>
      </c>
      <c r="I50" s="3103" t="str">
        <f t="shared" si="3"/>
        <v>NA</v>
      </c>
      <c r="J50" s="3227" t="str">
        <f t="shared" ref="J50:L50" si="34">IF(J24="NO","NO","IE")</f>
        <v>IE</v>
      </c>
      <c r="K50" s="3227" t="str">
        <f t="shared" si="34"/>
        <v>IE</v>
      </c>
      <c r="L50" s="3227" t="str">
        <f t="shared" si="34"/>
        <v>IE</v>
      </c>
      <c r="M50" s="3497" t="str">
        <f t="shared" ref="M50" si="35">IF(M24="NO","NO","IE")</f>
        <v>IE</v>
      </c>
    </row>
    <row r="51" spans="2:13" ht="18" customHeight="1" x14ac:dyDescent="0.2">
      <c r="B51" s="104" t="s">
        <v>671</v>
      </c>
      <c r="C51" s="2508"/>
      <c r="D51" s="2108"/>
      <c r="E51" s="2108"/>
      <c r="F51" s="2108"/>
      <c r="G51" s="2108"/>
      <c r="H51" s="2108"/>
      <c r="I51" s="2108"/>
      <c r="J51" s="3103">
        <f>IF(SUM(J52:J63)=0,"NO",SUM(J52:J63))</f>
        <v>2.7581414119648726</v>
      </c>
      <c r="K51" s="3103">
        <f>IF(SUM(K52:K63)=0,"NO",SUM(K52:K63))</f>
        <v>87.416762508860927</v>
      </c>
      <c r="L51" s="3103">
        <f>IF(SUM(L52:L63)=0,"NO",SUM(L52:L63))</f>
        <v>25.325791022004147</v>
      </c>
      <c r="M51" s="3226">
        <f>IF(SUM(M52:M63)=0,"NO",SUM(M52:M63))</f>
        <v>-9.2958504600698344</v>
      </c>
    </row>
    <row r="52" spans="2:13" ht="18" customHeight="1" x14ac:dyDescent="0.2">
      <c r="B52" s="2616" t="s">
        <v>559</v>
      </c>
      <c r="C52" s="2618" t="s">
        <v>559</v>
      </c>
      <c r="D52" s="3227" t="s">
        <v>2146</v>
      </c>
      <c r="E52" s="3227" t="s">
        <v>2146</v>
      </c>
      <c r="F52" s="3227" t="s">
        <v>2146</v>
      </c>
      <c r="G52" s="3103" t="str">
        <f>IF(SUM(D52)=0,"NA",J52/D52)</f>
        <v>NA</v>
      </c>
      <c r="H52" s="3103" t="str">
        <f>IF(SUM(E52)=0,"NA",K52/E52)</f>
        <v>NA</v>
      </c>
      <c r="I52" s="3103" t="str">
        <f t="shared" si="3"/>
        <v>NA</v>
      </c>
      <c r="J52" s="3227" t="s">
        <v>2146</v>
      </c>
      <c r="K52" s="3227" t="s">
        <v>2146</v>
      </c>
      <c r="L52" s="3227" t="s">
        <v>2146</v>
      </c>
      <c r="M52" s="3497" t="s">
        <v>2146</v>
      </c>
    </row>
    <row r="53" spans="2:13" ht="18" customHeight="1" x14ac:dyDescent="0.2">
      <c r="B53" s="2616" t="s">
        <v>560</v>
      </c>
      <c r="C53" s="2618" t="s">
        <v>560</v>
      </c>
      <c r="D53" s="3227">
        <v>1.1452163283692558</v>
      </c>
      <c r="E53" s="3227">
        <v>8.6107433338641695</v>
      </c>
      <c r="F53" s="3227">
        <v>0.73314323818899407</v>
      </c>
      <c r="G53" s="3103">
        <f t="shared" ref="G53:G63" si="36">IF(SUM(D53)=0,"NA",J53/D53)</f>
        <v>5.1000000000000011E-2</v>
      </c>
      <c r="H53" s="3103">
        <f t="shared" ref="H53:H63" si="37">IF(SUM(E53)=0,"NA",K53/E53)</f>
        <v>0.21497861112171368</v>
      </c>
      <c r="I53" s="3103">
        <f t="shared" si="3"/>
        <v>0.46300348209180414</v>
      </c>
      <c r="J53" s="3227">
        <v>5.8406032746832058E-2</v>
      </c>
      <c r="K53" s="3227">
        <v>1.8511256426396736</v>
      </c>
      <c r="L53" s="3227">
        <v>0.53629555517127958</v>
      </c>
      <c r="M53" s="3497">
        <v>-0.19684768301771441</v>
      </c>
    </row>
    <row r="54" spans="2:13" ht="18" customHeight="1" x14ac:dyDescent="0.2">
      <c r="B54" s="2616" t="s">
        <v>562</v>
      </c>
      <c r="C54" s="2618" t="s">
        <v>562</v>
      </c>
      <c r="D54" s="3227" t="s">
        <v>2146</v>
      </c>
      <c r="E54" s="3227" t="s">
        <v>2146</v>
      </c>
      <c r="F54" s="3227" t="s">
        <v>2146</v>
      </c>
      <c r="G54" s="3103" t="str">
        <f t="shared" si="36"/>
        <v>NA</v>
      </c>
      <c r="H54" s="3103" t="str">
        <f t="shared" si="37"/>
        <v>NA</v>
      </c>
      <c r="I54" s="3103" t="str">
        <f t="shared" si="3"/>
        <v>NA</v>
      </c>
      <c r="J54" s="3227" t="s">
        <v>2146</v>
      </c>
      <c r="K54" s="3227" t="s">
        <v>2146</v>
      </c>
      <c r="L54" s="3227" t="s">
        <v>2146</v>
      </c>
      <c r="M54" s="3497" t="s">
        <v>2146</v>
      </c>
    </row>
    <row r="55" spans="2:13" ht="18" customHeight="1" x14ac:dyDescent="0.2">
      <c r="B55" s="2616" t="s">
        <v>563</v>
      </c>
      <c r="C55" s="2618" t="s">
        <v>563</v>
      </c>
      <c r="D55" s="3227">
        <v>7.9386810600757824</v>
      </c>
      <c r="E55" s="3227">
        <v>59.689984611955694</v>
      </c>
      <c r="F55" s="3227">
        <v>5.0821754765069791</v>
      </c>
      <c r="G55" s="3103">
        <f t="shared" si="36"/>
        <v>5.1000000000000004E-2</v>
      </c>
      <c r="H55" s="3103">
        <f t="shared" si="37"/>
        <v>0.21497861112171368</v>
      </c>
      <c r="I55" s="3103">
        <f t="shared" si="3"/>
        <v>0.46300348209180436</v>
      </c>
      <c r="J55" s="3227">
        <v>0.40487273406386493</v>
      </c>
      <c r="K55" s="3227">
        <v>12.832069989754697</v>
      </c>
      <c r="L55" s="3227">
        <v>3.7176202093656432</v>
      </c>
      <c r="M55" s="3497">
        <v>-1.3645552671413366</v>
      </c>
    </row>
    <row r="56" spans="2:13" ht="18" customHeight="1" x14ac:dyDescent="0.2">
      <c r="B56" s="2616" t="s">
        <v>564</v>
      </c>
      <c r="C56" s="2618" t="s">
        <v>564</v>
      </c>
      <c r="D56" s="3227">
        <v>1.6952727450179454E-2</v>
      </c>
      <c r="E56" s="3227">
        <v>0.12746551133296577</v>
      </c>
      <c r="F56" s="3227">
        <v>1.0852777061481578E-2</v>
      </c>
      <c r="G56" s="3103">
        <f t="shared" si="36"/>
        <v>5.1000000000000004E-2</v>
      </c>
      <c r="H56" s="3103">
        <f t="shared" si="37"/>
        <v>0.21497861112171368</v>
      </c>
      <c r="I56" s="3103">
        <f t="shared" si="3"/>
        <v>0.46300348209180447</v>
      </c>
      <c r="J56" s="3227">
        <v>8.645890999591522E-4</v>
      </c>
      <c r="K56" s="3227">
        <v>2.7402358592280036E-2</v>
      </c>
      <c r="L56" s="3227">
        <v>7.9388253156568063E-3</v>
      </c>
      <c r="M56" s="3497">
        <v>-2.913951745824774E-3</v>
      </c>
    </row>
    <row r="57" spans="2:13" ht="18" customHeight="1" x14ac:dyDescent="0.2">
      <c r="B57" s="2616" t="s">
        <v>565</v>
      </c>
      <c r="C57" s="2618" t="s">
        <v>565</v>
      </c>
      <c r="D57" s="3227">
        <v>33.920197723914512</v>
      </c>
      <c r="E57" s="3227">
        <v>255.04187217663895</v>
      </c>
      <c r="F57" s="3227">
        <v>21.714992166356232</v>
      </c>
      <c r="G57" s="3103">
        <f t="shared" si="36"/>
        <v>5.1000000000000011E-2</v>
      </c>
      <c r="H57" s="3103">
        <f t="shared" si="37"/>
        <v>0.21497861112171363</v>
      </c>
      <c r="I57" s="3103">
        <f t="shared" si="3"/>
        <v>0.46300348209180447</v>
      </c>
      <c r="J57" s="3227">
        <v>1.7299300839196405</v>
      </c>
      <c r="K57" s="3227">
        <v>54.828547458415457</v>
      </c>
      <c r="L57" s="3227">
        <v>15.884554576487716</v>
      </c>
      <c r="M57" s="3497">
        <v>-5.8304375898685228</v>
      </c>
    </row>
    <row r="58" spans="2:13" ht="18" customHeight="1" x14ac:dyDescent="0.2">
      <c r="B58" s="2616" t="s">
        <v>567</v>
      </c>
      <c r="C58" s="2618" t="s">
        <v>567</v>
      </c>
      <c r="D58" s="3227">
        <v>8.5062499042870883</v>
      </c>
      <c r="E58" s="3227">
        <v>63.957466240305052</v>
      </c>
      <c r="F58" s="3227">
        <v>5.445521029685378</v>
      </c>
      <c r="G58" s="3103">
        <f t="shared" si="36"/>
        <v>5.1000000000000018E-2</v>
      </c>
      <c r="H58" s="3103">
        <f t="shared" si="37"/>
        <v>0.21497861112171365</v>
      </c>
      <c r="I58" s="3103">
        <f t="shared" si="3"/>
        <v>0.46300348209180403</v>
      </c>
      <c r="J58" s="3227">
        <v>0.43381874511864166</v>
      </c>
      <c r="K58" s="3227">
        <v>13.749487263204669</v>
      </c>
      <c r="L58" s="3227">
        <v>3.9834081141169264</v>
      </c>
      <c r="M58" s="3497">
        <v>-1.4621129155684502</v>
      </c>
    </row>
    <row r="59" spans="2:13" ht="18" customHeight="1" x14ac:dyDescent="0.2">
      <c r="B59" s="2616" t="s">
        <v>569</v>
      </c>
      <c r="C59" s="2618" t="s">
        <v>569</v>
      </c>
      <c r="D59" s="3227">
        <v>0.73646026265893627</v>
      </c>
      <c r="E59" s="3227">
        <v>5.5373558167619752</v>
      </c>
      <c r="F59" s="3227">
        <v>0.4714662622145202</v>
      </c>
      <c r="G59" s="3103">
        <f t="shared" si="36"/>
        <v>5.1000000000000004E-2</v>
      </c>
      <c r="H59" s="3103">
        <f t="shared" si="37"/>
        <v>0.21497861112171365</v>
      </c>
      <c r="I59" s="3103">
        <f t="shared" si="3"/>
        <v>0.46300348209180436</v>
      </c>
      <c r="J59" s="3227">
        <v>3.7559473395605752E-2</v>
      </c>
      <c r="K59" s="3227">
        <v>1.1904130627742318</v>
      </c>
      <c r="L59" s="3227">
        <v>0.34487839165432543</v>
      </c>
      <c r="M59" s="3497">
        <v>-0.12658787056019488</v>
      </c>
    </row>
    <row r="60" spans="2:13" ht="18" customHeight="1" x14ac:dyDescent="0.2">
      <c r="B60" s="2616" t="s">
        <v>571</v>
      </c>
      <c r="C60" s="2618" t="s">
        <v>571</v>
      </c>
      <c r="D60" s="3227">
        <v>0.30944492373669491</v>
      </c>
      <c r="E60" s="3227">
        <v>2.3266790284575052</v>
      </c>
      <c r="F60" s="3227">
        <v>0.19810008625402448</v>
      </c>
      <c r="G60" s="3103">
        <f t="shared" si="36"/>
        <v>5.099999999999999E-2</v>
      </c>
      <c r="H60" s="3103">
        <f t="shared" si="37"/>
        <v>0.21497861112171368</v>
      </c>
      <c r="I60" s="3103">
        <f t="shared" si="3"/>
        <v>0.46300348209180464</v>
      </c>
      <c r="J60" s="3227">
        <v>1.5781691110571438E-2</v>
      </c>
      <c r="K60" s="3227">
        <v>0.50018622606381258</v>
      </c>
      <c r="L60" s="3227">
        <v>0.14491055799616237</v>
      </c>
      <c r="M60" s="3497">
        <v>-5.318952825786219E-2</v>
      </c>
    </row>
    <row r="61" spans="2:13" ht="18" customHeight="1" x14ac:dyDescent="0.2">
      <c r="B61" s="2616" t="s">
        <v>574</v>
      </c>
      <c r="C61" s="2618" t="s">
        <v>574</v>
      </c>
      <c r="D61" s="3227">
        <v>0.13077041566008485</v>
      </c>
      <c r="E61" s="3227">
        <v>0.98324697004202388</v>
      </c>
      <c r="F61" s="3227">
        <v>8.3716450439433987E-2</v>
      </c>
      <c r="G61" s="3103">
        <f t="shared" si="36"/>
        <v>5.1000000000000011E-2</v>
      </c>
      <c r="H61" s="3103">
        <f t="shared" si="37"/>
        <v>0.21497861112171368</v>
      </c>
      <c r="I61" s="3103">
        <f t="shared" si="3"/>
        <v>0.46300348209180375</v>
      </c>
      <c r="J61" s="3227">
        <v>6.6692911986643288E-3</v>
      </c>
      <c r="K61" s="3227">
        <v>0.2113770680092675</v>
      </c>
      <c r="L61" s="3227">
        <v>6.1238729250628898E-2</v>
      </c>
      <c r="M61" s="3497">
        <v>-2.2477721188805047E-2</v>
      </c>
    </row>
    <row r="62" spans="2:13" ht="18" customHeight="1" x14ac:dyDescent="0.2">
      <c r="B62" s="2616" t="s">
        <v>576</v>
      </c>
      <c r="C62" s="2618" t="s">
        <v>576</v>
      </c>
      <c r="D62" s="3227">
        <v>0.80784626428052131</v>
      </c>
      <c r="E62" s="3227">
        <v>6.0740985459453514</v>
      </c>
      <c r="F62" s="3227">
        <v>0.51716606852512215</v>
      </c>
      <c r="G62" s="3103">
        <f t="shared" si="36"/>
        <v>5.1000000000000004E-2</v>
      </c>
      <c r="H62" s="3103">
        <f t="shared" si="37"/>
        <v>0.21497861112171368</v>
      </c>
      <c r="I62" s="3103">
        <f t="shared" si="3"/>
        <v>0.46300348209180414</v>
      </c>
      <c r="J62" s="3227">
        <v>4.1200159478306589E-2</v>
      </c>
      <c r="K62" s="3227">
        <v>1.3058012692237522</v>
      </c>
      <c r="L62" s="3227">
        <v>0.3783078795359911</v>
      </c>
      <c r="M62" s="3497">
        <v>-0.13885818898913097</v>
      </c>
    </row>
    <row r="63" spans="2:13" ht="18" customHeight="1" x14ac:dyDescent="0.2">
      <c r="B63" s="2616" t="s">
        <v>577</v>
      </c>
      <c r="C63" s="2618" t="s">
        <v>577</v>
      </c>
      <c r="D63" s="3227">
        <v>0.5693845457409169</v>
      </c>
      <c r="E63" s="3227">
        <v>4.2811336689770325</v>
      </c>
      <c r="F63" s="3227">
        <v>0.36450792684180844</v>
      </c>
      <c r="G63" s="3103">
        <f t="shared" si="36"/>
        <v>5.1000000000000004E-2</v>
      </c>
      <c r="H63" s="3103">
        <f t="shared" si="37"/>
        <v>0.21497861112171365</v>
      </c>
      <c r="I63" s="3103">
        <f t="shared" si="3"/>
        <v>0.46300348209180464</v>
      </c>
      <c r="J63" s="3227">
        <v>2.9038611832786766E-2</v>
      </c>
      <c r="K63" s="3227">
        <v>0.92035217018308868</v>
      </c>
      <c r="L63" s="3227">
        <v>0.26663818310981535</v>
      </c>
      <c r="M63" s="3497">
        <v>-9.7869743731993267E-2</v>
      </c>
    </row>
    <row r="64" spans="2:13" ht="18" customHeight="1" x14ac:dyDescent="0.2">
      <c r="B64" s="104" t="s">
        <v>672</v>
      </c>
      <c r="C64" s="2508"/>
      <c r="D64" s="2108"/>
      <c r="E64" s="2108"/>
      <c r="F64" s="2108"/>
      <c r="G64" s="2108"/>
      <c r="H64" s="2108"/>
      <c r="I64" s="2108"/>
      <c r="J64" s="3103">
        <f>IF(SUM(J65:J76)=0,"NO",SUM(J65:J76))</f>
        <v>0.99194609846405457</v>
      </c>
      <c r="K64" s="3103">
        <f>IF(SUM(K65:K76)=0,"NO",SUM(K65:K76))</f>
        <v>355.56343735805979</v>
      </c>
      <c r="L64" s="3103">
        <f>IF(SUM(L65:L76)=0,"NO",SUM(L65:L76))</f>
        <v>13.739466537370962</v>
      </c>
      <c r="M64" s="3226">
        <f>IF(SUM(M65:M76)=0,"NO",SUM(M65:M76))</f>
        <v>-5.5860256410989066</v>
      </c>
    </row>
    <row r="65" spans="2:13" ht="18" customHeight="1" x14ac:dyDescent="0.2">
      <c r="B65" s="2616" t="s">
        <v>559</v>
      </c>
      <c r="C65" s="2618" t="s">
        <v>559</v>
      </c>
      <c r="D65" s="3227" t="s">
        <v>2146</v>
      </c>
      <c r="E65" s="3227" t="s">
        <v>2146</v>
      </c>
      <c r="F65" s="3227" t="s">
        <v>2146</v>
      </c>
      <c r="G65" s="3103" t="str">
        <f>IF(SUM(D65)=0,"NA",J65/D65)</f>
        <v>NA</v>
      </c>
      <c r="H65" s="3103" t="str">
        <f>IF(SUM(E65)=0,"NA",K65/E65)</f>
        <v>NA</v>
      </c>
      <c r="I65" s="3103" t="str">
        <f t="shared" si="3"/>
        <v>NA</v>
      </c>
      <c r="J65" s="3227" t="s">
        <v>2146</v>
      </c>
      <c r="K65" s="3227" t="s">
        <v>2146</v>
      </c>
      <c r="L65" s="3227" t="s">
        <v>2146</v>
      </c>
      <c r="M65" s="3497" t="s">
        <v>2146</v>
      </c>
    </row>
    <row r="66" spans="2:13" ht="18" customHeight="1" x14ac:dyDescent="0.2">
      <c r="B66" s="2616" t="s">
        <v>560</v>
      </c>
      <c r="C66" s="2618" t="s">
        <v>560</v>
      </c>
      <c r="D66" s="3227">
        <v>6.0015193107584173</v>
      </c>
      <c r="E66" s="3227">
        <v>72.741709991824507</v>
      </c>
      <c r="F66" s="3227">
        <v>0.54626583787229499</v>
      </c>
      <c r="G66" s="3103">
        <f t="shared" ref="G66:G76" si="38">IF(SUM(D66)=0,"NA",J66/D66)</f>
        <v>3.5000000000000005E-3</v>
      </c>
      <c r="H66" s="3103">
        <f t="shared" ref="H66:H76" si="39">IF(SUM(E66)=0,"NA",K66/E66)</f>
        <v>0.10350820291138237</v>
      </c>
      <c r="I66" s="3103">
        <f t="shared" si="3"/>
        <v>0.31606620676440583</v>
      </c>
      <c r="J66" s="3227">
        <v>2.1005317587654462E-2</v>
      </c>
      <c r="K66" s="3227">
        <v>7.5293636779547013</v>
      </c>
      <c r="L66" s="3227">
        <v>0.17265617126127619</v>
      </c>
      <c r="M66" s="3497" t="s">
        <v>2146</v>
      </c>
    </row>
    <row r="67" spans="2:13" ht="18" customHeight="1" x14ac:dyDescent="0.2">
      <c r="B67" s="2616" t="s">
        <v>562</v>
      </c>
      <c r="C67" s="2618" t="s">
        <v>562</v>
      </c>
      <c r="D67" s="3227" t="s">
        <v>2146</v>
      </c>
      <c r="E67" s="3227" t="s">
        <v>2146</v>
      </c>
      <c r="F67" s="3227" t="s">
        <v>2146</v>
      </c>
      <c r="G67" s="3103" t="str">
        <f t="shared" si="38"/>
        <v>NA</v>
      </c>
      <c r="H67" s="3103" t="str">
        <f t="shared" si="39"/>
        <v>NA</v>
      </c>
      <c r="I67" s="3103" t="str">
        <f t="shared" si="3"/>
        <v>NA</v>
      </c>
      <c r="J67" s="3227" t="s">
        <v>2146</v>
      </c>
      <c r="K67" s="3227" t="s">
        <v>2146</v>
      </c>
      <c r="L67" s="3227" t="s">
        <v>2146</v>
      </c>
      <c r="M67" s="3497" t="s">
        <v>2146</v>
      </c>
    </row>
    <row r="68" spans="2:13" ht="18" customHeight="1" x14ac:dyDescent="0.2">
      <c r="B68" s="2616" t="s">
        <v>563</v>
      </c>
      <c r="C68" s="2618" t="s">
        <v>563</v>
      </c>
      <c r="D68" s="3227">
        <v>41.602749195726496</v>
      </c>
      <c r="E68" s="3227">
        <v>504.24816786529954</v>
      </c>
      <c r="F68" s="3227">
        <v>3.7867345701038087</v>
      </c>
      <c r="G68" s="3103">
        <f t="shared" si="38"/>
        <v>3.5000000000000005E-3</v>
      </c>
      <c r="H68" s="3103">
        <f t="shared" si="39"/>
        <v>0.10350820291138237</v>
      </c>
      <c r="I68" s="3103">
        <f t="shared" si="3"/>
        <v>0.31606620676440728</v>
      </c>
      <c r="J68" s="3227">
        <v>0.14560962218504275</v>
      </c>
      <c r="K68" s="3227">
        <v>52.19382167709422</v>
      </c>
      <c r="L68" s="3227">
        <v>2.1949668113109198</v>
      </c>
      <c r="M68" s="3497">
        <v>-0.99810797971456044</v>
      </c>
    </row>
    <row r="69" spans="2:13" ht="18" customHeight="1" x14ac:dyDescent="0.2">
      <c r="B69" s="2616" t="s">
        <v>564</v>
      </c>
      <c r="C69" s="2618" t="s">
        <v>564</v>
      </c>
      <c r="D69" s="3227">
        <v>8.8840962743827773E-2</v>
      </c>
      <c r="E69" s="3227">
        <v>1.0768012585948574</v>
      </c>
      <c r="F69" s="3227">
        <v>8.0864161952526551E-3</v>
      </c>
      <c r="G69" s="3103">
        <f t="shared" si="38"/>
        <v>3.5000000000000001E-3</v>
      </c>
      <c r="H69" s="3103">
        <f t="shared" si="39"/>
        <v>0.10350820291138237</v>
      </c>
      <c r="I69" s="3103">
        <f t="shared" si="3"/>
        <v>0.31606620676440744</v>
      </c>
      <c r="J69" s="3227">
        <v>3.109433696033972E-4</v>
      </c>
      <c r="K69" s="3227">
        <v>0.11145776316986841</v>
      </c>
      <c r="L69" s="3227">
        <v>4.6872615026038456E-3</v>
      </c>
      <c r="M69" s="3497">
        <v>-2.1314186094520669E-3</v>
      </c>
    </row>
    <row r="70" spans="2:13" ht="18" customHeight="1" x14ac:dyDescent="0.2">
      <c r="B70" s="2616" t="s">
        <v>565</v>
      </c>
      <c r="C70" s="2618" t="s">
        <v>565</v>
      </c>
      <c r="D70" s="3227">
        <v>177.75918542368012</v>
      </c>
      <c r="E70" s="3227">
        <v>2154.5389500443448</v>
      </c>
      <c r="F70" s="3227">
        <v>16.179864687079075</v>
      </c>
      <c r="G70" s="3103">
        <f t="shared" si="38"/>
        <v>3.5000000000000001E-3</v>
      </c>
      <c r="H70" s="3103">
        <f t="shared" si="39"/>
        <v>0.10350820291138234</v>
      </c>
      <c r="I70" s="3103">
        <f t="shared" si="3"/>
        <v>0.31606620676440539</v>
      </c>
      <c r="J70" s="3227">
        <v>0.62215714898288044</v>
      </c>
      <c r="K70" s="3227">
        <v>223.01245482166669</v>
      </c>
      <c r="L70" s="3227">
        <v>9.3785992501360909</v>
      </c>
      <c r="M70" s="3497">
        <v>-4.2646907925296551</v>
      </c>
    </row>
    <row r="71" spans="2:13" ht="18" customHeight="1" x14ac:dyDescent="0.2">
      <c r="B71" s="2616" t="s">
        <v>567</v>
      </c>
      <c r="C71" s="2618" t="s">
        <v>567</v>
      </c>
      <c r="D71" s="3227">
        <v>44.57710023695676</v>
      </c>
      <c r="E71" s="3227">
        <v>540.29893595450721</v>
      </c>
      <c r="F71" s="3227">
        <v>4.0574637437567809</v>
      </c>
      <c r="G71" s="3103">
        <f t="shared" si="38"/>
        <v>3.5000000000000001E-3</v>
      </c>
      <c r="H71" s="3103">
        <f t="shared" si="39"/>
        <v>0.10350820291138235</v>
      </c>
      <c r="I71" s="3103">
        <f t="shared" si="3"/>
        <v>0.31606620676440667</v>
      </c>
      <c r="J71" s="3227">
        <v>0.15601985082934866</v>
      </c>
      <c r="K71" s="3227">
        <v>55.925371895583112</v>
      </c>
      <c r="L71" s="3227">
        <v>1.2824271745733142</v>
      </c>
      <c r="M71" s="3497" t="s">
        <v>2146</v>
      </c>
    </row>
    <row r="72" spans="2:13" ht="18" customHeight="1" x14ac:dyDescent="0.2">
      <c r="B72" s="2616" t="s">
        <v>569</v>
      </c>
      <c r="C72" s="2618" t="s">
        <v>569</v>
      </c>
      <c r="D72" s="3227">
        <v>3.8594284577199161</v>
      </c>
      <c r="E72" s="3227">
        <v>46.77839244845805</v>
      </c>
      <c r="F72" s="3227">
        <v>0.35129003357286953</v>
      </c>
      <c r="G72" s="3103">
        <f t="shared" si="38"/>
        <v>3.5000000000000001E-3</v>
      </c>
      <c r="H72" s="3103">
        <f t="shared" si="39"/>
        <v>0.10350820291138235</v>
      </c>
      <c r="I72" s="3103">
        <f t="shared" si="3"/>
        <v>0.31606620676440433</v>
      </c>
      <c r="J72" s="3227">
        <v>1.3507999602019706E-2</v>
      </c>
      <c r="K72" s="3227">
        <v>4.8419473374232718</v>
      </c>
      <c r="L72" s="3227">
        <v>0.20362398012375227</v>
      </c>
      <c r="M72" s="3497">
        <v>-9.2593071738235139E-2</v>
      </c>
    </row>
    <row r="73" spans="2:13" ht="18" customHeight="1" x14ac:dyDescent="0.2">
      <c r="B73" s="2616" t="s">
        <v>571</v>
      </c>
      <c r="C73" s="2618" t="s">
        <v>571</v>
      </c>
      <c r="D73" s="3227">
        <v>1.6216496738798998</v>
      </c>
      <c r="E73" s="3227">
        <v>19.655284633384202</v>
      </c>
      <c r="F73" s="3227">
        <v>0.14760459343175744</v>
      </c>
      <c r="G73" s="3103">
        <f t="shared" si="38"/>
        <v>3.5000000000000005E-3</v>
      </c>
      <c r="H73" s="3103">
        <f t="shared" si="39"/>
        <v>0.10350820291138235</v>
      </c>
      <c r="I73" s="3103">
        <f t="shared" si="3"/>
        <v>0.316066206764406</v>
      </c>
      <c r="J73" s="3227">
        <v>5.6757738585796504E-3</v>
      </c>
      <c r="K73" s="3227">
        <v>2.0344831901133076</v>
      </c>
      <c r="L73" s="3227">
        <v>8.5558461461128221E-2</v>
      </c>
      <c r="M73" s="3497">
        <v>-3.8905637514150292E-2</v>
      </c>
    </row>
    <row r="74" spans="2:13" ht="18" customHeight="1" x14ac:dyDescent="0.2">
      <c r="B74" s="2616" t="s">
        <v>574</v>
      </c>
      <c r="C74" s="2618" t="s">
        <v>574</v>
      </c>
      <c r="D74" s="3227">
        <v>0.68530386392364795</v>
      </c>
      <c r="E74" s="3227">
        <v>8.3062591894769984</v>
      </c>
      <c r="F74" s="3227">
        <v>6.2377219840364852E-2</v>
      </c>
      <c r="G74" s="3103">
        <f t="shared" si="38"/>
        <v>3.5000000000000001E-3</v>
      </c>
      <c r="H74" s="3103">
        <f t="shared" si="39"/>
        <v>0.10350820291138235</v>
      </c>
      <c r="I74" s="3103">
        <f t="shared" si="3"/>
        <v>0.31606620676440628</v>
      </c>
      <c r="J74" s="3227">
        <v>2.3985635237327679E-3</v>
      </c>
      <c r="K74" s="3227">
        <v>0.85976596161891949</v>
      </c>
      <c r="L74" s="3227">
        <v>3.6156726804248196E-2</v>
      </c>
      <c r="M74" s="3497">
        <v>-1.6441395540794615E-2</v>
      </c>
    </row>
    <row r="75" spans="2:13" ht="18" customHeight="1" x14ac:dyDescent="0.2">
      <c r="B75" s="2616" t="s">
        <v>576</v>
      </c>
      <c r="C75" s="2618" t="s">
        <v>576</v>
      </c>
      <c r="D75" s="3227">
        <v>4.2335276184084769</v>
      </c>
      <c r="E75" s="3227">
        <v>51.312679725716414</v>
      </c>
      <c r="F75" s="3227">
        <v>0.38534100981392311</v>
      </c>
      <c r="G75" s="3103">
        <f t="shared" si="38"/>
        <v>3.5000000000000005E-3</v>
      </c>
      <c r="H75" s="3103">
        <f t="shared" si="39"/>
        <v>0.10350820291138234</v>
      </c>
      <c r="I75" s="3103">
        <f t="shared" si="3"/>
        <v>0.31606620676440655</v>
      </c>
      <c r="J75" s="3227">
        <v>1.4817346664429671E-2</v>
      </c>
      <c r="K75" s="3227">
        <v>5.3112832649762289</v>
      </c>
      <c r="L75" s="3227">
        <v>0.22336150367027408</v>
      </c>
      <c r="M75" s="3497">
        <v>-0.10156823238762144</v>
      </c>
    </row>
    <row r="76" spans="2:13" ht="18" customHeight="1" x14ac:dyDescent="0.2">
      <c r="B76" s="2616" t="s">
        <v>577</v>
      </c>
      <c r="C76" s="2618" t="s">
        <v>577</v>
      </c>
      <c r="D76" s="3227">
        <v>2.9838662459322811</v>
      </c>
      <c r="E76" s="3227">
        <v>36.166097595805468</v>
      </c>
      <c r="F76" s="3227">
        <v>0.27159525955554653</v>
      </c>
      <c r="G76" s="3103">
        <f t="shared" si="38"/>
        <v>3.5000000000000001E-3</v>
      </c>
      <c r="H76" s="3103">
        <f t="shared" si="39"/>
        <v>0.10350820291138237</v>
      </c>
      <c r="I76" s="3103">
        <f t="shared" si="3"/>
        <v>0.31606620676441044</v>
      </c>
      <c r="J76" s="3227">
        <v>1.0443531860762984E-2</v>
      </c>
      <c r="K76" s="3227">
        <v>3.7434877684594903</v>
      </c>
      <c r="L76" s="3227">
        <v>0.15742919652735532</v>
      </c>
      <c r="M76" s="3497">
        <v>-7.1587113064438226E-2</v>
      </c>
    </row>
    <row r="77" spans="2:13" ht="18" customHeight="1" x14ac:dyDescent="0.2">
      <c r="B77" s="104" t="s">
        <v>673</v>
      </c>
      <c r="C77" s="2508"/>
      <c r="D77" s="2108"/>
      <c r="E77" s="2108"/>
      <c r="F77" s="2108"/>
      <c r="G77" s="2108"/>
      <c r="H77" s="2108"/>
      <c r="I77" s="2108"/>
      <c r="J77" s="3103">
        <f>IF(SUM(J78:J89)=0,"NO",SUM(J78:J89))</f>
        <v>3.8152088351240918</v>
      </c>
      <c r="K77" s="3103">
        <f>IF(SUM(K78:K89)=0,"NO",SUM(K78:K89))</f>
        <v>267.03751828845066</v>
      </c>
      <c r="L77" s="3103">
        <f>IF(SUM(L78:L89)=0,"NO",SUM(L78:L89))</f>
        <v>210.64607885453691</v>
      </c>
      <c r="M77" s="3226">
        <f>IF(SUM(M78:M89)=0,"NO",SUM(M78:M89))</f>
        <v>-104.03509391444331</v>
      </c>
    </row>
    <row r="78" spans="2:13" ht="18" customHeight="1" x14ac:dyDescent="0.2">
      <c r="B78" s="2616" t="s">
        <v>559</v>
      </c>
      <c r="C78" s="2618" t="s">
        <v>559</v>
      </c>
      <c r="D78" s="3227" t="s">
        <v>2146</v>
      </c>
      <c r="E78" s="3227" t="s">
        <v>2146</v>
      </c>
      <c r="F78" s="3227" t="s">
        <v>2146</v>
      </c>
      <c r="G78" s="3103" t="str">
        <f>IF(SUM(D78)=0,"NA",J78/D78)</f>
        <v>NA</v>
      </c>
      <c r="H78" s="3103" t="str">
        <f>IF(SUM(E78)=0,"NA",K78/E78)</f>
        <v>NA</v>
      </c>
      <c r="I78" s="3103" t="str">
        <f t="shared" si="3"/>
        <v>NA</v>
      </c>
      <c r="J78" s="3227" t="s">
        <v>2146</v>
      </c>
      <c r="K78" s="3227" t="s">
        <v>2146</v>
      </c>
      <c r="L78" s="3227" t="s">
        <v>2146</v>
      </c>
      <c r="M78" s="3497" t="s">
        <v>2146</v>
      </c>
    </row>
    <row r="79" spans="2:13" ht="18" customHeight="1" x14ac:dyDescent="0.2">
      <c r="B79" s="2616" t="s">
        <v>560</v>
      </c>
      <c r="C79" s="2618" t="s">
        <v>560</v>
      </c>
      <c r="D79" s="3227">
        <v>12.587146810162805</v>
      </c>
      <c r="E79" s="3227">
        <v>140.00013358291039</v>
      </c>
      <c r="F79" s="3227">
        <v>3.3811267243362608</v>
      </c>
      <c r="G79" s="3103">
        <f t="shared" ref="G79:G89" si="40">IF(SUM(D79)=0,"NA",J79/D79)</f>
        <v>6.4184800569716885E-3</v>
      </c>
      <c r="H79" s="3103">
        <f t="shared" ref="H79:H89" si="41">IF(SUM(E79)=0,"NA",K79/E79)</f>
        <v>4.0391037779574639E-2</v>
      </c>
      <c r="I79" s="3103">
        <f t="shared" ref="I79:I89" si="42">IF(SUM(F79)=0,"NA",(SUM(L79:M79))/F79)</f>
        <v>0.66770047604624294</v>
      </c>
      <c r="J79" s="3227">
        <v>8.0790350775204772E-2</v>
      </c>
      <c r="K79" s="3227">
        <v>5.6547506846928295</v>
      </c>
      <c r="L79" s="3227">
        <v>69.583108585131924</v>
      </c>
      <c r="M79" s="3497">
        <v>-67.325528661719929</v>
      </c>
    </row>
    <row r="80" spans="2:13" ht="18" customHeight="1" x14ac:dyDescent="0.2">
      <c r="B80" s="2616" t="s">
        <v>562</v>
      </c>
      <c r="C80" s="2618" t="s">
        <v>562</v>
      </c>
      <c r="D80" s="3227" t="s">
        <v>2146</v>
      </c>
      <c r="E80" s="3227" t="s">
        <v>2146</v>
      </c>
      <c r="F80" s="3227" t="s">
        <v>2146</v>
      </c>
      <c r="G80" s="3103" t="str">
        <f t="shared" si="40"/>
        <v>NA</v>
      </c>
      <c r="H80" s="3103" t="str">
        <f t="shared" si="41"/>
        <v>NA</v>
      </c>
      <c r="I80" s="3103" t="str">
        <f t="shared" si="42"/>
        <v>NA</v>
      </c>
      <c r="J80" s="3227" t="s">
        <v>2146</v>
      </c>
      <c r="K80" s="3227" t="s">
        <v>2146</v>
      </c>
      <c r="L80" s="3227" t="s">
        <v>2146</v>
      </c>
      <c r="M80" s="3497" t="s">
        <v>2146</v>
      </c>
    </row>
    <row r="81" spans="2:13" ht="18" customHeight="1" x14ac:dyDescent="0.2">
      <c r="B81" s="2616" t="s">
        <v>563</v>
      </c>
      <c r="C81" s="2618" t="s">
        <v>563</v>
      </c>
      <c r="D81" s="3227">
        <v>87.254557507508309</v>
      </c>
      <c r="E81" s="3227">
        <v>970.485995833944</v>
      </c>
      <c r="F81" s="3227">
        <v>23.438092894139814</v>
      </c>
      <c r="G81" s="3103">
        <f t="shared" si="40"/>
        <v>6.4184800569716885E-3</v>
      </c>
      <c r="H81" s="3103">
        <f t="shared" si="41"/>
        <v>4.0391037779574639E-2</v>
      </c>
      <c r="I81" s="3103">
        <f t="shared" si="42"/>
        <v>0.6677004760462445</v>
      </c>
      <c r="J81" s="3227">
        <v>0.56004163724183142</v>
      </c>
      <c r="K81" s="3227">
        <v>39.198936522276945</v>
      </c>
      <c r="L81" s="3227">
        <v>19.500240586503985</v>
      </c>
      <c r="M81" s="3497">
        <v>-3.850614803470731</v>
      </c>
    </row>
    <row r="82" spans="2:13" ht="18" customHeight="1" x14ac:dyDescent="0.2">
      <c r="B82" s="2616" t="s">
        <v>564</v>
      </c>
      <c r="C82" s="2618" t="s">
        <v>564</v>
      </c>
      <c r="D82" s="3227">
        <v>0.18632852498002703</v>
      </c>
      <c r="E82" s="3227">
        <v>2.0724329970036344</v>
      </c>
      <c r="F82" s="3227">
        <v>5.0051085032826216E-2</v>
      </c>
      <c r="G82" s="3103">
        <f t="shared" si="40"/>
        <v>6.4184800569716876E-3</v>
      </c>
      <c r="H82" s="3103">
        <f t="shared" si="41"/>
        <v>4.0391037779574639E-2</v>
      </c>
      <c r="I82" s="3103">
        <f t="shared" si="42"/>
        <v>0.66770047604624427</v>
      </c>
      <c r="J82" s="3227">
        <v>1.1959459216292544E-3</v>
      </c>
      <c r="K82" s="3227">
        <v>8.3707719477610895E-2</v>
      </c>
      <c r="L82" s="3227">
        <v>6.5996197260406342E-2</v>
      </c>
      <c r="M82" s="3497">
        <v>-3.2577063957357225E-2</v>
      </c>
    </row>
    <row r="83" spans="2:13" ht="18" customHeight="1" x14ac:dyDescent="0.2">
      <c r="B83" s="2616" t="s">
        <v>565</v>
      </c>
      <c r="C83" s="2618" t="s">
        <v>565</v>
      </c>
      <c r="D83" s="3227">
        <v>372.81908928825248</v>
      </c>
      <c r="E83" s="3227">
        <v>4146.6682711980893</v>
      </c>
      <c r="F83" s="3227">
        <v>100.14569664965342</v>
      </c>
      <c r="G83" s="3103">
        <f t="shared" si="40"/>
        <v>6.4184800569716885E-3</v>
      </c>
      <c r="H83" s="3103">
        <f t="shared" si="41"/>
        <v>4.0391037779574632E-2</v>
      </c>
      <c r="I83" s="3103">
        <f t="shared" si="42"/>
        <v>0.66770047604624461</v>
      </c>
      <c r="J83" s="3227">
        <v>2.3929318894549958</v>
      </c>
      <c r="K83" s="3227">
        <v>167.48823480132546</v>
      </c>
      <c r="L83" s="3227">
        <v>88.420139876208083</v>
      </c>
      <c r="M83" s="3497">
        <v>-21.552810549251692</v>
      </c>
    </row>
    <row r="84" spans="2:13" ht="18" customHeight="1" x14ac:dyDescent="0.2">
      <c r="B84" s="2616" t="s">
        <v>567</v>
      </c>
      <c r="C84" s="2618" t="s">
        <v>567</v>
      </c>
      <c r="D84" s="3227">
        <v>93.492743420500872</v>
      </c>
      <c r="E84" s="3227">
        <v>1039.8700170347495</v>
      </c>
      <c r="F84" s="3227">
        <v>25.113778211861497</v>
      </c>
      <c r="G84" s="3103">
        <f t="shared" si="40"/>
        <v>6.4184800569716876E-3</v>
      </c>
      <c r="H84" s="3103">
        <f t="shared" si="41"/>
        <v>4.0391037779574632E-2</v>
      </c>
      <c r="I84" s="3103">
        <f t="shared" si="42"/>
        <v>0.66770047604624438</v>
      </c>
      <c r="J84" s="3227">
        <v>0.60008130911605584</v>
      </c>
      <c r="K84" s="3227">
        <v>42.001429143897482</v>
      </c>
      <c r="L84" s="3227">
        <v>26.680374329525947</v>
      </c>
      <c r="M84" s="3497">
        <v>-9.9118926621462258</v>
      </c>
    </row>
    <row r="85" spans="2:13" ht="18" customHeight="1" x14ac:dyDescent="0.2">
      <c r="B85" s="2616" t="s">
        <v>569</v>
      </c>
      <c r="C85" s="2618" t="s">
        <v>569</v>
      </c>
      <c r="D85" s="3227">
        <v>8.0192073284559875</v>
      </c>
      <c r="E85" s="3227">
        <v>87.250282205505755</v>
      </c>
      <c r="F85" s="3227">
        <v>2.1499646380210597</v>
      </c>
      <c r="G85" s="3103">
        <f t="shared" si="40"/>
        <v>6.4787293688692103E-3</v>
      </c>
      <c r="H85" s="3103">
        <f t="shared" si="41"/>
        <v>4.1678147613300437E-2</v>
      </c>
      <c r="I85" s="3103">
        <f t="shared" si="42"/>
        <v>0.67526401148578374</v>
      </c>
      <c r="J85" s="3227">
        <v>5.1954274033919008E-2</v>
      </c>
      <c r="K85" s="3227">
        <v>3.6364301410631894</v>
      </c>
      <c r="L85" s="3227">
        <v>1.8357247789899263</v>
      </c>
      <c r="M85" s="3497">
        <v>-0.38393103296724446</v>
      </c>
    </row>
    <row r="86" spans="2:13" ht="18" customHeight="1" x14ac:dyDescent="0.2">
      <c r="B86" s="2616" t="s">
        <v>571</v>
      </c>
      <c r="C86" s="2618" t="s">
        <v>571</v>
      </c>
      <c r="D86" s="3227">
        <v>3.4011291912679793</v>
      </c>
      <c r="E86" s="3227">
        <v>37.828949506317414</v>
      </c>
      <c r="F86" s="3227">
        <v>0.91360250062639869</v>
      </c>
      <c r="G86" s="3103">
        <f t="shared" si="40"/>
        <v>6.4184800569716876E-3</v>
      </c>
      <c r="H86" s="3103">
        <f t="shared" si="41"/>
        <v>4.0391037779574639E-2</v>
      </c>
      <c r="I86" s="3103">
        <f t="shared" si="42"/>
        <v>0.66770047604624427</v>
      </c>
      <c r="J86" s="3227">
        <v>2.1830079885337771E-2</v>
      </c>
      <c r="K86" s="3227">
        <v>1.527950528671288</v>
      </c>
      <c r="L86" s="3227">
        <v>0.77347374016833048</v>
      </c>
      <c r="M86" s="3497">
        <v>-0.16346091558304485</v>
      </c>
    </row>
    <row r="87" spans="2:13" ht="18" customHeight="1" x14ac:dyDescent="0.2">
      <c r="B87" s="2616" t="s">
        <v>574</v>
      </c>
      <c r="C87" s="2618" t="s">
        <v>574</v>
      </c>
      <c r="D87" s="3227">
        <v>1.437306105025048</v>
      </c>
      <c r="E87" s="3227">
        <v>15.986390699802815</v>
      </c>
      <c r="F87" s="3227">
        <v>0.38608543747405394</v>
      </c>
      <c r="G87" s="3103">
        <f t="shared" si="40"/>
        <v>6.4184800569716868E-3</v>
      </c>
      <c r="H87" s="3103">
        <f t="shared" si="41"/>
        <v>4.0391037779574639E-2</v>
      </c>
      <c r="I87" s="3103">
        <f t="shared" si="42"/>
        <v>0.66770047604624416</v>
      </c>
      <c r="J87" s="3227">
        <v>9.2253205708669236E-3</v>
      </c>
      <c r="K87" s="3227">
        <v>0.64570691071477615</v>
      </c>
      <c r="L87" s="3227">
        <v>0.38522005965527339</v>
      </c>
      <c r="M87" s="3497">
        <v>-0.12743062925932516</v>
      </c>
    </row>
    <row r="88" spans="2:13" ht="18" customHeight="1" x14ac:dyDescent="0.2">
      <c r="B88" s="2616" t="s">
        <v>576</v>
      </c>
      <c r="C88" s="2618" t="s">
        <v>576</v>
      </c>
      <c r="D88" s="3227">
        <v>8.7965189858238446</v>
      </c>
      <c r="E88" s="3227">
        <v>95.707559675601175</v>
      </c>
      <c r="F88" s="3227">
        <v>2.3583633621857594</v>
      </c>
      <c r="G88" s="3103">
        <f t="shared" si="40"/>
        <v>6.4787293688692111E-3</v>
      </c>
      <c r="H88" s="3103">
        <f t="shared" si="41"/>
        <v>4.1678147613300444E-2</v>
      </c>
      <c r="I88" s="3103">
        <f t="shared" si="42"/>
        <v>0.67526401148578308</v>
      </c>
      <c r="J88" s="3227">
        <v>5.6990265897272546E-2</v>
      </c>
      <c r="K88" s="3227">
        <v>3.9889137998684667</v>
      </c>
      <c r="L88" s="3227">
        <v>2.0031885709214725</v>
      </c>
      <c r="M88" s="3497">
        <v>-0.4106706664308179</v>
      </c>
    </row>
    <row r="89" spans="2:13" ht="18" customHeight="1" x14ac:dyDescent="0.2">
      <c r="B89" s="2616" t="s">
        <v>577</v>
      </c>
      <c r="C89" s="2618" t="s">
        <v>577</v>
      </c>
      <c r="D89" s="3227">
        <v>6.1999444551561913</v>
      </c>
      <c r="E89" s="3227">
        <v>67.456405753633476</v>
      </c>
      <c r="F89" s="3227">
        <v>1.6622168239721817</v>
      </c>
      <c r="G89" s="3103">
        <f t="shared" si="40"/>
        <v>6.4787293688692111E-3</v>
      </c>
      <c r="H89" s="3103">
        <f t="shared" si="41"/>
        <v>4.1678147613300444E-2</v>
      </c>
      <c r="I89" s="3103">
        <f t="shared" si="42"/>
        <v>0.67526401148578352</v>
      </c>
      <c r="J89" s="3227">
        <v>4.0167762226978238E-2</v>
      </c>
      <c r="K89" s="3227">
        <v>2.8114580364626254</v>
      </c>
      <c r="L89" s="3227">
        <v>1.3986121301715539</v>
      </c>
      <c r="M89" s="3497">
        <v>-0.27617692965694013</v>
      </c>
    </row>
    <row r="90" spans="2:13" ht="18" customHeight="1" x14ac:dyDescent="0.2">
      <c r="B90" s="88" t="s">
        <v>475</v>
      </c>
      <c r="C90" s="2508" t="s">
        <v>623</v>
      </c>
      <c r="D90" s="2108"/>
      <c r="E90" s="2108"/>
      <c r="F90" s="2108"/>
      <c r="G90" s="2108"/>
      <c r="H90" s="2108"/>
      <c r="I90" s="2108"/>
      <c r="J90" s="3103">
        <f>IF(SUM(J91,J104)=0,"NO",SUM(J91,J104))</f>
        <v>13.639765930588981</v>
      </c>
      <c r="K90" s="3103">
        <f t="shared" ref="K90:M90" si="43">IF(SUM(K91,K104)=0,"NO",SUM(K91,K104))</f>
        <v>1.9732302018557508</v>
      </c>
      <c r="L90" s="3103">
        <f t="shared" si="43"/>
        <v>0.89730151400701619</v>
      </c>
      <c r="M90" s="3226" t="str">
        <f t="shared" si="43"/>
        <v>NO</v>
      </c>
    </row>
    <row r="91" spans="2:13" ht="18" customHeight="1" x14ac:dyDescent="0.2">
      <c r="B91" s="104" t="s">
        <v>674</v>
      </c>
      <c r="C91" s="2508"/>
      <c r="D91" s="2108"/>
      <c r="E91" s="2108"/>
      <c r="F91" s="2108"/>
      <c r="G91" s="2108"/>
      <c r="H91" s="2108"/>
      <c r="I91" s="2108"/>
      <c r="J91" s="3103">
        <f>IF(SUM(J92:J103)=0,"NO",SUM(J92:J103))</f>
        <v>13.639765930588981</v>
      </c>
      <c r="K91" s="3103">
        <f>IF(SUM(K92:K103)=0,"NO",SUM(K92:K103))</f>
        <v>1.9732302018557508</v>
      </c>
      <c r="L91" s="3103">
        <f>IF(SUM(L92:L103)=0,"NO",SUM(L92:L103))</f>
        <v>0.89730151400701619</v>
      </c>
      <c r="M91" s="3226" t="str">
        <f>IF(SUM(M92:M103)=0,"NO",SUM(M92:M103))</f>
        <v>NO</v>
      </c>
    </row>
    <row r="92" spans="2:13" ht="18" customHeight="1" x14ac:dyDescent="0.2">
      <c r="B92" s="2616" t="s">
        <v>559</v>
      </c>
      <c r="C92" s="2618" t="s">
        <v>559</v>
      </c>
      <c r="D92" s="3227" t="s">
        <v>2146</v>
      </c>
      <c r="E92" s="3227" t="s">
        <v>2146</v>
      </c>
      <c r="F92" s="3227" t="s">
        <v>2146</v>
      </c>
      <c r="G92" s="3103" t="str">
        <f>IF(SUM(D92)=0,"NA",J92/D92)</f>
        <v>NA</v>
      </c>
      <c r="H92" s="3103" t="str">
        <f>IF(SUM(E92)=0,"NA",K92/E92)</f>
        <v>NA</v>
      </c>
      <c r="I92" s="3103" t="str">
        <f t="shared" ref="I92:I103" si="44">IF(SUM(F92)=0,"NA",(SUM(L92:M92))/F92)</f>
        <v>NA</v>
      </c>
      <c r="J92" s="3227" t="s">
        <v>2146</v>
      </c>
      <c r="K92" s="3227" t="s">
        <v>2146</v>
      </c>
      <c r="L92" s="3227" t="s">
        <v>2146</v>
      </c>
      <c r="M92" s="3497" t="s">
        <v>2146</v>
      </c>
    </row>
    <row r="93" spans="2:13" ht="18" customHeight="1" x14ac:dyDescent="0.2">
      <c r="B93" s="2616" t="s">
        <v>560</v>
      </c>
      <c r="C93" s="2618" t="s">
        <v>560</v>
      </c>
      <c r="D93" s="3227">
        <v>0.48138975769772835</v>
      </c>
      <c r="E93" s="3227">
        <v>1.7481798382385765</v>
      </c>
      <c r="F93" s="3227">
        <v>1.9001136556497458E-2</v>
      </c>
      <c r="G93" s="3103">
        <f t="shared" ref="G93:G103" si="45">IF(SUM(D93)=0,"NA",J93/D93)</f>
        <v>0.6</v>
      </c>
      <c r="H93" s="3103">
        <f t="shared" ref="H93:H103" si="46">IF(SUM(E93)=0,"NA",K93/E93)</f>
        <v>2.3901922035233066E-2</v>
      </c>
      <c r="I93" s="3103">
        <f t="shared" si="44"/>
        <v>1.0000000000000075</v>
      </c>
      <c r="J93" s="3227">
        <v>0.28883385461863698</v>
      </c>
      <c r="K93" s="3227">
        <v>4.1784858197144809E-2</v>
      </c>
      <c r="L93" s="3227">
        <v>1.90011365564976E-2</v>
      </c>
      <c r="M93" s="3497" t="s">
        <v>2146</v>
      </c>
    </row>
    <row r="94" spans="2:13" ht="18" customHeight="1" x14ac:dyDescent="0.2">
      <c r="B94" s="2616" t="s">
        <v>562</v>
      </c>
      <c r="C94" s="2618" t="s">
        <v>562</v>
      </c>
      <c r="D94" s="3227" t="s">
        <v>2146</v>
      </c>
      <c r="E94" s="3227" t="s">
        <v>2146</v>
      </c>
      <c r="F94" s="3227" t="s">
        <v>2146</v>
      </c>
      <c r="G94" s="3103" t="str">
        <f t="shared" si="45"/>
        <v>NA</v>
      </c>
      <c r="H94" s="3103" t="str">
        <f t="shared" si="46"/>
        <v>NA</v>
      </c>
      <c r="I94" s="3103" t="str">
        <f t="shared" si="44"/>
        <v>NA</v>
      </c>
      <c r="J94" s="3227" t="s">
        <v>2146</v>
      </c>
      <c r="K94" s="3227" t="s">
        <v>2146</v>
      </c>
      <c r="L94" s="3227" t="s">
        <v>2146</v>
      </c>
      <c r="M94" s="3497" t="s">
        <v>2146</v>
      </c>
    </row>
    <row r="95" spans="2:13" ht="18" customHeight="1" x14ac:dyDescent="0.2">
      <c r="B95" s="2616" t="s">
        <v>563</v>
      </c>
      <c r="C95" s="2618" t="s">
        <v>563</v>
      </c>
      <c r="D95" s="3227">
        <v>3.3370112329704882</v>
      </c>
      <c r="E95" s="3227">
        <v>12.118445945660779</v>
      </c>
      <c r="F95" s="3227">
        <v>0.13171656669947762</v>
      </c>
      <c r="G95" s="3103">
        <f t="shared" si="45"/>
        <v>0.6</v>
      </c>
      <c r="H95" s="3103">
        <f t="shared" si="46"/>
        <v>2.3901922035233066E-2</v>
      </c>
      <c r="I95" s="3103">
        <f t="shared" si="44"/>
        <v>1.0000000000000093</v>
      </c>
      <c r="J95" s="3227">
        <v>2.0022067397822929</v>
      </c>
      <c r="K95" s="3227">
        <v>0.2896541501813702</v>
      </c>
      <c r="L95" s="3227">
        <v>0.13171656669947884</v>
      </c>
      <c r="M95" s="3497" t="s">
        <v>2146</v>
      </c>
    </row>
    <row r="96" spans="2:13" ht="18" customHeight="1" x14ac:dyDescent="0.2">
      <c r="B96" s="2616" t="s">
        <v>564</v>
      </c>
      <c r="C96" s="2618" t="s">
        <v>564</v>
      </c>
      <c r="D96" s="3227">
        <v>7.126050473955676E-3</v>
      </c>
      <c r="E96" s="3227">
        <v>2.5878443746744782E-2</v>
      </c>
      <c r="F96" s="3227">
        <v>2.8127532004772481E-4</v>
      </c>
      <c r="G96" s="3103">
        <f t="shared" si="45"/>
        <v>0.6</v>
      </c>
      <c r="H96" s="3103">
        <f t="shared" si="46"/>
        <v>2.3901922035233069E-2</v>
      </c>
      <c r="I96" s="3103">
        <f t="shared" si="44"/>
        <v>1.0000000000000051</v>
      </c>
      <c r="J96" s="3227">
        <v>4.2756302843734058E-3</v>
      </c>
      <c r="K96" s="3227">
        <v>6.1854454482785856E-4</v>
      </c>
      <c r="L96" s="3227">
        <v>2.8127532004772627E-4</v>
      </c>
      <c r="M96" s="3497" t="s">
        <v>2146</v>
      </c>
    </row>
    <row r="97" spans="2:13" ht="18" customHeight="1" x14ac:dyDescent="0.2">
      <c r="B97" s="2616" t="s">
        <v>565</v>
      </c>
      <c r="C97" s="2618" t="s">
        <v>565</v>
      </c>
      <c r="D97" s="3227">
        <v>14.258298068999663</v>
      </c>
      <c r="E97" s="3227">
        <v>51.779392505215455</v>
      </c>
      <c r="F97" s="3227">
        <v>0.56279524925501989</v>
      </c>
      <c r="G97" s="3103">
        <f t="shared" si="45"/>
        <v>0.6</v>
      </c>
      <c r="H97" s="3103">
        <f t="shared" si="46"/>
        <v>2.3901922035233069E-2</v>
      </c>
      <c r="I97" s="3103">
        <f t="shared" si="44"/>
        <v>1.0000000000000091</v>
      </c>
      <c r="J97" s="3227">
        <v>8.554978841399798</v>
      </c>
      <c r="K97" s="3227">
        <v>1.2376270026913914</v>
      </c>
      <c r="L97" s="3227">
        <v>0.562795249255025</v>
      </c>
      <c r="M97" s="3497" t="s">
        <v>2146</v>
      </c>
    </row>
    <row r="98" spans="2:13" ht="18" customHeight="1" x14ac:dyDescent="0.2">
      <c r="B98" s="2616" t="s">
        <v>567</v>
      </c>
      <c r="C98" s="2618" t="s">
        <v>567</v>
      </c>
      <c r="D98" s="3227">
        <v>3.5755878421432881</v>
      </c>
      <c r="E98" s="3227">
        <v>12.984843311541381</v>
      </c>
      <c r="F98" s="3227">
        <v>0.14113352386898384</v>
      </c>
      <c r="G98" s="3103">
        <f t="shared" si="45"/>
        <v>0.6</v>
      </c>
      <c r="H98" s="3103">
        <f t="shared" si="46"/>
        <v>2.3901922035233069E-2</v>
      </c>
      <c r="I98" s="3103">
        <f t="shared" si="44"/>
        <v>1.0000000000000115</v>
      </c>
      <c r="J98" s="3227">
        <v>2.1453527052859727</v>
      </c>
      <c r="K98" s="3227">
        <v>0.31036271247217967</v>
      </c>
      <c r="L98" s="3227">
        <v>0.14113352386898548</v>
      </c>
      <c r="M98" s="3497" t="s">
        <v>2146</v>
      </c>
    </row>
    <row r="99" spans="2:13" ht="18" customHeight="1" x14ac:dyDescent="0.2">
      <c r="B99" s="2616" t="s">
        <v>569</v>
      </c>
      <c r="C99" s="2618" t="s">
        <v>569</v>
      </c>
      <c r="D99" s="3227">
        <v>0.30956983288931961</v>
      </c>
      <c r="E99" s="3227">
        <v>1.1242111651320403</v>
      </c>
      <c r="F99" s="3227">
        <v>1.2219160408883411E-2</v>
      </c>
      <c r="G99" s="3103">
        <f t="shared" si="45"/>
        <v>0.59999999999999987</v>
      </c>
      <c r="H99" s="3103">
        <f t="shared" si="46"/>
        <v>2.3901922035233072E-2</v>
      </c>
      <c r="I99" s="3103">
        <f t="shared" si="44"/>
        <v>1.0000000000000087</v>
      </c>
      <c r="J99" s="3227">
        <v>0.18574189973359173</v>
      </c>
      <c r="K99" s="3227">
        <v>2.6870807620124563E-2</v>
      </c>
      <c r="L99" s="3227">
        <v>1.2219160408883517E-2</v>
      </c>
      <c r="M99" s="3497" t="s">
        <v>2146</v>
      </c>
    </row>
    <row r="100" spans="2:13" ht="18" customHeight="1" x14ac:dyDescent="0.2">
      <c r="B100" s="2616" t="s">
        <v>571</v>
      </c>
      <c r="C100" s="2618" t="s">
        <v>571</v>
      </c>
      <c r="D100" s="3227">
        <v>0.13007465329324988</v>
      </c>
      <c r="E100" s="3227">
        <v>0.47236959805845397</v>
      </c>
      <c r="F100" s="3227">
        <v>5.1342310679489689E-3</v>
      </c>
      <c r="G100" s="3103">
        <f t="shared" si="45"/>
        <v>0.6</v>
      </c>
      <c r="H100" s="3103">
        <f t="shared" si="46"/>
        <v>2.3901922035233069E-2</v>
      </c>
      <c r="I100" s="3103">
        <f t="shared" si="44"/>
        <v>1.0000000000000109</v>
      </c>
      <c r="J100" s="3227">
        <v>7.804479197594992E-2</v>
      </c>
      <c r="K100" s="3227">
        <v>1.1290541304607549E-2</v>
      </c>
      <c r="L100" s="3227">
        <v>5.1342310679490244E-3</v>
      </c>
      <c r="M100" s="3497" t="s">
        <v>2146</v>
      </c>
    </row>
    <row r="101" spans="2:13" ht="18" customHeight="1" x14ac:dyDescent="0.2">
      <c r="B101" s="2616" t="s">
        <v>574</v>
      </c>
      <c r="C101" s="2618" t="s">
        <v>574</v>
      </c>
      <c r="D101" s="3227">
        <v>5.4969124303597773E-2</v>
      </c>
      <c r="E101" s="3227">
        <v>0.19962185172522881</v>
      </c>
      <c r="F101" s="3227">
        <v>2.1697093064027883E-3</v>
      </c>
      <c r="G101" s="3103">
        <f t="shared" si="45"/>
        <v>0.6</v>
      </c>
      <c r="H101" s="3103">
        <f t="shared" si="46"/>
        <v>2.3901922035233069E-2</v>
      </c>
      <c r="I101" s="3103">
        <f t="shared" si="44"/>
        <v>1.0000000000000044</v>
      </c>
      <c r="J101" s="3227">
        <v>3.2981474582158665E-2</v>
      </c>
      <c r="K101" s="3227">
        <v>4.7713459364652749E-3</v>
      </c>
      <c r="L101" s="3227">
        <v>2.1697093064027978E-3</v>
      </c>
      <c r="M101" s="3497" t="s">
        <v>2146</v>
      </c>
    </row>
    <row r="102" spans="2:13" ht="18" customHeight="1" x14ac:dyDescent="0.2">
      <c r="B102" s="2616" t="s">
        <v>576</v>
      </c>
      <c r="C102" s="2618" t="s">
        <v>576</v>
      </c>
      <c r="D102" s="3227">
        <v>0.33957681861974326</v>
      </c>
      <c r="E102" s="3227">
        <v>1.233182339988607</v>
      </c>
      <c r="F102" s="3227">
        <v>1.3403578698627471E-2</v>
      </c>
      <c r="G102" s="3103">
        <f t="shared" si="45"/>
        <v>0.6</v>
      </c>
      <c r="H102" s="3103">
        <f t="shared" si="46"/>
        <v>2.3901922035233069E-2</v>
      </c>
      <c r="I102" s="3103">
        <f t="shared" si="44"/>
        <v>1.0000000000000115</v>
      </c>
      <c r="J102" s="3227">
        <v>0.20374609117184594</v>
      </c>
      <c r="K102" s="3227">
        <v>2.9475428145633965E-2</v>
      </c>
      <c r="L102" s="3227">
        <v>1.3403578698627627E-2</v>
      </c>
      <c r="M102" s="3497" t="s">
        <v>2146</v>
      </c>
    </row>
    <row r="103" spans="2:13" ht="18" customHeight="1" x14ac:dyDescent="0.2">
      <c r="B103" s="2616" t="s">
        <v>577</v>
      </c>
      <c r="C103" s="2618" t="s">
        <v>577</v>
      </c>
      <c r="D103" s="3227">
        <v>0.23933983625727126</v>
      </c>
      <c r="E103" s="3227">
        <v>0.8691690455429445</v>
      </c>
      <c r="F103" s="3227">
        <v>9.4470828251184726E-3</v>
      </c>
      <c r="G103" s="3103">
        <f t="shared" si="45"/>
        <v>0.6</v>
      </c>
      <c r="H103" s="3103">
        <f t="shared" si="46"/>
        <v>2.3901922035233069E-2</v>
      </c>
      <c r="I103" s="3103">
        <f t="shared" si="44"/>
        <v>1.0000000000000113</v>
      </c>
      <c r="J103" s="3227">
        <v>0.14360390175436274</v>
      </c>
      <c r="K103" s="3227">
        <v>2.0774810762005401E-2</v>
      </c>
      <c r="L103" s="3227">
        <v>9.4470828251185801E-3</v>
      </c>
      <c r="M103" s="3497" t="s">
        <v>2146</v>
      </c>
    </row>
    <row r="104" spans="2:13" ht="18" customHeight="1" x14ac:dyDescent="0.2">
      <c r="B104" s="104" t="s">
        <v>675</v>
      </c>
      <c r="C104" s="2508"/>
      <c r="D104" s="2108"/>
      <c r="E104" s="2108"/>
      <c r="F104" s="2108"/>
      <c r="G104" s="2108"/>
      <c r="H104" s="2108"/>
      <c r="I104" s="2108"/>
      <c r="J104" s="3103" t="str">
        <f>IF(SUM(J105:J116)=0,"NO",SUM(J105:J116))</f>
        <v>NO</v>
      </c>
      <c r="K104" s="3103" t="str">
        <f>IF(SUM(K105:K116)=0,"NO",SUM(K105:K116))</f>
        <v>NO</v>
      </c>
      <c r="L104" s="3228"/>
      <c r="M104" s="3226" t="str">
        <f>IF(SUM(M105:M116)=0,"NO",SUM(M105:M116))</f>
        <v>NO</v>
      </c>
    </row>
    <row r="105" spans="2:13" ht="18" customHeight="1" x14ac:dyDescent="0.2">
      <c r="B105" s="2616" t="s">
        <v>559</v>
      </c>
      <c r="C105" s="2618" t="s">
        <v>559</v>
      </c>
      <c r="D105" s="3227" t="str">
        <f>IF(D92="NO","NO","IE")</f>
        <v>NO</v>
      </c>
      <c r="E105" s="3227" t="str">
        <f>IF(E92="NO","NO","IE")</f>
        <v>NO</v>
      </c>
      <c r="F105" s="2108"/>
      <c r="G105" s="3103" t="str">
        <f>IF(SUM(D105)=0,"NA",J105/D105)</f>
        <v>NA</v>
      </c>
      <c r="H105" s="3103" t="str">
        <f>IF(SUM(E105)=0,"NA",K105/E105)</f>
        <v>NA</v>
      </c>
      <c r="I105" s="2108"/>
      <c r="J105" s="3227" t="str">
        <f>IF(J92="NO","NO","IE")</f>
        <v>NO</v>
      </c>
      <c r="K105" s="3227" t="str">
        <f>IF(K92="NO","NO","IE")</f>
        <v>NO</v>
      </c>
      <c r="L105" s="3228"/>
      <c r="M105" s="3497" t="str">
        <f>IF(M92="NO","NO","IE")</f>
        <v>NO</v>
      </c>
    </row>
    <row r="106" spans="2:13" ht="18" customHeight="1" x14ac:dyDescent="0.2">
      <c r="B106" s="2616" t="s">
        <v>560</v>
      </c>
      <c r="C106" s="2618" t="s">
        <v>560</v>
      </c>
      <c r="D106" s="3227" t="str">
        <f t="shared" ref="D106:E116" si="47">IF(D93="NO","NO","IE")</f>
        <v>IE</v>
      </c>
      <c r="E106" s="3227" t="str">
        <f t="shared" si="47"/>
        <v>IE</v>
      </c>
      <c r="F106" s="2108"/>
      <c r="G106" s="3103" t="str">
        <f t="shared" ref="G106:G116" si="48">IF(SUM(D106)=0,"NA",J106/D106)</f>
        <v>NA</v>
      </c>
      <c r="H106" s="3103" t="str">
        <f t="shared" ref="H106:H116" si="49">IF(SUM(E106)=0,"NA",K106/E106)</f>
        <v>NA</v>
      </c>
      <c r="I106" s="2108"/>
      <c r="J106" s="3227" t="str">
        <f t="shared" ref="J106:K106" si="50">IF(J93="NO","NO","IE")</f>
        <v>IE</v>
      </c>
      <c r="K106" s="3227" t="str">
        <f t="shared" si="50"/>
        <v>IE</v>
      </c>
      <c r="L106" s="3228"/>
      <c r="M106" s="3497" t="str">
        <f t="shared" ref="M106" si="51">IF(M93="NO","NO","IE")</f>
        <v>NO</v>
      </c>
    </row>
    <row r="107" spans="2:13" ht="18" customHeight="1" x14ac:dyDescent="0.2">
      <c r="B107" s="2616" t="s">
        <v>562</v>
      </c>
      <c r="C107" s="2618" t="s">
        <v>562</v>
      </c>
      <c r="D107" s="3227" t="str">
        <f t="shared" si="47"/>
        <v>NO</v>
      </c>
      <c r="E107" s="3227" t="str">
        <f t="shared" si="47"/>
        <v>NO</v>
      </c>
      <c r="F107" s="2108"/>
      <c r="G107" s="3103" t="str">
        <f t="shared" si="48"/>
        <v>NA</v>
      </c>
      <c r="H107" s="3103" t="str">
        <f t="shared" si="49"/>
        <v>NA</v>
      </c>
      <c r="I107" s="2108"/>
      <c r="J107" s="3227" t="str">
        <f t="shared" ref="J107:K107" si="52">IF(J94="NO","NO","IE")</f>
        <v>NO</v>
      </c>
      <c r="K107" s="3227" t="str">
        <f t="shared" si="52"/>
        <v>NO</v>
      </c>
      <c r="L107" s="3228"/>
      <c r="M107" s="3497" t="str">
        <f t="shared" ref="M107" si="53">IF(M94="NO","NO","IE")</f>
        <v>NO</v>
      </c>
    </row>
    <row r="108" spans="2:13" ht="18" customHeight="1" x14ac:dyDescent="0.2">
      <c r="B108" s="2616" t="s">
        <v>563</v>
      </c>
      <c r="C108" s="2618" t="s">
        <v>563</v>
      </c>
      <c r="D108" s="3227" t="str">
        <f t="shared" si="47"/>
        <v>IE</v>
      </c>
      <c r="E108" s="3227" t="str">
        <f t="shared" si="47"/>
        <v>IE</v>
      </c>
      <c r="F108" s="2108"/>
      <c r="G108" s="3103" t="str">
        <f t="shared" si="48"/>
        <v>NA</v>
      </c>
      <c r="H108" s="3103" t="str">
        <f t="shared" si="49"/>
        <v>NA</v>
      </c>
      <c r="I108" s="2108"/>
      <c r="J108" s="3227" t="str">
        <f t="shared" ref="J108:K108" si="54">IF(J95="NO","NO","IE")</f>
        <v>IE</v>
      </c>
      <c r="K108" s="3227" t="str">
        <f t="shared" si="54"/>
        <v>IE</v>
      </c>
      <c r="L108" s="3228"/>
      <c r="M108" s="3497" t="str">
        <f t="shared" ref="M108" si="55">IF(M95="NO","NO","IE")</f>
        <v>NO</v>
      </c>
    </row>
    <row r="109" spans="2:13" ht="18" customHeight="1" x14ac:dyDescent="0.2">
      <c r="B109" s="2616" t="s">
        <v>564</v>
      </c>
      <c r="C109" s="2618" t="s">
        <v>564</v>
      </c>
      <c r="D109" s="3227" t="str">
        <f t="shared" si="47"/>
        <v>IE</v>
      </c>
      <c r="E109" s="3227" t="str">
        <f t="shared" si="47"/>
        <v>IE</v>
      </c>
      <c r="F109" s="2108"/>
      <c r="G109" s="3103" t="str">
        <f t="shared" si="48"/>
        <v>NA</v>
      </c>
      <c r="H109" s="3103" t="str">
        <f t="shared" si="49"/>
        <v>NA</v>
      </c>
      <c r="I109" s="2108"/>
      <c r="J109" s="3227" t="str">
        <f t="shared" ref="J109:K109" si="56">IF(J96="NO","NO","IE")</f>
        <v>IE</v>
      </c>
      <c r="K109" s="3227" t="str">
        <f t="shared" si="56"/>
        <v>IE</v>
      </c>
      <c r="L109" s="3228"/>
      <c r="M109" s="3497" t="str">
        <f t="shared" ref="M109" si="57">IF(M96="NO","NO","IE")</f>
        <v>NO</v>
      </c>
    </row>
    <row r="110" spans="2:13" ht="18" customHeight="1" x14ac:dyDescent="0.2">
      <c r="B110" s="2616" t="s">
        <v>565</v>
      </c>
      <c r="C110" s="2618" t="s">
        <v>565</v>
      </c>
      <c r="D110" s="3227" t="str">
        <f t="shared" si="47"/>
        <v>IE</v>
      </c>
      <c r="E110" s="3227" t="str">
        <f t="shared" si="47"/>
        <v>IE</v>
      </c>
      <c r="F110" s="2108"/>
      <c r="G110" s="3103" t="str">
        <f t="shared" si="48"/>
        <v>NA</v>
      </c>
      <c r="H110" s="3103" t="str">
        <f t="shared" si="49"/>
        <v>NA</v>
      </c>
      <c r="I110" s="2108"/>
      <c r="J110" s="3227" t="str">
        <f t="shared" ref="J110:K110" si="58">IF(J97="NO","NO","IE")</f>
        <v>IE</v>
      </c>
      <c r="K110" s="3227" t="str">
        <f t="shared" si="58"/>
        <v>IE</v>
      </c>
      <c r="L110" s="3228"/>
      <c r="M110" s="3497" t="str">
        <f t="shared" ref="M110" si="59">IF(M97="NO","NO","IE")</f>
        <v>NO</v>
      </c>
    </row>
    <row r="111" spans="2:13" ht="18" customHeight="1" x14ac:dyDescent="0.2">
      <c r="B111" s="2616" t="s">
        <v>567</v>
      </c>
      <c r="C111" s="2618" t="s">
        <v>567</v>
      </c>
      <c r="D111" s="3227" t="str">
        <f t="shared" si="47"/>
        <v>IE</v>
      </c>
      <c r="E111" s="3227" t="str">
        <f t="shared" si="47"/>
        <v>IE</v>
      </c>
      <c r="F111" s="2108"/>
      <c r="G111" s="3103" t="str">
        <f t="shared" si="48"/>
        <v>NA</v>
      </c>
      <c r="H111" s="3103" t="str">
        <f t="shared" si="49"/>
        <v>NA</v>
      </c>
      <c r="I111" s="2108"/>
      <c r="J111" s="3227" t="str">
        <f t="shared" ref="J111:K111" si="60">IF(J98="NO","NO","IE")</f>
        <v>IE</v>
      </c>
      <c r="K111" s="3227" t="str">
        <f t="shared" si="60"/>
        <v>IE</v>
      </c>
      <c r="L111" s="3228"/>
      <c r="M111" s="3497" t="str">
        <f t="shared" ref="M111" si="61">IF(M98="NO","NO","IE")</f>
        <v>NO</v>
      </c>
    </row>
    <row r="112" spans="2:13" ht="18" customHeight="1" x14ac:dyDescent="0.2">
      <c r="B112" s="2616" t="s">
        <v>569</v>
      </c>
      <c r="C112" s="2618" t="s">
        <v>569</v>
      </c>
      <c r="D112" s="3227" t="str">
        <f t="shared" si="47"/>
        <v>IE</v>
      </c>
      <c r="E112" s="3227" t="str">
        <f t="shared" si="47"/>
        <v>IE</v>
      </c>
      <c r="F112" s="2108"/>
      <c r="G112" s="3103" t="str">
        <f t="shared" si="48"/>
        <v>NA</v>
      </c>
      <c r="H112" s="3103" t="str">
        <f t="shared" si="49"/>
        <v>NA</v>
      </c>
      <c r="I112" s="2108"/>
      <c r="J112" s="3227" t="str">
        <f t="shared" ref="J112:K112" si="62">IF(J99="NO","NO","IE")</f>
        <v>IE</v>
      </c>
      <c r="K112" s="3227" t="str">
        <f t="shared" si="62"/>
        <v>IE</v>
      </c>
      <c r="L112" s="3228"/>
      <c r="M112" s="3497" t="str">
        <f t="shared" ref="M112" si="63">IF(M99="NO","NO","IE")</f>
        <v>NO</v>
      </c>
    </row>
    <row r="113" spans="2:13" ht="18" customHeight="1" x14ac:dyDescent="0.2">
      <c r="B113" s="2616" t="s">
        <v>571</v>
      </c>
      <c r="C113" s="2618" t="s">
        <v>571</v>
      </c>
      <c r="D113" s="3227" t="str">
        <f t="shared" si="47"/>
        <v>IE</v>
      </c>
      <c r="E113" s="3227" t="str">
        <f t="shared" si="47"/>
        <v>IE</v>
      </c>
      <c r="F113" s="2108"/>
      <c r="G113" s="3103" t="str">
        <f t="shared" si="48"/>
        <v>NA</v>
      </c>
      <c r="H113" s="3103" t="str">
        <f t="shared" si="49"/>
        <v>NA</v>
      </c>
      <c r="I113" s="2108"/>
      <c r="J113" s="3227" t="str">
        <f t="shared" ref="J113:K113" si="64">IF(J100="NO","NO","IE")</f>
        <v>IE</v>
      </c>
      <c r="K113" s="3227" t="str">
        <f t="shared" si="64"/>
        <v>IE</v>
      </c>
      <c r="L113" s="3228"/>
      <c r="M113" s="3497" t="str">
        <f t="shared" ref="M113" si="65">IF(M100="NO","NO","IE")</f>
        <v>NO</v>
      </c>
    </row>
    <row r="114" spans="2:13" ht="18" customHeight="1" x14ac:dyDescent="0.2">
      <c r="B114" s="2616" t="s">
        <v>574</v>
      </c>
      <c r="C114" s="2618" t="s">
        <v>574</v>
      </c>
      <c r="D114" s="3227" t="str">
        <f t="shared" si="47"/>
        <v>IE</v>
      </c>
      <c r="E114" s="3227" t="str">
        <f t="shared" si="47"/>
        <v>IE</v>
      </c>
      <c r="F114" s="2108"/>
      <c r="G114" s="3103" t="str">
        <f t="shared" si="48"/>
        <v>NA</v>
      </c>
      <c r="H114" s="3103" t="str">
        <f t="shared" si="49"/>
        <v>NA</v>
      </c>
      <c r="I114" s="2108"/>
      <c r="J114" s="3227" t="str">
        <f t="shared" ref="J114:K114" si="66">IF(J101="NO","NO","IE")</f>
        <v>IE</v>
      </c>
      <c r="K114" s="3227" t="str">
        <f t="shared" si="66"/>
        <v>IE</v>
      </c>
      <c r="L114" s="3228"/>
      <c r="M114" s="3497" t="str">
        <f t="shared" ref="M114" si="67">IF(M101="NO","NO","IE")</f>
        <v>NO</v>
      </c>
    </row>
    <row r="115" spans="2:13" ht="18" customHeight="1" x14ac:dyDescent="0.2">
      <c r="B115" s="2616" t="s">
        <v>576</v>
      </c>
      <c r="C115" s="2618" t="s">
        <v>576</v>
      </c>
      <c r="D115" s="3227" t="str">
        <f t="shared" si="47"/>
        <v>IE</v>
      </c>
      <c r="E115" s="3227" t="str">
        <f t="shared" si="47"/>
        <v>IE</v>
      </c>
      <c r="F115" s="2108"/>
      <c r="G115" s="3103" t="str">
        <f t="shared" si="48"/>
        <v>NA</v>
      </c>
      <c r="H115" s="3103" t="str">
        <f t="shared" si="49"/>
        <v>NA</v>
      </c>
      <c r="I115" s="2108"/>
      <c r="J115" s="3227" t="str">
        <f t="shared" ref="J115:K115" si="68">IF(J102="NO","NO","IE")</f>
        <v>IE</v>
      </c>
      <c r="K115" s="3227" t="str">
        <f t="shared" si="68"/>
        <v>IE</v>
      </c>
      <c r="L115" s="3228"/>
      <c r="M115" s="3497" t="str">
        <f t="shared" ref="M115" si="69">IF(M102="NO","NO","IE")</f>
        <v>NO</v>
      </c>
    </row>
    <row r="116" spans="2:13" ht="18" customHeight="1" x14ac:dyDescent="0.2">
      <c r="B116" s="2616" t="s">
        <v>577</v>
      </c>
      <c r="C116" s="2618" t="s">
        <v>577</v>
      </c>
      <c r="D116" s="3227" t="str">
        <f t="shared" si="47"/>
        <v>IE</v>
      </c>
      <c r="E116" s="3227" t="str">
        <f t="shared" si="47"/>
        <v>IE</v>
      </c>
      <c r="F116" s="2108"/>
      <c r="G116" s="3103" t="str">
        <f t="shared" si="48"/>
        <v>NA</v>
      </c>
      <c r="H116" s="3103" t="str">
        <f t="shared" si="49"/>
        <v>NA</v>
      </c>
      <c r="I116" s="2108"/>
      <c r="J116" s="3227" t="str">
        <f t="shared" ref="J116:K116" si="70">IF(J103="NO","NO","IE")</f>
        <v>IE</v>
      </c>
      <c r="K116" s="3227" t="str">
        <f t="shared" si="70"/>
        <v>IE</v>
      </c>
      <c r="L116" s="3228"/>
      <c r="M116" s="3497" t="str">
        <f t="shared" ref="M116" si="71">IF(M103="NO","NO","IE")</f>
        <v>NO</v>
      </c>
    </row>
    <row r="117" spans="2:13" ht="18" customHeight="1" x14ac:dyDescent="0.2">
      <c r="B117" s="147" t="s">
        <v>676</v>
      </c>
      <c r="C117" s="2508"/>
      <c r="D117" s="2108"/>
      <c r="E117" s="2108"/>
      <c r="F117" s="2108"/>
      <c r="G117" s="2108"/>
      <c r="H117" s="2108"/>
      <c r="I117" s="2108"/>
      <c r="J117" s="3103">
        <f>IF(SUM(J118:J129)=0,"NO",SUM(J118:J129))</f>
        <v>7.7498084241148762E-2</v>
      </c>
      <c r="K117" s="3103">
        <f>IF(SUM(K118:K129)=0,"NO",SUM(K118:K129))</f>
        <v>10.061585519717697</v>
      </c>
      <c r="L117" s="3103">
        <f>IF(SUM(L118:L129)=0,"NO",SUM(L118:L129))</f>
        <v>6.3986528803556846</v>
      </c>
      <c r="M117" s="3226">
        <f>IF(SUM(M118:M129)=0,"NO",SUM(M118:M129))</f>
        <v>-5.7038164578102171</v>
      </c>
    </row>
    <row r="118" spans="2:13" ht="18" customHeight="1" x14ac:dyDescent="0.2">
      <c r="B118" s="2616" t="s">
        <v>559</v>
      </c>
      <c r="C118" s="2618" t="s">
        <v>559</v>
      </c>
      <c r="D118" s="3227" t="s">
        <v>2146</v>
      </c>
      <c r="E118" s="3227" t="s">
        <v>2146</v>
      </c>
      <c r="F118" s="3227" t="s">
        <v>2146</v>
      </c>
      <c r="G118" s="3103" t="str">
        <f>IF(SUM(D118)=0,"NA",J118/D118)</f>
        <v>NA</v>
      </c>
      <c r="H118" s="3103" t="str">
        <f>IF(SUM(E118)=0,"NA",K118/E118)</f>
        <v>NA</v>
      </c>
      <c r="I118" s="3103" t="str">
        <f t="shared" ref="I118:I129" si="72">IF(SUM(F118)=0,"NA",(SUM(L118:M118))/F118)</f>
        <v>NA</v>
      </c>
      <c r="J118" s="3227" t="s">
        <v>2146</v>
      </c>
      <c r="K118" s="3227" t="s">
        <v>2146</v>
      </c>
      <c r="L118" s="3227" t="s">
        <v>2146</v>
      </c>
      <c r="M118" s="3497" t="s">
        <v>2146</v>
      </c>
    </row>
    <row r="119" spans="2:13" ht="18" customHeight="1" x14ac:dyDescent="0.2">
      <c r="B119" s="2616" t="s">
        <v>560</v>
      </c>
      <c r="C119" s="2618" t="s">
        <v>560</v>
      </c>
      <c r="D119" s="3227">
        <v>0.46888258327767501</v>
      </c>
      <c r="E119" s="3227">
        <v>4.3713540815001952</v>
      </c>
      <c r="F119" s="3227">
        <v>0.25628026808780996</v>
      </c>
      <c r="G119" s="3103">
        <f t="shared" ref="G119:G129" si="73">IF(SUM(D119)=0,"NA",J119/D119)</f>
        <v>3.5000000000000001E-3</v>
      </c>
      <c r="H119" s="3103">
        <f t="shared" ref="H119:H129" si="74">IF(SUM(E119)=0,"NA",K119/E119)</f>
        <v>4.8740683551107333E-2</v>
      </c>
      <c r="I119" s="3103">
        <f t="shared" si="72"/>
        <v>5.7412781072227845E-2</v>
      </c>
      <c r="J119" s="3227">
        <v>1.6410890414718625E-3</v>
      </c>
      <c r="K119" s="3227">
        <v>0.21306278597624248</v>
      </c>
      <c r="L119" s="3227">
        <v>0.13549701550633367</v>
      </c>
      <c r="M119" s="3497">
        <v>-0.12078325258147637</v>
      </c>
    </row>
    <row r="120" spans="2:13" ht="18" customHeight="1" x14ac:dyDescent="0.2">
      <c r="B120" s="2616" t="s">
        <v>562</v>
      </c>
      <c r="C120" s="2618" t="s">
        <v>562</v>
      </c>
      <c r="D120" s="3227" t="s">
        <v>2146</v>
      </c>
      <c r="E120" s="3227" t="s">
        <v>2146</v>
      </c>
      <c r="F120" s="3227" t="s">
        <v>2146</v>
      </c>
      <c r="G120" s="3103" t="str">
        <f t="shared" si="73"/>
        <v>NA</v>
      </c>
      <c r="H120" s="3103" t="str">
        <f t="shared" si="74"/>
        <v>NA</v>
      </c>
      <c r="I120" s="3103" t="str">
        <f t="shared" si="72"/>
        <v>NA</v>
      </c>
      <c r="J120" s="3227" t="s">
        <v>2146</v>
      </c>
      <c r="K120" s="3227" t="s">
        <v>2146</v>
      </c>
      <c r="L120" s="3227" t="s">
        <v>2146</v>
      </c>
      <c r="M120" s="3497" t="s">
        <v>2146</v>
      </c>
    </row>
    <row r="121" spans="2:13" ht="18" customHeight="1" x14ac:dyDescent="0.2">
      <c r="B121" s="2616" t="s">
        <v>563</v>
      </c>
      <c r="C121" s="2618" t="s">
        <v>563</v>
      </c>
      <c r="D121" s="3227">
        <v>3.2503110469672665</v>
      </c>
      <c r="E121" s="3227">
        <v>30.302384793190996</v>
      </c>
      <c r="F121" s="3227">
        <v>1.7765440990846941</v>
      </c>
      <c r="G121" s="3103">
        <f t="shared" si="73"/>
        <v>3.4999999999999996E-3</v>
      </c>
      <c r="H121" s="3103">
        <f t="shared" si="74"/>
        <v>4.8740683551107347E-2</v>
      </c>
      <c r="I121" s="3103">
        <f t="shared" si="72"/>
        <v>5.7412781072227755E-2</v>
      </c>
      <c r="J121" s="3227">
        <v>1.1376088664385432E-2</v>
      </c>
      <c r="K121" s="3227">
        <v>1.4769589480488097</v>
      </c>
      <c r="L121" s="3227">
        <v>0.9392702182553011</v>
      </c>
      <c r="M121" s="3497">
        <v>-0.83727388082939347</v>
      </c>
    </row>
    <row r="122" spans="2:13" ht="18" customHeight="1" x14ac:dyDescent="0.2">
      <c r="B122" s="2616" t="s">
        <v>564</v>
      </c>
      <c r="C122" s="2618" t="s">
        <v>564</v>
      </c>
      <c r="D122" s="3227">
        <v>6.9409057865611606E-3</v>
      </c>
      <c r="E122" s="3227">
        <v>6.4709498542888377E-2</v>
      </c>
      <c r="F122" s="3227">
        <v>3.7937369806263412E-3</v>
      </c>
      <c r="G122" s="3103">
        <f t="shared" si="73"/>
        <v>3.5000000000000001E-3</v>
      </c>
      <c r="H122" s="3103">
        <f t="shared" si="74"/>
        <v>4.8740683551107347E-2</v>
      </c>
      <c r="I122" s="3103">
        <f t="shared" si="72"/>
        <v>5.7412781072227824E-2</v>
      </c>
      <c r="J122" s="3227">
        <v>2.4293170252964063E-5</v>
      </c>
      <c r="K122" s="3227">
        <v>3.1539851912297644E-3</v>
      </c>
      <c r="L122" s="3227">
        <v>2.0057729856703286E-3</v>
      </c>
      <c r="M122" s="3497">
        <v>-1.7879639949560139E-3</v>
      </c>
    </row>
    <row r="123" spans="2:13" ht="18" customHeight="1" x14ac:dyDescent="0.2">
      <c r="B123" s="2616" t="s">
        <v>565</v>
      </c>
      <c r="C123" s="2618" t="s">
        <v>565</v>
      </c>
      <c r="D123" s="3227">
        <v>13.887847684398702</v>
      </c>
      <c r="E123" s="3227">
        <v>129.4752712588969</v>
      </c>
      <c r="F123" s="3227">
        <v>7.590773158687794</v>
      </c>
      <c r="G123" s="3103">
        <f t="shared" si="73"/>
        <v>3.4999999999999996E-3</v>
      </c>
      <c r="H123" s="3103">
        <f t="shared" si="74"/>
        <v>4.8740683551107347E-2</v>
      </c>
      <c r="I123" s="3103">
        <f t="shared" si="72"/>
        <v>5.7412781072227644E-2</v>
      </c>
      <c r="J123" s="3227">
        <v>4.8607466895395454E-2</v>
      </c>
      <c r="K123" s="3227">
        <v>6.3107132241236776</v>
      </c>
      <c r="L123" s="3227">
        <v>4.0132902781082391</v>
      </c>
      <c r="M123" s="3497">
        <v>-3.5774828805795549</v>
      </c>
    </row>
    <row r="124" spans="2:13" ht="18" customHeight="1" x14ac:dyDescent="0.2">
      <c r="B124" s="2616" t="s">
        <v>567</v>
      </c>
      <c r="C124" s="2618" t="s">
        <v>567</v>
      </c>
      <c r="D124" s="3227">
        <v>3.4826891045179051</v>
      </c>
      <c r="E124" s="3227">
        <v>32.468826470815657</v>
      </c>
      <c r="F124" s="3227">
        <v>1.90355651756801</v>
      </c>
      <c r="G124" s="3103">
        <f t="shared" si="73"/>
        <v>3.4999999999999996E-3</v>
      </c>
      <c r="H124" s="3103">
        <f t="shared" si="74"/>
        <v>4.874068355110734E-2</v>
      </c>
      <c r="I124" s="3103">
        <f t="shared" si="72"/>
        <v>5.7412781072227817E-2</v>
      </c>
      <c r="J124" s="3227">
        <v>1.2189411865812667E-2</v>
      </c>
      <c r="K124" s="3227">
        <v>1.5825527962898434</v>
      </c>
      <c r="L124" s="3227">
        <v>1.0064224955848775</v>
      </c>
      <c r="M124" s="3497">
        <v>-0.89713402198313297</v>
      </c>
    </row>
    <row r="125" spans="2:13" ht="18" customHeight="1" x14ac:dyDescent="0.2">
      <c r="B125" s="2616" t="s">
        <v>569</v>
      </c>
      <c r="C125" s="2618" t="s">
        <v>569</v>
      </c>
      <c r="D125" s="3227">
        <v>0.30152677872536982</v>
      </c>
      <c r="E125" s="3227">
        <v>2.8111095653177132</v>
      </c>
      <c r="F125" s="3227">
        <v>0.16480749433516198</v>
      </c>
      <c r="G125" s="3103">
        <f t="shared" si="73"/>
        <v>3.5000000000000005E-3</v>
      </c>
      <c r="H125" s="3103">
        <f t="shared" si="74"/>
        <v>4.8740683551107347E-2</v>
      </c>
      <c r="I125" s="3103">
        <f t="shared" si="72"/>
        <v>5.74127810722279E-2</v>
      </c>
      <c r="J125" s="3227">
        <v>1.0553437255387944E-3</v>
      </c>
      <c r="K125" s="3227">
        <v>0.13701540175064159</v>
      </c>
      <c r="L125" s="3227">
        <v>8.7134775463244551E-2</v>
      </c>
      <c r="M125" s="3497">
        <v>-7.7672718871917457E-2</v>
      </c>
    </row>
    <row r="126" spans="2:13" ht="18" customHeight="1" x14ac:dyDescent="0.2">
      <c r="B126" s="2616" t="s">
        <v>571</v>
      </c>
      <c r="C126" s="2618" t="s">
        <v>571</v>
      </c>
      <c r="D126" s="3227">
        <v>0.12669513316355871</v>
      </c>
      <c r="E126" s="3227">
        <v>1.1811683931385271</v>
      </c>
      <c r="F126" s="3227">
        <v>6.9248600503783259E-2</v>
      </c>
      <c r="G126" s="3103">
        <f t="shared" si="73"/>
        <v>3.4999999999999996E-3</v>
      </c>
      <c r="H126" s="3103">
        <f t="shared" si="74"/>
        <v>4.874068355110734E-2</v>
      </c>
      <c r="I126" s="3103">
        <f t="shared" si="72"/>
        <v>5.7412781072227852E-2</v>
      </c>
      <c r="J126" s="3227">
        <v>4.4343296607245544E-4</v>
      </c>
      <c r="K126" s="3227">
        <v>5.7570954870534895E-2</v>
      </c>
      <c r="L126" s="3227">
        <v>3.6612177622032581E-2</v>
      </c>
      <c r="M126" s="3497">
        <v>-3.2636422881750705E-2</v>
      </c>
    </row>
    <row r="127" spans="2:13" ht="18" customHeight="1" x14ac:dyDescent="0.2">
      <c r="B127" s="2616" t="s">
        <v>574</v>
      </c>
      <c r="C127" s="2618" t="s">
        <v>574</v>
      </c>
      <c r="D127" s="3227">
        <v>5.3540950117527152E-2</v>
      </c>
      <c r="E127" s="3227">
        <v>0.49915791110766622</v>
      </c>
      <c r="F127" s="3227">
        <v>2.926423275071826E-2</v>
      </c>
      <c r="G127" s="3103">
        <f t="shared" si="73"/>
        <v>3.4999999999999996E-3</v>
      </c>
      <c r="H127" s="3103">
        <f t="shared" si="74"/>
        <v>4.8740683551107347E-2</v>
      </c>
      <c r="I127" s="3103">
        <f t="shared" si="72"/>
        <v>5.741278107222772E-2</v>
      </c>
      <c r="J127" s="3227">
        <v>1.8739332541134501E-4</v>
      </c>
      <c r="K127" s="3227">
        <v>2.432929778733053E-2</v>
      </c>
      <c r="L127" s="3227">
        <v>1.5472186869440983E-2</v>
      </c>
      <c r="M127" s="3497">
        <v>-1.379204588127728E-2</v>
      </c>
    </row>
    <row r="128" spans="2:13" ht="18" customHeight="1" x14ac:dyDescent="0.2">
      <c r="B128" s="2616" t="s">
        <v>576</v>
      </c>
      <c r="C128" s="2618" t="s">
        <v>576</v>
      </c>
      <c r="D128" s="3227">
        <v>0.33075414129524822</v>
      </c>
      <c r="E128" s="3227">
        <v>3.0835938827521736</v>
      </c>
      <c r="F128" s="3227">
        <v>0.18078248803731062</v>
      </c>
      <c r="G128" s="3103">
        <f t="shared" si="73"/>
        <v>3.4999999999999996E-3</v>
      </c>
      <c r="H128" s="3103">
        <f t="shared" si="74"/>
        <v>4.874068355110734E-2</v>
      </c>
      <c r="I128" s="3103">
        <f t="shared" si="72"/>
        <v>5.7412781072227984E-2</v>
      </c>
      <c r="J128" s="3227">
        <v>1.1576394945333687E-3</v>
      </c>
      <c r="K128" s="3227">
        <v>0.15029647363935408</v>
      </c>
      <c r="L128" s="3227">
        <v>9.5580856722344745E-2</v>
      </c>
      <c r="M128" s="3497">
        <v>-8.5201631314965956E-2</v>
      </c>
    </row>
    <row r="129" spans="2:13" ht="18" customHeight="1" x14ac:dyDescent="0.2">
      <c r="B129" s="2616" t="s">
        <v>577</v>
      </c>
      <c r="C129" s="2618" t="s">
        <v>577</v>
      </c>
      <c r="D129" s="3227">
        <v>0.23312145493554748</v>
      </c>
      <c r="E129" s="3227">
        <v>2.1733723108121463</v>
      </c>
      <c r="F129" s="3227">
        <v>0.12741874212999169</v>
      </c>
      <c r="G129" s="3103">
        <f t="shared" si="73"/>
        <v>3.5000000000000001E-3</v>
      </c>
      <c r="H129" s="3103">
        <f t="shared" si="74"/>
        <v>4.8740683551107347E-2</v>
      </c>
      <c r="I129" s="3103">
        <f t="shared" si="72"/>
        <v>5.7412781072227581E-2</v>
      </c>
      <c r="J129" s="3227">
        <v>8.1592509227441619E-4</v>
      </c>
      <c r="K129" s="3227">
        <v>0.10593165204003374</v>
      </c>
      <c r="L129" s="3227">
        <v>6.7367103238199749E-2</v>
      </c>
      <c r="M129" s="3497">
        <v>-6.0051638891791916E-2</v>
      </c>
    </row>
    <row r="130" spans="2:13" ht="18" customHeight="1" x14ac:dyDescent="0.2">
      <c r="B130" s="147" t="s">
        <v>477</v>
      </c>
      <c r="C130" s="2508"/>
      <c r="D130" s="4326"/>
      <c r="E130" s="4326"/>
      <c r="F130" s="4326"/>
      <c r="G130" s="4327"/>
      <c r="H130" s="4327"/>
      <c r="I130" s="4327"/>
      <c r="J130" s="3103" t="str">
        <f>IF(SUM(J131,J144)=0,"NO",SUM(J131,J144))</f>
        <v>NO</v>
      </c>
      <c r="K130" s="3103">
        <f>IF(SUM(K131,K144)=0,"NO",SUM(K131,K144))</f>
        <v>58.077586455027351</v>
      </c>
      <c r="L130" s="3229"/>
      <c r="M130" s="3226" t="str">
        <f>IF(SUM(M131,M144)=0,"NO",SUM(M131,M144))</f>
        <v>NO</v>
      </c>
    </row>
    <row r="131" spans="2:13" ht="18" customHeight="1" x14ac:dyDescent="0.2">
      <c r="B131" s="99" t="s">
        <v>677</v>
      </c>
      <c r="C131" s="2508"/>
      <c r="D131" s="2108"/>
      <c r="E131" s="2108"/>
      <c r="F131" s="2108"/>
      <c r="G131" s="2108"/>
      <c r="H131" s="2108"/>
      <c r="I131" s="2108"/>
      <c r="J131" s="3103" t="str">
        <f>IF(SUM(J132:J143)=0,"NO",SUM(J132:J143))</f>
        <v>NO</v>
      </c>
      <c r="K131" s="3103">
        <f>IF(SUM(K132:K143)=0,"NO",SUM(K132:K143))</f>
        <v>58.077586455027351</v>
      </c>
      <c r="L131" s="3229"/>
      <c r="M131" s="3226" t="str">
        <f>IF(SUM(M132:M143)=0,"NO",SUM(M132:M143))</f>
        <v>NO</v>
      </c>
    </row>
    <row r="132" spans="2:13" ht="18" customHeight="1" x14ac:dyDescent="0.2">
      <c r="B132" s="2616" t="s">
        <v>559</v>
      </c>
      <c r="C132" s="2618" t="s">
        <v>559</v>
      </c>
      <c r="D132" s="3227" t="s">
        <v>2146</v>
      </c>
      <c r="E132" s="3227" t="s">
        <v>2146</v>
      </c>
      <c r="F132" s="3229"/>
      <c r="G132" s="3103" t="str">
        <f>IF(SUM(D132)=0,"NA",J132/D132)</f>
        <v>NA</v>
      </c>
      <c r="H132" s="3103" t="str">
        <f>IF(SUM(E132)=0,"NA",K132/E132)</f>
        <v>NA</v>
      </c>
      <c r="I132" s="4327"/>
      <c r="J132" s="3227" t="s">
        <v>2146</v>
      </c>
      <c r="K132" s="3227" t="s">
        <v>2146</v>
      </c>
      <c r="L132" s="3229"/>
      <c r="M132" s="3497" t="s">
        <v>2146</v>
      </c>
    </row>
    <row r="133" spans="2:13" ht="18" customHeight="1" x14ac:dyDescent="0.2">
      <c r="B133" s="2616" t="s">
        <v>560</v>
      </c>
      <c r="C133" s="2618" t="s">
        <v>560</v>
      </c>
      <c r="D133" s="3227" t="s">
        <v>2146</v>
      </c>
      <c r="E133" s="3227">
        <v>1.7401888658065838</v>
      </c>
      <c r="F133" s="3229"/>
      <c r="G133" s="3103" t="str">
        <f t="shared" ref="G133:G143" si="75">IF(SUM(D133)=0,"NA",J133/D133)</f>
        <v>NA</v>
      </c>
      <c r="H133" s="3103">
        <f t="shared" ref="H133:H143" si="76">IF(SUM(E133)=0,"NA",K133/E133)</f>
        <v>0.70672971669189644</v>
      </c>
      <c r="I133" s="4327"/>
      <c r="J133" s="3227" t="s">
        <v>2146</v>
      </c>
      <c r="K133" s="3227">
        <v>1.2298431841218795</v>
      </c>
      <c r="L133" s="3229"/>
      <c r="M133" s="3497" t="s">
        <v>2146</v>
      </c>
    </row>
    <row r="134" spans="2:13" ht="18" customHeight="1" x14ac:dyDescent="0.2">
      <c r="B134" s="2616" t="s">
        <v>562</v>
      </c>
      <c r="C134" s="2618" t="s">
        <v>562</v>
      </c>
      <c r="D134" s="3227" t="s">
        <v>2146</v>
      </c>
      <c r="E134" s="3227" t="s">
        <v>2146</v>
      </c>
      <c r="F134" s="3229"/>
      <c r="G134" s="3103" t="str">
        <f t="shared" si="75"/>
        <v>NA</v>
      </c>
      <c r="H134" s="3103" t="str">
        <f t="shared" si="76"/>
        <v>NA</v>
      </c>
      <c r="I134" s="4327"/>
      <c r="J134" s="3227" t="s">
        <v>2146</v>
      </c>
      <c r="K134" s="3227" t="s">
        <v>2146</v>
      </c>
      <c r="L134" s="3229"/>
      <c r="M134" s="3497" t="s">
        <v>2146</v>
      </c>
    </row>
    <row r="135" spans="2:13" ht="18" customHeight="1" x14ac:dyDescent="0.2">
      <c r="B135" s="2616" t="s">
        <v>563</v>
      </c>
      <c r="C135" s="2618" t="s">
        <v>563</v>
      </c>
      <c r="D135" s="3227" t="s">
        <v>2146</v>
      </c>
      <c r="E135" s="3227">
        <v>12.063052235384415</v>
      </c>
      <c r="F135" s="3229"/>
      <c r="G135" s="3103" t="str">
        <f t="shared" si="75"/>
        <v>NA</v>
      </c>
      <c r="H135" s="3103">
        <f t="shared" si="76"/>
        <v>0.70672971669189655</v>
      </c>
      <c r="I135" s="4327"/>
      <c r="J135" s="3227" t="s">
        <v>2146</v>
      </c>
      <c r="K135" s="3227">
        <v>8.5253174887527763</v>
      </c>
      <c r="L135" s="3229"/>
      <c r="M135" s="3497" t="s">
        <v>2146</v>
      </c>
    </row>
    <row r="136" spans="2:13" ht="18" customHeight="1" x14ac:dyDescent="0.2">
      <c r="B136" s="2616" t="s">
        <v>564</v>
      </c>
      <c r="C136" s="2618" t="s">
        <v>564</v>
      </c>
      <c r="D136" s="3227" t="s">
        <v>2146</v>
      </c>
      <c r="E136" s="3227">
        <v>2.576015275285512E-2</v>
      </c>
      <c r="F136" s="3229"/>
      <c r="G136" s="3103" t="str">
        <f t="shared" si="75"/>
        <v>NA</v>
      </c>
      <c r="H136" s="3103">
        <f t="shared" si="76"/>
        <v>0.70672971669189655</v>
      </c>
      <c r="I136" s="4327"/>
      <c r="J136" s="3227" t="s">
        <v>2146</v>
      </c>
      <c r="K136" s="3227">
        <v>1.8205465456965279E-2</v>
      </c>
      <c r="L136" s="3229"/>
      <c r="M136" s="3497" t="s">
        <v>2146</v>
      </c>
    </row>
    <row r="137" spans="2:13" ht="18" customHeight="1" x14ac:dyDescent="0.2">
      <c r="B137" s="2616" t="s">
        <v>565</v>
      </c>
      <c r="C137" s="2618" t="s">
        <v>565</v>
      </c>
      <c r="D137" s="3227" t="s">
        <v>2146</v>
      </c>
      <c r="E137" s="3227">
        <v>51.542707646481809</v>
      </c>
      <c r="F137" s="3229"/>
      <c r="G137" s="3103" t="str">
        <f t="shared" si="75"/>
        <v>NA</v>
      </c>
      <c r="H137" s="3103">
        <f t="shared" si="76"/>
        <v>0.70672971669189655</v>
      </c>
      <c r="I137" s="4327"/>
      <c r="J137" s="3227" t="s">
        <v>2146</v>
      </c>
      <c r="K137" s="3227">
        <v>36.426763172531338</v>
      </c>
      <c r="L137" s="3229"/>
      <c r="M137" s="3497" t="s">
        <v>2146</v>
      </c>
    </row>
    <row r="138" spans="2:13" ht="18" customHeight="1" x14ac:dyDescent="0.2">
      <c r="B138" s="2616" t="s">
        <v>567</v>
      </c>
      <c r="C138" s="2618" t="s">
        <v>567</v>
      </c>
      <c r="D138" s="3227" t="s">
        <v>2146</v>
      </c>
      <c r="E138" s="3227">
        <v>12.925489277896412</v>
      </c>
      <c r="F138" s="3229"/>
      <c r="G138" s="3103" t="str">
        <f t="shared" si="75"/>
        <v>NA</v>
      </c>
      <c r="H138" s="3103">
        <f t="shared" si="76"/>
        <v>0.70672971669189644</v>
      </c>
      <c r="I138" s="4327"/>
      <c r="J138" s="3227" t="s">
        <v>2146</v>
      </c>
      <c r="K138" s="3227">
        <v>9.1348273754718772</v>
      </c>
      <c r="L138" s="3229"/>
      <c r="M138" s="3497" t="s">
        <v>2146</v>
      </c>
    </row>
    <row r="139" spans="2:13" ht="18" customHeight="1" x14ac:dyDescent="0.2">
      <c r="B139" s="2616" t="s">
        <v>569</v>
      </c>
      <c r="C139" s="2618" t="s">
        <v>569</v>
      </c>
      <c r="D139" s="3227" t="s">
        <v>2146</v>
      </c>
      <c r="E139" s="3227">
        <v>1.1190723686353596</v>
      </c>
      <c r="F139" s="3229"/>
      <c r="G139" s="3103" t="str">
        <f t="shared" si="75"/>
        <v>NA</v>
      </c>
      <c r="H139" s="3103">
        <f t="shared" si="76"/>
        <v>0.70672971669189644</v>
      </c>
      <c r="I139" s="4327"/>
      <c r="J139" s="3227" t="s">
        <v>2146</v>
      </c>
      <c r="K139" s="3227">
        <v>0.79088169804339725</v>
      </c>
      <c r="L139" s="3229"/>
      <c r="M139" s="3497" t="s">
        <v>2146</v>
      </c>
    </row>
    <row r="140" spans="2:13" ht="18" customHeight="1" x14ac:dyDescent="0.2">
      <c r="B140" s="2616" t="s">
        <v>571</v>
      </c>
      <c r="C140" s="2618" t="s">
        <v>571</v>
      </c>
      <c r="D140" s="3227" t="s">
        <v>2146</v>
      </c>
      <c r="E140" s="3227">
        <v>0.47021038517129488</v>
      </c>
      <c r="F140" s="3229"/>
      <c r="G140" s="3103" t="str">
        <f t="shared" si="75"/>
        <v>NA</v>
      </c>
      <c r="H140" s="3103">
        <f t="shared" si="76"/>
        <v>0.70672971669189644</v>
      </c>
      <c r="I140" s="4327"/>
      <c r="J140" s="3227" t="s">
        <v>2146</v>
      </c>
      <c r="K140" s="3227">
        <v>0.33231165229769671</v>
      </c>
      <c r="L140" s="3229"/>
      <c r="M140" s="3497" t="s">
        <v>2146</v>
      </c>
    </row>
    <row r="141" spans="2:13" ht="18" customHeight="1" x14ac:dyDescent="0.2">
      <c r="B141" s="2616" t="s">
        <v>574</v>
      </c>
      <c r="C141" s="2618" t="s">
        <v>574</v>
      </c>
      <c r="D141" s="3227" t="s">
        <v>2146</v>
      </c>
      <c r="E141" s="3227">
        <v>0.19870937540038636</v>
      </c>
      <c r="F141" s="3229"/>
      <c r="G141" s="3103" t="str">
        <f t="shared" si="75"/>
        <v>NA</v>
      </c>
      <c r="H141" s="3103">
        <f t="shared" si="76"/>
        <v>0.70672971669189655</v>
      </c>
      <c r="I141" s="4327"/>
      <c r="J141" s="3227" t="s">
        <v>2146</v>
      </c>
      <c r="K141" s="3227">
        <v>0.14043382058073878</v>
      </c>
      <c r="L141" s="3229"/>
      <c r="M141" s="3497" t="s">
        <v>2146</v>
      </c>
    </row>
    <row r="142" spans="2:13" ht="18" customHeight="1" x14ac:dyDescent="0.2">
      <c r="B142" s="2616" t="s">
        <v>576</v>
      </c>
      <c r="C142" s="2618" t="s">
        <v>576</v>
      </c>
      <c r="D142" s="3227" t="s">
        <v>2146</v>
      </c>
      <c r="E142" s="3227">
        <v>1.227545433609228</v>
      </c>
      <c r="F142" s="3229"/>
      <c r="G142" s="3103" t="str">
        <f t="shared" si="75"/>
        <v>NA</v>
      </c>
      <c r="H142" s="3103">
        <f t="shared" si="76"/>
        <v>0.70672971669189644</v>
      </c>
      <c r="I142" s="4327"/>
      <c r="J142" s="3227" t="s">
        <v>2146</v>
      </c>
      <c r="K142" s="3227">
        <v>0.86754283652108088</v>
      </c>
      <c r="L142" s="3229"/>
      <c r="M142" s="3497" t="s">
        <v>2146</v>
      </c>
    </row>
    <row r="143" spans="2:13" ht="18" customHeight="1" x14ac:dyDescent="0.2">
      <c r="B143" s="2616" t="s">
        <v>577</v>
      </c>
      <c r="C143" s="2618" t="s">
        <v>577</v>
      </c>
      <c r="D143" s="3227" t="s">
        <v>2146</v>
      </c>
      <c r="E143" s="3227">
        <v>0.86519605275939127</v>
      </c>
      <c r="F143" s="3229"/>
      <c r="G143" s="3103" t="str">
        <f t="shared" si="75"/>
        <v>NA</v>
      </c>
      <c r="H143" s="3103">
        <f t="shared" si="76"/>
        <v>0.70672971669189655</v>
      </c>
      <c r="I143" s="4327"/>
      <c r="J143" s="3227" t="s">
        <v>2146</v>
      </c>
      <c r="K143" s="3227">
        <v>0.61145976124959178</v>
      </c>
      <c r="L143" s="3229"/>
      <c r="M143" s="3497" t="s">
        <v>2146</v>
      </c>
    </row>
    <row r="144" spans="2:13" ht="18" customHeight="1" x14ac:dyDescent="0.2">
      <c r="B144" s="104" t="s">
        <v>2277</v>
      </c>
      <c r="C144" s="2508"/>
      <c r="D144" s="4326"/>
      <c r="E144" s="4326"/>
      <c r="F144" s="4326"/>
      <c r="G144" s="4327"/>
      <c r="H144" s="4327"/>
      <c r="I144" s="4327"/>
      <c r="J144" s="3103" t="s">
        <v>2147</v>
      </c>
      <c r="K144" s="3103" t="s">
        <v>2147</v>
      </c>
      <c r="L144" s="3229"/>
      <c r="M144" s="3226" t="s">
        <v>2147</v>
      </c>
    </row>
    <row r="145" spans="2:13" ht="18" customHeight="1" x14ac:dyDescent="0.2">
      <c r="B145" s="2616" t="s">
        <v>2147</v>
      </c>
      <c r="C145" s="2508"/>
      <c r="D145" s="4326"/>
      <c r="E145" s="4326"/>
      <c r="F145" s="3229"/>
      <c r="G145" s="3103" t="s">
        <v>2147</v>
      </c>
      <c r="H145" s="3103" t="s">
        <v>2147</v>
      </c>
      <c r="I145" s="4327"/>
      <c r="J145" s="3227" t="s">
        <v>2147</v>
      </c>
      <c r="K145" s="3227" t="s">
        <v>2147</v>
      </c>
      <c r="L145" s="3229"/>
      <c r="M145" s="3497" t="s">
        <v>2147</v>
      </c>
    </row>
    <row r="146" spans="2:13" ht="18" customHeight="1" x14ac:dyDescent="0.2">
      <c r="B146" s="147" t="s">
        <v>478</v>
      </c>
      <c r="C146" s="2508"/>
      <c r="D146" s="2108"/>
      <c r="E146" s="2108"/>
      <c r="F146" s="2108"/>
      <c r="G146" s="2108"/>
      <c r="H146" s="2108"/>
      <c r="I146" s="2108"/>
      <c r="J146" s="3103" t="str">
        <f>IF(SUM(J147:J158)=0,"NO",SUM(J147:J158))</f>
        <v>NO</v>
      </c>
      <c r="K146" s="3103">
        <f>IF(SUM(K147:K158)=0,"NO",SUM(K147:K158))</f>
        <v>29.184765126426498</v>
      </c>
      <c r="L146" s="3103">
        <f>IF(SUM(L147:L158)=0,"NO",SUM(L147:L158))</f>
        <v>13.019963922558457</v>
      </c>
      <c r="M146" s="3226" t="str">
        <f>IF(SUM(M147:M158)=0,"NO",SUM(M147:M158))</f>
        <v>NO</v>
      </c>
    </row>
    <row r="147" spans="2:13" ht="18" customHeight="1" x14ac:dyDescent="0.2">
      <c r="B147" s="2616" t="s">
        <v>559</v>
      </c>
      <c r="C147" s="2618" t="s">
        <v>559</v>
      </c>
      <c r="D147" s="3227" t="s">
        <v>2146</v>
      </c>
      <c r="E147" s="3227" t="s">
        <v>2146</v>
      </c>
      <c r="F147" s="3227" t="s">
        <v>2146</v>
      </c>
      <c r="G147" s="3103" t="str">
        <f>IFERROR(J147/D147,"NA")</f>
        <v>NA</v>
      </c>
      <c r="H147" s="3103" t="str">
        <f>IF(SUM(E147)=0,"NA",K147/E147)</f>
        <v>NA</v>
      </c>
      <c r="I147" s="3103" t="str">
        <f t="shared" ref="I147:I158" si="77">IF(SUM(F147)=0,"NA",(SUM(L147:M147))/F147)</f>
        <v>NA</v>
      </c>
      <c r="J147" s="3227" t="s">
        <v>2146</v>
      </c>
      <c r="K147" s="3227" t="s">
        <v>2146</v>
      </c>
      <c r="L147" s="3227" t="s">
        <v>2146</v>
      </c>
      <c r="M147" s="3497" t="s">
        <v>2146</v>
      </c>
    </row>
    <row r="148" spans="2:13" ht="18" customHeight="1" x14ac:dyDescent="0.2">
      <c r="B148" s="2616" t="s">
        <v>560</v>
      </c>
      <c r="C148" s="2618" t="s">
        <v>560</v>
      </c>
      <c r="D148" s="3227">
        <v>0.55646094956765879</v>
      </c>
      <c r="E148" s="3227">
        <v>1.5142558216266162</v>
      </c>
      <c r="F148" s="3227">
        <v>0.27570901039544154</v>
      </c>
      <c r="G148" s="3103" t="str">
        <f t="shared" ref="G148:G158" si="78">IFERROR(J148/D148,"NA")</f>
        <v>NA</v>
      </c>
      <c r="H148" s="3103">
        <f t="shared" ref="H148:H158" si="79">IF(SUM(E148)=0,"NA",K148/E148)</f>
        <v>0.40812963344431669</v>
      </c>
      <c r="I148" s="3103">
        <f t="shared" si="77"/>
        <v>0.99999999999999978</v>
      </c>
      <c r="J148" s="3227" t="s">
        <v>2146</v>
      </c>
      <c r="K148" s="3227">
        <v>0.61801267342139343</v>
      </c>
      <c r="L148" s="3227">
        <v>0.27570901039544149</v>
      </c>
      <c r="M148" s="3497" t="s">
        <v>2146</v>
      </c>
    </row>
    <row r="149" spans="2:13" ht="18" customHeight="1" x14ac:dyDescent="0.2">
      <c r="B149" s="2616" t="s">
        <v>562</v>
      </c>
      <c r="C149" s="2618" t="s">
        <v>562</v>
      </c>
      <c r="D149" s="3227" t="s">
        <v>2146</v>
      </c>
      <c r="E149" s="3227" t="s">
        <v>2146</v>
      </c>
      <c r="F149" s="3227" t="s">
        <v>2146</v>
      </c>
      <c r="G149" s="3103" t="str">
        <f t="shared" si="78"/>
        <v>NA</v>
      </c>
      <c r="H149" s="3103" t="str">
        <f t="shared" si="79"/>
        <v>NA</v>
      </c>
      <c r="I149" s="3103" t="str">
        <f t="shared" si="77"/>
        <v>NA</v>
      </c>
      <c r="J149" s="3227" t="s">
        <v>2146</v>
      </c>
      <c r="K149" s="3227" t="s">
        <v>2146</v>
      </c>
      <c r="L149" s="3227" t="s">
        <v>2146</v>
      </c>
      <c r="M149" s="3497" t="s">
        <v>2146</v>
      </c>
    </row>
    <row r="150" spans="2:13" ht="18" customHeight="1" x14ac:dyDescent="0.2">
      <c r="B150" s="2616" t="s">
        <v>563</v>
      </c>
      <c r="C150" s="2618" t="s">
        <v>563</v>
      </c>
      <c r="D150" s="3227">
        <v>3.8574074535725518</v>
      </c>
      <c r="E150" s="3227">
        <v>10.496876191395584</v>
      </c>
      <c r="F150" s="3227">
        <v>1.9112248443359583</v>
      </c>
      <c r="G150" s="3103" t="str">
        <f t="shared" si="78"/>
        <v>NA</v>
      </c>
      <c r="H150" s="3103">
        <f t="shared" si="79"/>
        <v>0.40812963344431669</v>
      </c>
      <c r="I150" s="3103">
        <f t="shared" si="77"/>
        <v>1.0000000000000004</v>
      </c>
      <c r="J150" s="3227" t="s">
        <v>2146</v>
      </c>
      <c r="K150" s="3227">
        <v>4.2840862323046549</v>
      </c>
      <c r="L150" s="3227">
        <v>1.9112248443359592</v>
      </c>
      <c r="M150" s="3497" t="s">
        <v>2146</v>
      </c>
    </row>
    <row r="151" spans="2:13" ht="18" customHeight="1" x14ac:dyDescent="0.2">
      <c r="B151" s="2616" t="s">
        <v>564</v>
      </c>
      <c r="C151" s="2618" t="s">
        <v>564</v>
      </c>
      <c r="D151" s="3227">
        <v>8.2373352361484065E-3</v>
      </c>
      <c r="E151" s="3227">
        <v>2.2415648116402398E-2</v>
      </c>
      <c r="F151" s="3227">
        <v>4.0813421822654579E-3</v>
      </c>
      <c r="G151" s="3103" t="str">
        <f t="shared" si="78"/>
        <v>NA</v>
      </c>
      <c r="H151" s="3103">
        <f t="shared" si="79"/>
        <v>0.40812963344431663</v>
      </c>
      <c r="I151" s="3103">
        <f t="shared" si="77"/>
        <v>1</v>
      </c>
      <c r="J151" s="3227" t="s">
        <v>2146</v>
      </c>
      <c r="K151" s="3227">
        <v>9.1484902491640978E-3</v>
      </c>
      <c r="L151" s="3227">
        <v>4.0813421822654579E-3</v>
      </c>
      <c r="M151" s="3497" t="s">
        <v>2146</v>
      </c>
    </row>
    <row r="152" spans="2:13" ht="18" customHeight="1" x14ac:dyDescent="0.2">
      <c r="B152" s="2616" t="s">
        <v>565</v>
      </c>
      <c r="C152" s="2618" t="s">
        <v>565</v>
      </c>
      <c r="D152" s="3227">
        <v>16.481834014582962</v>
      </c>
      <c r="E152" s="3227">
        <v>44.850789847978866</v>
      </c>
      <c r="F152" s="3227">
        <v>8.1662336758638574</v>
      </c>
      <c r="G152" s="3103" t="str">
        <f t="shared" si="78"/>
        <v>NA</v>
      </c>
      <c r="H152" s="3103">
        <f t="shared" si="79"/>
        <v>0.40812963344431669</v>
      </c>
      <c r="I152" s="3103">
        <f t="shared" si="77"/>
        <v>1.0000000000000004</v>
      </c>
      <c r="J152" s="3227" t="s">
        <v>2146</v>
      </c>
      <c r="K152" s="3227">
        <v>18.304936420343694</v>
      </c>
      <c r="L152" s="3227">
        <v>8.166233675863861</v>
      </c>
      <c r="M152" s="3497" t="s">
        <v>2146</v>
      </c>
    </row>
    <row r="153" spans="2:13" ht="18" customHeight="1" x14ac:dyDescent="0.2">
      <c r="B153" s="2616" t="s">
        <v>567</v>
      </c>
      <c r="C153" s="2618" t="s">
        <v>567</v>
      </c>
      <c r="D153" s="3227">
        <v>4.1331893213045392</v>
      </c>
      <c r="E153" s="3227">
        <v>11.247340889837911</v>
      </c>
      <c r="F153" s="3227">
        <v>2.0478661412615886</v>
      </c>
      <c r="G153" s="3103" t="str">
        <f t="shared" si="78"/>
        <v>NA</v>
      </c>
      <c r="H153" s="3103">
        <f t="shared" si="79"/>
        <v>0.40812963344431663</v>
      </c>
      <c r="I153" s="3103">
        <f t="shared" si="77"/>
        <v>1.0000000000000002</v>
      </c>
      <c r="J153" s="3227" t="s">
        <v>2146</v>
      </c>
      <c r="K153" s="3227">
        <v>4.590373114592821</v>
      </c>
      <c r="L153" s="3227">
        <v>2.0478661412615891</v>
      </c>
      <c r="M153" s="3497" t="s">
        <v>2146</v>
      </c>
    </row>
    <row r="154" spans="2:13" ht="18" customHeight="1" x14ac:dyDescent="0.2">
      <c r="B154" s="2616" t="s">
        <v>569</v>
      </c>
      <c r="C154" s="2618" t="s">
        <v>569</v>
      </c>
      <c r="D154" s="3227">
        <v>0.35784625745041099</v>
      </c>
      <c r="E154" s="3227">
        <v>0.97378042253025487</v>
      </c>
      <c r="F154" s="3227">
        <v>0.17730163741412583</v>
      </c>
      <c r="G154" s="3103" t="str">
        <f t="shared" si="78"/>
        <v>NA</v>
      </c>
      <c r="H154" s="3103">
        <f t="shared" si="79"/>
        <v>0.40812963344431669</v>
      </c>
      <c r="I154" s="3103">
        <f t="shared" si="77"/>
        <v>1.0000000000000004</v>
      </c>
      <c r="J154" s="3227" t="s">
        <v>2146</v>
      </c>
      <c r="K154" s="3227">
        <v>0.39742864690252472</v>
      </c>
      <c r="L154" s="3227">
        <v>0.17730163741412591</v>
      </c>
      <c r="M154" s="3497" t="s">
        <v>2146</v>
      </c>
    </row>
    <row r="155" spans="2:13" ht="18" customHeight="1" x14ac:dyDescent="0.2">
      <c r="B155" s="2616" t="s">
        <v>571</v>
      </c>
      <c r="C155" s="2618" t="s">
        <v>571</v>
      </c>
      <c r="D155" s="3227">
        <v>0.15035937912849243</v>
      </c>
      <c r="E155" s="3227">
        <v>0.40916180256382889</v>
      </c>
      <c r="F155" s="3227">
        <v>7.4498373435545412E-2</v>
      </c>
      <c r="G155" s="3103" t="str">
        <f t="shared" si="78"/>
        <v>NA</v>
      </c>
      <c r="H155" s="3103">
        <f t="shared" si="79"/>
        <v>0.40812963344431663</v>
      </c>
      <c r="I155" s="3103">
        <f t="shared" si="77"/>
        <v>1</v>
      </c>
      <c r="J155" s="3227" t="s">
        <v>2146</v>
      </c>
      <c r="K155" s="3227">
        <v>0.16699105649979135</v>
      </c>
      <c r="L155" s="3227">
        <v>7.4498373435545412E-2</v>
      </c>
      <c r="M155" s="3497" t="s">
        <v>2146</v>
      </c>
    </row>
    <row r="156" spans="2:13" ht="18" customHeight="1" x14ac:dyDescent="0.2">
      <c r="B156" s="2616" t="s">
        <v>574</v>
      </c>
      <c r="C156" s="2618" t="s">
        <v>574</v>
      </c>
      <c r="D156" s="3227">
        <v>6.3541383292349665E-2</v>
      </c>
      <c r="E156" s="3227">
        <v>0.17291044347209808</v>
      </c>
      <c r="F156" s="3227">
        <v>3.1482769671982318E-2</v>
      </c>
      <c r="G156" s="3103" t="str">
        <f t="shared" si="78"/>
        <v>NA</v>
      </c>
      <c r="H156" s="3103">
        <f t="shared" si="79"/>
        <v>0.40812963344431669</v>
      </c>
      <c r="I156" s="3103">
        <f t="shared" si="77"/>
        <v>0.99999999999999978</v>
      </c>
      <c r="J156" s="3227" t="s">
        <v>2146</v>
      </c>
      <c r="K156" s="3227">
        <v>7.0569875912961627E-2</v>
      </c>
      <c r="L156" s="3227">
        <v>3.1482769671982311E-2</v>
      </c>
      <c r="M156" s="3497" t="s">
        <v>2146</v>
      </c>
    </row>
    <row r="157" spans="2:13" ht="18" customHeight="1" x14ac:dyDescent="0.2">
      <c r="B157" s="2616" t="s">
        <v>576</v>
      </c>
      <c r="C157" s="2618" t="s">
        <v>576</v>
      </c>
      <c r="D157" s="3227">
        <v>0.39253273655846771</v>
      </c>
      <c r="E157" s="3227">
        <v>1.0681701599627083</v>
      </c>
      <c r="F157" s="3227">
        <v>0.19448770381539751</v>
      </c>
      <c r="G157" s="3103" t="str">
        <f t="shared" si="78"/>
        <v>NA</v>
      </c>
      <c r="H157" s="3103">
        <f t="shared" si="79"/>
        <v>0.40812963344431663</v>
      </c>
      <c r="I157" s="3103">
        <f t="shared" si="77"/>
        <v>0.99999999999999956</v>
      </c>
      <c r="J157" s="3227" t="s">
        <v>2146</v>
      </c>
      <c r="K157" s="3227">
        <v>0.43595189584173716</v>
      </c>
      <c r="L157" s="3227">
        <v>0.19448770381539743</v>
      </c>
      <c r="M157" s="3497" t="s">
        <v>2146</v>
      </c>
    </row>
    <row r="158" spans="2:13" ht="18" customHeight="1" x14ac:dyDescent="0.2">
      <c r="B158" s="2616" t="s">
        <v>577</v>
      </c>
      <c r="C158" s="2618" t="s">
        <v>577</v>
      </c>
      <c r="D158" s="3227">
        <v>0.27666411763732801</v>
      </c>
      <c r="E158" s="3227">
        <v>0.7528654995341717</v>
      </c>
      <c r="F158" s="3227">
        <v>0.13707842418229055</v>
      </c>
      <c r="G158" s="3103" t="str">
        <f t="shared" si="78"/>
        <v>NA</v>
      </c>
      <c r="H158" s="3103">
        <f t="shared" si="79"/>
        <v>0.40812963344431663</v>
      </c>
      <c r="I158" s="3103">
        <f t="shared" si="77"/>
        <v>0.99999999999999956</v>
      </c>
      <c r="J158" s="3227" t="s">
        <v>2146</v>
      </c>
      <c r="K158" s="3227">
        <v>0.30726672035775382</v>
      </c>
      <c r="L158" s="3227">
        <v>0.13707842418229049</v>
      </c>
      <c r="M158" s="3497" t="s">
        <v>2146</v>
      </c>
    </row>
    <row r="159" spans="2:13" ht="18" customHeight="1" x14ac:dyDescent="0.2">
      <c r="B159" s="88" t="s">
        <v>678</v>
      </c>
      <c r="C159" s="2508"/>
      <c r="D159" s="4326"/>
      <c r="E159" s="4326"/>
      <c r="F159" s="4326"/>
      <c r="G159" s="4327"/>
      <c r="H159" s="4327"/>
      <c r="I159" s="4327"/>
      <c r="J159" s="3230" t="s">
        <v>2146</v>
      </c>
      <c r="K159" s="3230" t="s">
        <v>2146</v>
      </c>
      <c r="L159" s="3230" t="s">
        <v>2146</v>
      </c>
      <c r="M159" s="3226" t="s">
        <v>2146</v>
      </c>
    </row>
    <row r="160" spans="2:13" ht="18" customHeight="1" x14ac:dyDescent="0.2">
      <c r="B160" s="104" t="s">
        <v>679</v>
      </c>
      <c r="C160" s="2508"/>
      <c r="D160" s="2147" t="s">
        <v>2146</v>
      </c>
      <c r="E160" s="2147" t="s">
        <v>2146</v>
      </c>
      <c r="F160" s="628"/>
      <c r="G160" s="4323" t="str">
        <f t="shared" ref="G160" si="80">IF(SUM(D160)=0,"NA",J160/D160)</f>
        <v>NA</v>
      </c>
      <c r="H160" s="4323" t="str">
        <f t="shared" ref="H160" si="81">IF(SUM(E160)=0,"NA",K160/E160)</f>
        <v>NA</v>
      </c>
      <c r="I160" s="4328"/>
      <c r="J160" s="2147" t="s">
        <v>2146</v>
      </c>
      <c r="K160" s="2147" t="s">
        <v>2146</v>
      </c>
      <c r="L160" s="628"/>
      <c r="M160" s="3231" t="s">
        <v>2146</v>
      </c>
    </row>
    <row r="161" spans="2:13" ht="18" customHeight="1" thickBot="1" x14ac:dyDescent="0.25">
      <c r="B161" s="106" t="s">
        <v>680</v>
      </c>
      <c r="C161" s="2509"/>
      <c r="D161" s="2606" t="s">
        <v>2146</v>
      </c>
      <c r="E161" s="2606" t="s">
        <v>2146</v>
      </c>
      <c r="F161" s="2606" t="s">
        <v>2146</v>
      </c>
      <c r="G161" s="4325" t="str">
        <f t="shared" ref="G161" si="82">IF(SUM(D161)=0,"NA",J161/D161)</f>
        <v>NA</v>
      </c>
      <c r="H161" s="4325" t="str">
        <f t="shared" ref="H161" si="83">IF(SUM(E161)=0,"NA",K161/E161)</f>
        <v>NA</v>
      </c>
      <c r="I161" s="3103" t="str">
        <f t="shared" ref="I161" si="84">IF(SUM(F161)=0,"NA",(SUM(L161:M161))/F161)</f>
        <v>NA</v>
      </c>
      <c r="J161" s="2606" t="s">
        <v>2146</v>
      </c>
      <c r="K161" s="2606" t="s">
        <v>2146</v>
      </c>
      <c r="L161" s="2606" t="s">
        <v>2146</v>
      </c>
      <c r="M161" s="3232" t="s">
        <v>2146</v>
      </c>
    </row>
    <row r="162" spans="2:13" ht="18" customHeight="1" x14ac:dyDescent="0.2">
      <c r="B162" s="2623" t="s">
        <v>480</v>
      </c>
      <c r="C162" s="2510"/>
      <c r="D162" s="4329"/>
      <c r="E162" s="4329"/>
      <c r="F162" s="4329"/>
      <c r="G162" s="4329"/>
      <c r="H162" s="4329"/>
      <c r="I162" s="4329"/>
      <c r="J162" s="3233">
        <f>IF(SUM(J163,J165,J175)=0,"NO",SUM(J163,J165,J175))</f>
        <v>0.8967039440888418</v>
      </c>
      <c r="K162" s="3233">
        <f t="shared" ref="K162:M162" si="85">IF(SUM(K163,K165,K175)=0,"NO",SUM(K163,K165,K175))</f>
        <v>6.8082030158980462</v>
      </c>
      <c r="L162" s="3233">
        <f t="shared" si="85"/>
        <v>0.45600000000000002</v>
      </c>
      <c r="M162" s="3234" t="str">
        <f t="shared" si="85"/>
        <v>NO</v>
      </c>
    </row>
    <row r="163" spans="2:13" ht="18" customHeight="1" x14ac:dyDescent="0.2">
      <c r="B163" s="88" t="s">
        <v>681</v>
      </c>
      <c r="C163" s="2508"/>
      <c r="D163" s="4326"/>
      <c r="E163" s="4326"/>
      <c r="F163" s="4326"/>
      <c r="G163" s="4327"/>
      <c r="H163" s="4327"/>
      <c r="I163" s="4327"/>
      <c r="J163" s="3230">
        <f>J164</f>
        <v>0.8967039440888418</v>
      </c>
      <c r="K163" s="3230">
        <f t="shared" ref="K163:M163" si="86">K164</f>
        <v>6.097804993207979</v>
      </c>
      <c r="L163" s="3230">
        <f t="shared" si="86"/>
        <v>0.45600000000000002</v>
      </c>
      <c r="M163" s="3226" t="str">
        <f t="shared" si="86"/>
        <v>NO</v>
      </c>
    </row>
    <row r="164" spans="2:13" ht="18" customHeight="1" x14ac:dyDescent="0.2">
      <c r="B164" s="2616" t="s">
        <v>1621</v>
      </c>
      <c r="C164" s="2618" t="s">
        <v>1621</v>
      </c>
      <c r="D164" s="3235">
        <v>10.549458165751078</v>
      </c>
      <c r="E164" s="3235">
        <v>519.19723516258796</v>
      </c>
      <c r="F164" s="3235">
        <v>0.45600000000000002</v>
      </c>
      <c r="G164" s="3103">
        <f t="shared" ref="G164" si="87">IF(SUM(D164)=0,"NA",J164/D164)</f>
        <v>8.500000000000002E-2</v>
      </c>
      <c r="H164" s="3103">
        <f t="shared" ref="H164" si="88">IF(SUM(E164)=0,"NA",K164/E164)</f>
        <v>1.1744679247566555E-2</v>
      </c>
      <c r="I164" s="3103">
        <f t="shared" ref="I164" si="89">IF(SUM(F164)=0,"NA",(SUM(L164:M164))/F164)</f>
        <v>1</v>
      </c>
      <c r="J164" s="3142">
        <v>0.8967039440888418</v>
      </c>
      <c r="K164" s="3142">
        <v>6.097804993207979</v>
      </c>
      <c r="L164" s="3142">
        <v>0.45600000000000002</v>
      </c>
      <c r="M164" s="3231" t="s">
        <v>2146</v>
      </c>
    </row>
    <row r="165" spans="2:13" ht="18" customHeight="1" x14ac:dyDescent="0.25">
      <c r="B165" s="88" t="s">
        <v>682</v>
      </c>
      <c r="C165" s="2508"/>
      <c r="D165" s="4326"/>
      <c r="E165" s="4326"/>
      <c r="F165" s="4326"/>
      <c r="G165" s="4327"/>
      <c r="H165" s="4327"/>
      <c r="I165" s="4327"/>
      <c r="J165" s="3230" t="str">
        <f>IF(SUM(J166:J170)=0,"NO",SUM(J166:J170))</f>
        <v>NO</v>
      </c>
      <c r="K165" s="3230">
        <f t="shared" ref="K165:M165" si="90">IF(SUM(K166:K170)=0,"NO",SUM(K166:K170))</f>
        <v>0.71039802269006724</v>
      </c>
      <c r="L165" s="3230" t="str">
        <f t="shared" si="90"/>
        <v>NO</v>
      </c>
      <c r="M165" s="3226" t="str">
        <f t="shared" si="90"/>
        <v>NO</v>
      </c>
    </row>
    <row r="166" spans="2:13" ht="18" customHeight="1" x14ac:dyDescent="0.2">
      <c r="B166" s="104" t="s">
        <v>683</v>
      </c>
      <c r="C166" s="2508"/>
      <c r="D166" s="3235" t="s">
        <v>2146</v>
      </c>
      <c r="E166" s="3235" t="s">
        <v>2146</v>
      </c>
      <c r="F166" s="3235" t="s">
        <v>2146</v>
      </c>
      <c r="G166" s="3103" t="str">
        <f t="shared" ref="G166" si="91">IF(SUM(D166)=0,"NA",J166/D166)</f>
        <v>NA</v>
      </c>
      <c r="H166" s="3103" t="str">
        <f t="shared" ref="H166" si="92">IF(SUM(E166)=0,"NA",K166/E166)</f>
        <v>NA</v>
      </c>
      <c r="I166" s="3103" t="str">
        <f t="shared" ref="I166:I169" si="93">IF(SUM(F166)=0,"NA",(SUM(L166:M166))/F166)</f>
        <v>NA</v>
      </c>
      <c r="J166" s="3235" t="s">
        <v>2146</v>
      </c>
      <c r="K166" s="3235" t="s">
        <v>2146</v>
      </c>
      <c r="L166" s="3235" t="s">
        <v>2146</v>
      </c>
      <c r="M166" s="3231" t="s">
        <v>2146</v>
      </c>
    </row>
    <row r="167" spans="2:13" ht="18" customHeight="1" x14ac:dyDescent="0.2">
      <c r="B167" s="104" t="s">
        <v>684</v>
      </c>
      <c r="C167" s="2508"/>
      <c r="D167" s="3235" t="s">
        <v>2146</v>
      </c>
      <c r="E167" s="3235" t="s">
        <v>2146</v>
      </c>
      <c r="F167" s="3235" t="s">
        <v>2146</v>
      </c>
      <c r="G167" s="3103" t="str">
        <f t="shared" ref="G167" si="94">IF(SUM(D167)=0,"NA",J167/D167)</f>
        <v>NA</v>
      </c>
      <c r="H167" s="3103" t="str">
        <f t="shared" ref="H167" si="95">IF(SUM(E167)=0,"NA",K167/E167)</f>
        <v>NA</v>
      </c>
      <c r="I167" s="3103" t="str">
        <f t="shared" si="93"/>
        <v>NA</v>
      </c>
      <c r="J167" s="3235" t="s">
        <v>2146</v>
      </c>
      <c r="K167" s="3235" t="s">
        <v>2146</v>
      </c>
      <c r="L167" s="3235" t="s">
        <v>2146</v>
      </c>
      <c r="M167" s="3231" t="s">
        <v>2146</v>
      </c>
    </row>
    <row r="168" spans="2:13" ht="18" customHeight="1" x14ac:dyDescent="0.2">
      <c r="B168" s="104" t="s">
        <v>685</v>
      </c>
      <c r="C168" s="2508"/>
      <c r="D168" s="3235" t="s">
        <v>2146</v>
      </c>
      <c r="E168" s="3235" t="s">
        <v>2146</v>
      </c>
      <c r="F168" s="3235" t="s">
        <v>2146</v>
      </c>
      <c r="G168" s="3103" t="str">
        <f t="shared" ref="G168:G169" si="96">IF(SUM(D168)=0,"NA",J168/D168)</f>
        <v>NA</v>
      </c>
      <c r="H168" s="3103" t="str">
        <f t="shared" ref="H168:H169" si="97">IF(SUM(E168)=0,"NA",K168/E168)</f>
        <v>NA</v>
      </c>
      <c r="I168" s="3103" t="str">
        <f t="shared" si="93"/>
        <v>NA</v>
      </c>
      <c r="J168" s="3235" t="s">
        <v>2146</v>
      </c>
      <c r="K168" s="3235" t="s">
        <v>2146</v>
      </c>
      <c r="L168" s="3235" t="s">
        <v>2146</v>
      </c>
      <c r="M168" s="3231" t="s">
        <v>2146</v>
      </c>
    </row>
    <row r="169" spans="2:13" ht="18" customHeight="1" x14ac:dyDescent="0.2">
      <c r="B169" s="104" t="s">
        <v>686</v>
      </c>
      <c r="C169" s="2508"/>
      <c r="D169" s="3235" t="s">
        <v>2146</v>
      </c>
      <c r="E169" s="3235" t="s">
        <v>2146</v>
      </c>
      <c r="F169" s="3235" t="s">
        <v>2146</v>
      </c>
      <c r="G169" s="3103" t="str">
        <f t="shared" si="96"/>
        <v>NA</v>
      </c>
      <c r="H169" s="3103" t="str">
        <f t="shared" si="97"/>
        <v>NA</v>
      </c>
      <c r="I169" s="3103" t="str">
        <f t="shared" si="93"/>
        <v>NA</v>
      </c>
      <c r="J169" s="3235" t="s">
        <v>2146</v>
      </c>
      <c r="K169" s="3235" t="s">
        <v>2146</v>
      </c>
      <c r="L169" s="3235" t="s">
        <v>2146</v>
      </c>
      <c r="M169" s="3231" t="s">
        <v>2146</v>
      </c>
    </row>
    <row r="170" spans="2:13" ht="18" customHeight="1" x14ac:dyDescent="0.2">
      <c r="B170" s="104" t="s">
        <v>687</v>
      </c>
      <c r="C170" s="2508"/>
      <c r="D170" s="4326"/>
      <c r="E170" s="4326"/>
      <c r="F170" s="4326"/>
      <c r="G170" s="4327"/>
      <c r="H170" s="4327"/>
      <c r="I170" s="4327"/>
      <c r="J170" s="3230" t="str">
        <f>IF(SUM(J172:J173)=0,"NO",SUM(J172:J173))</f>
        <v>NO</v>
      </c>
      <c r="K170" s="3230">
        <f t="shared" ref="K170:M170" si="98">IF(SUM(K172:K173)=0,"NO",SUM(K172:K173))</f>
        <v>0.71039802269006724</v>
      </c>
      <c r="L170" s="3230" t="str">
        <f t="shared" si="98"/>
        <v>NO</v>
      </c>
      <c r="M170" s="3226" t="str">
        <f t="shared" si="98"/>
        <v>NO</v>
      </c>
    </row>
    <row r="171" spans="2:13" ht="18" customHeight="1" x14ac:dyDescent="0.2">
      <c r="B171" s="1242" t="s">
        <v>203</v>
      </c>
      <c r="C171" s="2508"/>
      <c r="D171" s="4330"/>
      <c r="E171" s="4330"/>
      <c r="F171" s="4330"/>
      <c r="G171" s="3236"/>
      <c r="H171" s="3236"/>
      <c r="I171" s="3236"/>
      <c r="J171" s="3236"/>
      <c r="K171" s="3236"/>
      <c r="L171" s="3236"/>
      <c r="M171" s="3237"/>
    </row>
    <row r="172" spans="2:13" ht="18" customHeight="1" x14ac:dyDescent="0.2">
      <c r="B172" s="2423" t="s">
        <v>688</v>
      </c>
      <c r="C172" s="2508"/>
      <c r="D172" s="3235" t="s">
        <v>2146</v>
      </c>
      <c r="E172" s="3235" t="s">
        <v>2146</v>
      </c>
      <c r="F172" s="3235" t="s">
        <v>2146</v>
      </c>
      <c r="G172" s="3103" t="str">
        <f t="shared" ref="G172" si="99">IF(SUM(D172)=0,"NA",J172/D172)</f>
        <v>NA</v>
      </c>
      <c r="H172" s="3103" t="str">
        <f t="shared" ref="H172" si="100">IF(SUM(E172)=0,"NA",K172/E172)</f>
        <v>NA</v>
      </c>
      <c r="I172" s="3103" t="str">
        <f t="shared" ref="I172" si="101">IF(SUM(F172)=0,"NA",(SUM(L172:M172))/F172)</f>
        <v>NA</v>
      </c>
      <c r="J172" s="3235" t="s">
        <v>2146</v>
      </c>
      <c r="K172" s="3235" t="s">
        <v>2146</v>
      </c>
      <c r="L172" s="3235" t="s">
        <v>2146</v>
      </c>
      <c r="M172" s="3231" t="s">
        <v>2146</v>
      </c>
    </row>
    <row r="173" spans="2:13" ht="18" customHeight="1" x14ac:dyDescent="0.2">
      <c r="B173" s="2421" t="s">
        <v>689</v>
      </c>
      <c r="C173" s="2508"/>
      <c r="D173" s="4326"/>
      <c r="E173" s="4326"/>
      <c r="F173" s="4326"/>
      <c r="G173" s="4327"/>
      <c r="H173" s="4327"/>
      <c r="I173" s="4327"/>
      <c r="J173" s="3230" t="str">
        <f>J174</f>
        <v>NA</v>
      </c>
      <c r="K173" s="3230">
        <f t="shared" ref="K173:M173" si="102">K174</f>
        <v>0.71039802269006724</v>
      </c>
      <c r="L173" s="3230" t="str">
        <f t="shared" si="102"/>
        <v>NA</v>
      </c>
      <c r="M173" s="3226" t="str">
        <f t="shared" si="102"/>
        <v>NO</v>
      </c>
    </row>
    <row r="174" spans="2:13" ht="18" customHeight="1" x14ac:dyDescent="0.2">
      <c r="B174" s="2619" t="s">
        <v>2194</v>
      </c>
      <c r="C174" s="2618" t="s">
        <v>1621</v>
      </c>
      <c r="D174" s="2147" t="s">
        <v>2147</v>
      </c>
      <c r="E174" s="2147" t="s">
        <v>2154</v>
      </c>
      <c r="F174" s="2147" t="s">
        <v>2147</v>
      </c>
      <c r="G174" s="3103" t="str">
        <f t="shared" ref="G174" si="103">IF(SUM(D174)=0,"NA",J174/D174)</f>
        <v>NA</v>
      </c>
      <c r="H174" s="3103" t="str">
        <f t="shared" ref="H174" si="104">IF(SUM(E174)=0,"NA",K174/E174)</f>
        <v>NA</v>
      </c>
      <c r="I174" s="3103" t="str">
        <f t="shared" ref="I174" si="105">IF(SUM(F174)=0,"NA",(SUM(L174:M174))/F174)</f>
        <v>NA</v>
      </c>
      <c r="J174" s="2147" t="s">
        <v>2147</v>
      </c>
      <c r="K174" s="2147">
        <v>0.71039802269006724</v>
      </c>
      <c r="L174" s="3235" t="s">
        <v>2147</v>
      </c>
      <c r="M174" s="3231" t="s">
        <v>2146</v>
      </c>
    </row>
    <row r="175" spans="2:13" ht="18" customHeight="1" x14ac:dyDescent="0.2">
      <c r="B175" s="88" t="s">
        <v>2096</v>
      </c>
      <c r="C175" s="2508"/>
      <c r="D175" s="4326"/>
      <c r="E175" s="4326"/>
      <c r="F175" s="4326"/>
      <c r="G175" s="4327"/>
      <c r="H175" s="4327"/>
      <c r="I175" s="4327"/>
      <c r="J175" s="3230" t="str">
        <f>J176</f>
        <v>NO</v>
      </c>
      <c r="K175" s="3230" t="str">
        <f t="shared" ref="K175" si="106">K176</f>
        <v>NO</v>
      </c>
      <c r="L175" s="3230" t="str">
        <f t="shared" ref="L175" si="107">L176</f>
        <v>NO</v>
      </c>
      <c r="M175" s="3226" t="str">
        <f t="shared" ref="M175" si="108">M176</f>
        <v>NO</v>
      </c>
    </row>
    <row r="176" spans="2:13" ht="18" customHeight="1" thickBot="1" x14ac:dyDescent="0.25">
      <c r="B176" s="2621" t="s">
        <v>2147</v>
      </c>
      <c r="C176" s="2511"/>
      <c r="D176" s="2606" t="s">
        <v>2146</v>
      </c>
      <c r="E176" s="2606" t="s">
        <v>2146</v>
      </c>
      <c r="F176" s="2606" t="s">
        <v>2146</v>
      </c>
      <c r="G176" s="3104" t="str">
        <f t="shared" ref="G176" si="109">IF(SUM(D176)=0,"NA",J176/D176)</f>
        <v>NA</v>
      </c>
      <c r="H176" s="3104" t="str">
        <f t="shared" ref="H176" si="110">IF(SUM(E176)=0,"NA",K176/E176)</f>
        <v>NA</v>
      </c>
      <c r="I176" s="3103" t="str">
        <f t="shared" ref="I176" si="111">IF(SUM(F176)=0,"NA",(SUM(L176:M176))/F176)</f>
        <v>NA</v>
      </c>
      <c r="J176" s="2606" t="s">
        <v>2146</v>
      </c>
      <c r="K176" s="2606" t="s">
        <v>2146</v>
      </c>
      <c r="L176" s="3238" t="s">
        <v>2146</v>
      </c>
      <c r="M176" s="3232" t="s">
        <v>2146</v>
      </c>
    </row>
    <row r="177" spans="2:13" ht="18" customHeight="1" x14ac:dyDescent="0.2">
      <c r="B177" s="91" t="s">
        <v>690</v>
      </c>
      <c r="C177" s="2622"/>
      <c r="D177" s="4326"/>
      <c r="E177" s="4326"/>
      <c r="F177" s="4326"/>
      <c r="G177" s="4327"/>
      <c r="H177" s="4327"/>
      <c r="I177" s="4327"/>
      <c r="J177" s="3230" t="str">
        <f>J178</f>
        <v>NO</v>
      </c>
      <c r="K177" s="3230" t="str">
        <f t="shared" ref="K177" si="112">K178</f>
        <v>NO</v>
      </c>
      <c r="L177" s="3230" t="str">
        <f t="shared" ref="L177" si="113">L178</f>
        <v>NO</v>
      </c>
      <c r="M177" s="3226" t="str">
        <f t="shared" ref="M177" si="114">M178</f>
        <v>NO</v>
      </c>
    </row>
    <row r="178" spans="2:13" ht="18" customHeight="1" thickBot="1" x14ac:dyDescent="0.25">
      <c r="B178" s="2621" t="s">
        <v>2195</v>
      </c>
      <c r="C178" s="2511"/>
      <c r="D178" s="2606" t="s">
        <v>2146</v>
      </c>
      <c r="E178" s="2606" t="s">
        <v>2146</v>
      </c>
      <c r="F178" s="2606" t="s">
        <v>2146</v>
      </c>
      <c r="G178" s="3104" t="str">
        <f t="shared" ref="G178" si="115">IF(SUM(D178)=0,"NA",J178/D178)</f>
        <v>NA</v>
      </c>
      <c r="H178" s="3104" t="str">
        <f t="shared" ref="H178" si="116">IF(SUM(E178)=0,"NA",K178/E178)</f>
        <v>NA</v>
      </c>
      <c r="I178" s="3104" t="str">
        <f t="shared" ref="I178" si="117">IF(SUM(F178)=0,"NA",(SUM(L178:M178))/F178)</f>
        <v>NA</v>
      </c>
      <c r="J178" s="2606" t="s">
        <v>2146</v>
      </c>
      <c r="K178" s="2606" t="s">
        <v>2146</v>
      </c>
      <c r="L178" s="3238" t="s">
        <v>2146</v>
      </c>
      <c r="M178" s="3232" t="s">
        <v>2146</v>
      </c>
    </row>
    <row r="179" spans="2:13" ht="12" customHeight="1" x14ac:dyDescent="0.2"/>
    <row r="180" spans="2:13" ht="12" customHeight="1" x14ac:dyDescent="0.2">
      <c r="B180" s="1057"/>
      <c r="C180" s="1057"/>
      <c r="D180" s="1057"/>
      <c r="E180" s="1057"/>
      <c r="F180" s="1057"/>
      <c r="G180" s="1057"/>
      <c r="H180" s="1057"/>
      <c r="I180" s="1057"/>
      <c r="J180" s="1057"/>
      <c r="K180" s="1057"/>
      <c r="L180" s="1057"/>
      <c r="M180" s="1057"/>
    </row>
    <row r="181" spans="2:13" ht="12" customHeight="1" x14ac:dyDescent="0.2"/>
    <row r="182" spans="2:13" ht="12" customHeight="1" x14ac:dyDescent="0.2">
      <c r="B182" s="999"/>
      <c r="C182" s="999"/>
      <c r="D182" s="999"/>
      <c r="E182" s="999"/>
      <c r="F182" s="999"/>
      <c r="G182" s="999"/>
      <c r="H182" s="999"/>
      <c r="I182" s="999"/>
      <c r="J182" s="84"/>
      <c r="K182" s="84"/>
      <c r="L182" s="84"/>
      <c r="M182" s="84"/>
    </row>
    <row r="183" spans="2:13" ht="12" customHeight="1" x14ac:dyDescent="0.2">
      <c r="B183" s="788"/>
      <c r="C183" s="788"/>
      <c r="D183" s="788"/>
      <c r="E183" s="788"/>
      <c r="F183" s="788"/>
      <c r="G183" s="84"/>
      <c r="H183" s="84"/>
      <c r="I183" s="84"/>
      <c r="J183" s="84"/>
      <c r="K183" s="84"/>
      <c r="L183" s="84"/>
      <c r="M183" s="84"/>
    </row>
    <row r="184" spans="2:13" ht="12" customHeight="1" x14ac:dyDescent="0.2">
      <c r="B184" s="999"/>
      <c r="C184" s="999"/>
      <c r="D184" s="999"/>
      <c r="E184" s="999"/>
      <c r="F184" s="999"/>
      <c r="G184" s="999"/>
      <c r="H184" s="999"/>
      <c r="I184" s="999"/>
      <c r="J184" s="999"/>
      <c r="K184" s="999"/>
      <c r="L184" s="999"/>
      <c r="M184" s="999"/>
    </row>
    <row r="185" spans="2:13" ht="12" customHeight="1" x14ac:dyDescent="0.2">
      <c r="B185" s="1058"/>
      <c r="C185" s="1058"/>
      <c r="D185" s="1058"/>
      <c r="E185" s="1058"/>
      <c r="F185" s="1058"/>
      <c r="G185" s="1058"/>
      <c r="H185" s="1058"/>
      <c r="I185" s="1058"/>
      <c r="J185" s="1058"/>
      <c r="K185" s="1058"/>
      <c r="L185" s="1058"/>
      <c r="M185" s="1058"/>
    </row>
    <row r="186" spans="2:13" ht="12" customHeight="1" x14ac:dyDescent="0.2">
      <c r="B186" s="999"/>
      <c r="C186" s="999"/>
      <c r="D186" s="999"/>
      <c r="E186" s="999"/>
      <c r="F186" s="999"/>
      <c r="G186" s="999"/>
      <c r="H186" s="999"/>
      <c r="I186" s="999"/>
      <c r="J186" s="999"/>
      <c r="K186" s="999"/>
      <c r="L186" s="999"/>
      <c r="M186" s="999"/>
    </row>
    <row r="187" spans="2:13" ht="12" customHeight="1" x14ac:dyDescent="0.2">
      <c r="B187" s="999"/>
      <c r="C187" s="999"/>
      <c r="D187" s="999"/>
      <c r="E187" s="999"/>
      <c r="F187" s="999"/>
      <c r="G187" s="999"/>
      <c r="H187" s="999"/>
      <c r="I187" s="84"/>
      <c r="J187" s="84"/>
      <c r="K187" s="84"/>
      <c r="L187" s="84"/>
      <c r="M187" s="84"/>
    </row>
    <row r="188" spans="2:13" ht="12" customHeight="1" x14ac:dyDescent="0.2">
      <c r="B188" s="1058"/>
      <c r="C188" s="1058"/>
      <c r="D188" s="1058"/>
      <c r="E188" s="1058"/>
      <c r="F188" s="1058"/>
      <c r="G188" s="1058"/>
      <c r="H188" s="1058"/>
      <c r="I188" s="1058"/>
      <c r="J188" s="1058"/>
      <c r="K188" s="1058"/>
      <c r="L188" s="1058"/>
      <c r="M188" s="1058"/>
    </row>
    <row r="189" spans="2:13" ht="12" customHeight="1" x14ac:dyDescent="0.2">
      <c r="B189" s="999"/>
      <c r="C189" s="999"/>
      <c r="D189" s="999"/>
      <c r="E189" s="999"/>
      <c r="F189" s="999"/>
      <c r="G189" s="999"/>
      <c r="H189" s="999"/>
      <c r="I189" s="84"/>
      <c r="J189" s="84"/>
      <c r="K189" s="84"/>
      <c r="L189" s="84"/>
      <c r="M189" s="84"/>
    </row>
    <row r="190" spans="2:13" ht="12" customHeight="1" x14ac:dyDescent="0.2">
      <c r="B190" s="999"/>
      <c r="C190" s="999"/>
      <c r="D190" s="999"/>
      <c r="E190" s="999"/>
      <c r="F190" s="999"/>
      <c r="G190" s="999"/>
      <c r="H190" s="999"/>
      <c r="I190" s="1442"/>
      <c r="J190" s="1442"/>
      <c r="K190" s="1442"/>
      <c r="L190" s="1442"/>
      <c r="M190" s="1442"/>
    </row>
    <row r="191" spans="2:13" ht="12" customHeight="1" x14ac:dyDescent="0.2">
      <c r="B191" s="1058"/>
      <c r="C191" s="1058"/>
      <c r="D191" s="1058"/>
      <c r="E191" s="1058"/>
      <c r="F191" s="1058"/>
      <c r="G191" s="1058"/>
      <c r="H191" s="1058"/>
      <c r="I191" s="1058"/>
      <c r="J191" s="1058"/>
      <c r="K191" s="1058"/>
      <c r="L191" s="1058"/>
      <c r="M191" s="1058"/>
    </row>
    <row r="192" spans="2:13" ht="12" customHeight="1" x14ac:dyDescent="0.2">
      <c r="B192" s="1058"/>
      <c r="C192" s="1058"/>
      <c r="D192" s="1058"/>
      <c r="E192" s="1058"/>
      <c r="F192" s="1058"/>
      <c r="G192" s="1058"/>
      <c r="H192" s="1058"/>
      <c r="I192" s="1058"/>
      <c r="J192" s="1058"/>
      <c r="K192" s="1058"/>
      <c r="L192" s="1058"/>
      <c r="M192" s="1058"/>
    </row>
    <row r="193" spans="2:13" ht="12" customHeight="1" x14ac:dyDescent="0.2">
      <c r="B193" s="1058"/>
      <c r="C193" s="1058"/>
      <c r="D193" s="1058"/>
      <c r="E193" s="1058"/>
      <c r="F193" s="1058"/>
      <c r="G193" s="1058"/>
      <c r="H193" s="1058"/>
      <c r="I193" s="1058"/>
      <c r="J193" s="1058"/>
      <c r="K193" s="1058"/>
      <c r="L193" s="1058"/>
      <c r="M193" s="1058"/>
    </row>
    <row r="194" spans="2:13" ht="12" customHeight="1" x14ac:dyDescent="0.2">
      <c r="B194" s="1058"/>
      <c r="C194" s="1058"/>
      <c r="D194" s="1058"/>
      <c r="E194" s="1058"/>
      <c r="F194" s="1058"/>
      <c r="G194" s="1058"/>
      <c r="H194" s="1058"/>
      <c r="I194" s="1058"/>
      <c r="J194" s="1058"/>
      <c r="K194" s="1058"/>
      <c r="L194" s="1058"/>
      <c r="M194" s="1058"/>
    </row>
    <row r="195" spans="2:13" ht="12" customHeight="1" x14ac:dyDescent="0.2">
      <c r="B195" s="1058"/>
      <c r="C195" s="1058"/>
      <c r="D195" s="1058"/>
      <c r="E195" s="1058"/>
      <c r="F195" s="1058"/>
      <c r="G195" s="1058"/>
      <c r="H195" s="1058"/>
      <c r="I195" s="1058"/>
      <c r="J195" s="1058"/>
      <c r="K195" s="1058"/>
      <c r="L195" s="1058"/>
      <c r="M195" s="1058"/>
    </row>
    <row r="196" spans="2:13" ht="12" customHeight="1" x14ac:dyDescent="0.2">
      <c r="B196" s="1058"/>
      <c r="C196" s="1058"/>
      <c r="D196" s="1058"/>
      <c r="E196" s="1058"/>
      <c r="F196" s="1058"/>
      <c r="G196" s="1058"/>
      <c r="H196" s="1058"/>
      <c r="I196" s="1058"/>
      <c r="J196" s="1058"/>
      <c r="K196" s="1058"/>
      <c r="L196" s="1058"/>
      <c r="M196" s="1058"/>
    </row>
    <row r="197" spans="2:13" ht="12" customHeight="1" x14ac:dyDescent="0.2">
      <c r="B197" s="1058"/>
      <c r="C197" s="1058"/>
      <c r="D197" s="1058"/>
      <c r="E197" s="1058"/>
      <c r="F197" s="1058"/>
      <c r="G197" s="1058"/>
      <c r="H197" s="1058"/>
      <c r="I197" s="1058"/>
      <c r="J197" s="1058"/>
      <c r="K197" s="1058"/>
      <c r="L197" s="1058"/>
      <c r="M197" s="1058"/>
    </row>
    <row r="198" spans="2:13" ht="12" customHeight="1" x14ac:dyDescent="0.2">
      <c r="B198" s="1058"/>
      <c r="C198" s="1058"/>
      <c r="D198" s="1058"/>
      <c r="E198" s="1058"/>
      <c r="F198" s="1058"/>
      <c r="G198" s="1058"/>
      <c r="H198" s="1058"/>
      <c r="I198" s="1058"/>
      <c r="J198" s="1058"/>
      <c r="K198" s="1058"/>
      <c r="L198" s="1058"/>
      <c r="M198" s="1058"/>
    </row>
    <row r="199" spans="2:13" ht="12" customHeight="1" x14ac:dyDescent="0.2">
      <c r="B199" s="1058"/>
      <c r="C199" s="1058"/>
      <c r="D199" s="1058"/>
      <c r="E199" s="1058"/>
      <c r="F199" s="1058"/>
      <c r="G199" s="1058"/>
      <c r="H199" s="1058"/>
      <c r="I199" s="1058"/>
      <c r="J199" s="1058"/>
      <c r="K199" s="1058"/>
      <c r="L199" s="1058"/>
      <c r="M199" s="1058"/>
    </row>
    <row r="200" spans="2:13" ht="12" customHeight="1" x14ac:dyDescent="0.2">
      <c r="B200" s="1058"/>
      <c r="C200" s="1058"/>
      <c r="D200" s="1058"/>
      <c r="E200" s="1058"/>
      <c r="F200" s="1058"/>
      <c r="G200" s="1058"/>
      <c r="H200" s="1058"/>
      <c r="I200" s="1058"/>
      <c r="J200" s="1058"/>
      <c r="K200" s="1058"/>
      <c r="L200" s="1058"/>
      <c r="M200" s="1058"/>
    </row>
    <row r="201" spans="2:13" ht="12" customHeight="1" x14ac:dyDescent="0.2">
      <c r="B201" s="1058"/>
      <c r="C201" s="1058"/>
      <c r="D201" s="1058"/>
      <c r="E201" s="1058"/>
      <c r="F201" s="1058"/>
      <c r="G201" s="1058"/>
      <c r="H201" s="1058"/>
      <c r="I201" s="1058"/>
      <c r="J201" s="1058"/>
      <c r="K201" s="1058"/>
      <c r="L201" s="1058"/>
      <c r="M201" s="1058"/>
    </row>
    <row r="202" spans="2:13" ht="12" customHeight="1" thickBot="1" x14ac:dyDescent="0.25">
      <c r="B202" s="72"/>
    </row>
    <row r="203" spans="2:13" ht="12" customHeight="1" x14ac:dyDescent="0.2">
      <c r="B203" s="223" t="s">
        <v>390</v>
      </c>
      <c r="C203" s="224"/>
      <c r="D203" s="224"/>
      <c r="E203" s="224"/>
      <c r="F203" s="224"/>
      <c r="G203" s="224"/>
      <c r="H203" s="224"/>
      <c r="I203" s="224"/>
      <c r="J203" s="224"/>
      <c r="K203" s="224"/>
      <c r="L203" s="224"/>
      <c r="M203" s="225"/>
    </row>
    <row r="204" spans="2:13" ht="12" customHeight="1" x14ac:dyDescent="0.2">
      <c r="B204" s="1059"/>
      <c r="C204" s="1060"/>
      <c r="D204" s="1060"/>
      <c r="E204" s="1060"/>
      <c r="F204" s="1060"/>
      <c r="G204" s="1060"/>
      <c r="H204" s="1060"/>
      <c r="I204" s="1060"/>
      <c r="J204" s="1060"/>
      <c r="K204" s="1060"/>
      <c r="L204" s="1060"/>
      <c r="M204" s="1061"/>
    </row>
    <row r="205" spans="2:13" ht="12" customHeight="1" x14ac:dyDescent="0.2">
      <c r="B205" s="1051"/>
      <c r="C205" s="1052"/>
      <c r="D205" s="1052"/>
      <c r="E205" s="1052"/>
      <c r="F205" s="1052"/>
      <c r="G205" s="1052"/>
      <c r="H205" s="1052"/>
      <c r="I205" s="1052"/>
      <c r="J205" s="1052"/>
      <c r="K205" s="1052"/>
      <c r="L205" s="1052"/>
      <c r="M205" s="1053"/>
    </row>
    <row r="206" spans="2:13" ht="12" customHeight="1" x14ac:dyDescent="0.2">
      <c r="B206" s="1051"/>
      <c r="C206" s="1052"/>
      <c r="D206" s="1052"/>
      <c r="E206" s="1052"/>
      <c r="F206" s="1052"/>
      <c r="G206" s="1052"/>
      <c r="H206" s="1052"/>
      <c r="I206" s="1052"/>
      <c r="J206" s="1052"/>
      <c r="K206" s="1052"/>
      <c r="L206" s="1052"/>
      <c r="M206" s="1053"/>
    </row>
    <row r="207" spans="2:13" ht="12" customHeight="1" x14ac:dyDescent="0.2">
      <c r="B207" s="1051"/>
      <c r="C207" s="1052"/>
      <c r="D207" s="1052"/>
      <c r="E207" s="1052"/>
      <c r="F207" s="1052"/>
      <c r="G207" s="1052"/>
      <c r="H207" s="1052"/>
      <c r="I207" s="1052"/>
      <c r="J207" s="1052"/>
      <c r="K207" s="1052"/>
      <c r="L207" s="1052"/>
      <c r="M207" s="1053"/>
    </row>
    <row r="208" spans="2:13" ht="12" customHeight="1" x14ac:dyDescent="0.2">
      <c r="B208" s="1051"/>
      <c r="C208" s="1052"/>
      <c r="D208" s="1052"/>
      <c r="E208" s="1052"/>
      <c r="F208" s="1052"/>
      <c r="G208" s="1052"/>
      <c r="H208" s="1052"/>
      <c r="I208" s="1052"/>
      <c r="J208" s="1052"/>
      <c r="K208" s="1052"/>
      <c r="L208" s="1052"/>
      <c r="M208" s="1053"/>
    </row>
    <row r="209" spans="2:13" ht="12" customHeight="1" x14ac:dyDescent="0.2">
      <c r="B209" s="1054"/>
      <c r="C209" s="1055"/>
      <c r="D209" s="1055"/>
      <c r="E209" s="1055"/>
      <c r="F209" s="1055"/>
      <c r="G209" s="1055"/>
      <c r="H209" s="1055"/>
      <c r="I209" s="1055"/>
      <c r="J209" s="1055"/>
      <c r="K209" s="1055"/>
      <c r="L209" s="1055"/>
      <c r="M209" s="1056"/>
    </row>
    <row r="210" spans="2:13" ht="12" customHeight="1" thickBot="1" x14ac:dyDescent="0.25">
      <c r="B210" s="2024"/>
      <c r="C210" s="2025"/>
      <c r="D210" s="2025"/>
      <c r="E210" s="2025"/>
      <c r="F210" s="2025"/>
      <c r="G210" s="2025"/>
      <c r="H210" s="2025"/>
      <c r="I210" s="2025"/>
      <c r="J210" s="2025"/>
      <c r="K210" s="2025"/>
      <c r="L210" s="2025"/>
      <c r="M210" s="2026"/>
    </row>
    <row r="211" spans="2:13" ht="12" customHeight="1" x14ac:dyDescent="0.2"/>
  </sheetData>
  <phoneticPr fontId="49" type="noConversion"/>
  <dataValidations count="1">
    <dataValidation allowBlank="1" showInputMessage="1" showErrorMessage="1" sqref="B209:C209 J9 C7 H1:H5 C190:G190 H10:J164 C187:E187 B182:B185 C202:G202 C2:D5 C205:C208 B1:B5 B187:B208 M7 H8:M8 B172:B178 G7:J7 E7:F8 M1:M5 K90:M90 K164:L164 K162:M163 K10:M11 M39:M50 K12:L89 G8:G178 K91:L161 D7:D178 B7:B170 C9:C178 E10:F178 H165:M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showGridLines="0" zoomScale="80" zoomScaleNormal="80" workbookViewId="0">
      <selection activeCell="C11" sqref="C11"/>
    </sheetView>
  </sheetViews>
  <sheetFormatPr defaultRowHeight="12.75" x14ac:dyDescent="0.2"/>
  <cols>
    <col min="1" max="1" width="1.85546875" customWidth="1"/>
    <col min="2" max="2" width="15.42578125" customWidth="1"/>
    <col min="3" max="3" width="103.42578125" customWidth="1"/>
  </cols>
  <sheetData>
    <row r="1" spans="2:5" ht="15.75" x14ac:dyDescent="0.2">
      <c r="B1" s="2441" t="s">
        <v>1853</v>
      </c>
      <c r="C1" s="2442"/>
    </row>
    <row r="2" spans="2:5" ht="15.75" x14ac:dyDescent="0.2">
      <c r="B2" s="2445" t="s">
        <v>64</v>
      </c>
      <c r="C2" s="2443"/>
    </row>
    <row r="3" spans="2:5" ht="15.75" x14ac:dyDescent="0.2">
      <c r="B3" s="2444" t="s">
        <v>1796</v>
      </c>
      <c r="C3" s="2444" t="s">
        <v>1797</v>
      </c>
    </row>
    <row r="4" spans="2:5" ht="15.75" x14ac:dyDescent="0.2">
      <c r="B4" s="2444" t="s">
        <v>1798</v>
      </c>
      <c r="C4" s="2444" t="s">
        <v>1799</v>
      </c>
    </row>
    <row r="5" spans="2:5" ht="15.75" x14ac:dyDescent="0.2">
      <c r="B5" s="2444" t="s">
        <v>1863</v>
      </c>
      <c r="C5" s="2444" t="s">
        <v>1864</v>
      </c>
    </row>
    <row r="6" spans="2:5" ht="18.75" x14ac:dyDescent="0.2">
      <c r="B6" s="2444" t="s">
        <v>1923</v>
      </c>
      <c r="C6" s="2444" t="s">
        <v>1800</v>
      </c>
    </row>
    <row r="7" spans="2:5" ht="15.75" x14ac:dyDescent="0.2">
      <c r="B7" s="2444" t="s">
        <v>1801</v>
      </c>
      <c r="C7" s="2444" t="s">
        <v>1802</v>
      </c>
    </row>
    <row r="8" spans="2:5" ht="15.75" x14ac:dyDescent="0.2">
      <c r="B8" s="2444" t="s">
        <v>1803</v>
      </c>
      <c r="C8" s="2444" t="s">
        <v>1804</v>
      </c>
    </row>
    <row r="9" spans="2:5" ht="15.75" x14ac:dyDescent="0.2">
      <c r="B9" s="2444" t="s">
        <v>70</v>
      </c>
      <c r="C9" s="2444" t="s">
        <v>1805</v>
      </c>
      <c r="D9" s="2427"/>
      <c r="E9" s="2427"/>
    </row>
    <row r="10" spans="2:5" ht="18.75" x14ac:dyDescent="0.2">
      <c r="B10" s="2444" t="s">
        <v>1924</v>
      </c>
      <c r="C10" s="2444" t="s">
        <v>1806</v>
      </c>
      <c r="E10" s="2427"/>
    </row>
    <row r="11" spans="2:5" ht="18.75" x14ac:dyDescent="0.2">
      <c r="B11" s="2444" t="s">
        <v>1925</v>
      </c>
      <c r="C11" s="2444" t="s">
        <v>1807</v>
      </c>
      <c r="E11" s="2427"/>
    </row>
    <row r="12" spans="2:5" ht="15.75" x14ac:dyDescent="0.2">
      <c r="B12" s="2444" t="s">
        <v>1861</v>
      </c>
      <c r="C12" s="2444" t="s">
        <v>1862</v>
      </c>
    </row>
    <row r="13" spans="2:5" ht="15.75" x14ac:dyDescent="0.2">
      <c r="B13" s="2444" t="s">
        <v>1808</v>
      </c>
      <c r="C13" s="2444" t="s">
        <v>1809</v>
      </c>
    </row>
    <row r="14" spans="2:5" ht="15.75" x14ac:dyDescent="0.2">
      <c r="B14" s="2444" t="s">
        <v>1859</v>
      </c>
      <c r="C14" s="2444" t="s">
        <v>1860</v>
      </c>
    </row>
    <row r="15" spans="2:5" ht="15.75" x14ac:dyDescent="0.2">
      <c r="B15" s="2444" t="s">
        <v>1916</v>
      </c>
      <c r="C15" s="2444" t="s">
        <v>1917</v>
      </c>
    </row>
    <row r="16" spans="2:5" ht="15.75" x14ac:dyDescent="0.2">
      <c r="B16" s="2444" t="s">
        <v>1810</v>
      </c>
      <c r="C16" s="2444" t="s">
        <v>1811</v>
      </c>
    </row>
    <row r="17" spans="2:3" ht="15.75" x14ac:dyDescent="0.2">
      <c r="B17" s="2444" t="s">
        <v>1812</v>
      </c>
      <c r="C17" s="2444" t="s">
        <v>1813</v>
      </c>
    </row>
    <row r="18" spans="2:3" ht="18.75" x14ac:dyDescent="0.2">
      <c r="B18" s="2444" t="s">
        <v>1926</v>
      </c>
      <c r="C18" s="2444" t="s">
        <v>1865</v>
      </c>
    </row>
    <row r="19" spans="2:3" ht="18.75" x14ac:dyDescent="0.2">
      <c r="B19" s="2444" t="s">
        <v>1927</v>
      </c>
      <c r="C19" s="2444" t="s">
        <v>1866</v>
      </c>
    </row>
    <row r="20" spans="2:3" ht="15.75" x14ac:dyDescent="0.2">
      <c r="B20" s="2444" t="s">
        <v>1814</v>
      </c>
      <c r="C20" s="2444" t="s">
        <v>1815</v>
      </c>
    </row>
    <row r="21" spans="2:3" ht="15.75" x14ac:dyDescent="0.2">
      <c r="B21" s="2444" t="s">
        <v>1697</v>
      </c>
      <c r="C21" s="2444" t="s">
        <v>1816</v>
      </c>
    </row>
    <row r="22" spans="2:3" ht="15.75" x14ac:dyDescent="0.2">
      <c r="B22" s="2444" t="s">
        <v>1817</v>
      </c>
      <c r="C22" s="2444" t="s">
        <v>1818</v>
      </c>
    </row>
    <row r="23" spans="2:3" ht="15.75" x14ac:dyDescent="0.2">
      <c r="B23" s="2444" t="s">
        <v>1819</v>
      </c>
      <c r="C23" s="2444" t="s">
        <v>1820</v>
      </c>
    </row>
    <row r="24" spans="2:3" ht="15.75" x14ac:dyDescent="0.2">
      <c r="B24" s="2444" t="s">
        <v>1821</v>
      </c>
      <c r="C24" s="2444" t="s">
        <v>1822</v>
      </c>
    </row>
    <row r="25" spans="2:3" ht="15.75" x14ac:dyDescent="0.2">
      <c r="B25" s="2444" t="s">
        <v>1823</v>
      </c>
      <c r="C25" s="2444" t="s">
        <v>1824</v>
      </c>
    </row>
    <row r="26" spans="2:3" ht="15.75" x14ac:dyDescent="0.2">
      <c r="B26" s="2444" t="s">
        <v>1825</v>
      </c>
      <c r="C26" s="2444" t="s">
        <v>1826</v>
      </c>
    </row>
    <row r="27" spans="2:3" ht="15.75" x14ac:dyDescent="0.2">
      <c r="B27" s="2444" t="s">
        <v>1827</v>
      </c>
      <c r="C27" s="2444" t="s">
        <v>1828</v>
      </c>
    </row>
    <row r="28" spans="2:3" ht="15.75" x14ac:dyDescent="0.2">
      <c r="B28" s="2444" t="s">
        <v>1829</v>
      </c>
      <c r="C28" s="2444" t="s">
        <v>1830</v>
      </c>
    </row>
    <row r="29" spans="2:3" ht="15.75" x14ac:dyDescent="0.2">
      <c r="B29" s="2444" t="s">
        <v>1874</v>
      </c>
      <c r="C29" s="2444" t="s">
        <v>1875</v>
      </c>
    </row>
    <row r="30" spans="2:3" ht="15.75" x14ac:dyDescent="0.2">
      <c r="B30" s="2444" t="s">
        <v>1831</v>
      </c>
      <c r="C30" s="2444" t="s">
        <v>1832</v>
      </c>
    </row>
    <row r="31" spans="2:3" ht="15.75" x14ac:dyDescent="0.2">
      <c r="B31" s="2444" t="s">
        <v>1390</v>
      </c>
      <c r="C31" s="2444" t="s">
        <v>1858</v>
      </c>
    </row>
    <row r="32" spans="2:3" ht="15.75" x14ac:dyDescent="0.2">
      <c r="B32" s="2444" t="s">
        <v>1878</v>
      </c>
      <c r="C32" s="2444" t="s">
        <v>1879</v>
      </c>
    </row>
    <row r="33" spans="2:4" ht="15.75" x14ac:dyDescent="0.2">
      <c r="B33" s="2444" t="s">
        <v>1872</v>
      </c>
      <c r="C33" s="2444" t="s">
        <v>1873</v>
      </c>
    </row>
    <row r="34" spans="2:4" ht="31.5" x14ac:dyDescent="0.2">
      <c r="B34" s="2444" t="s">
        <v>1833</v>
      </c>
      <c r="C34" s="2444" t="s">
        <v>1834</v>
      </c>
    </row>
    <row r="35" spans="2:4" ht="15.75" x14ac:dyDescent="0.2">
      <c r="B35" s="2444" t="s">
        <v>1918</v>
      </c>
      <c r="C35" s="2444" t="s">
        <v>1919</v>
      </c>
    </row>
    <row r="36" spans="2:4" ht="15.75" x14ac:dyDescent="0.2">
      <c r="B36" s="2444" t="s">
        <v>1867</v>
      </c>
      <c r="C36" s="2444" t="s">
        <v>1868</v>
      </c>
    </row>
    <row r="37" spans="2:4" ht="18.75" x14ac:dyDescent="0.2">
      <c r="B37" s="2444" t="s">
        <v>1928</v>
      </c>
      <c r="C37" s="2444" t="s">
        <v>1835</v>
      </c>
    </row>
    <row r="38" spans="2:4" ht="15.75" x14ac:dyDescent="0.2">
      <c r="B38" s="2444" t="s">
        <v>1836</v>
      </c>
      <c r="C38" s="2444" t="s">
        <v>1837</v>
      </c>
    </row>
    <row r="39" spans="2:4" ht="15.75" x14ac:dyDescent="0.2">
      <c r="B39" s="2444" t="s">
        <v>1920</v>
      </c>
      <c r="C39" s="2444" t="s">
        <v>1921</v>
      </c>
    </row>
    <row r="40" spans="2:4" ht="15.75" x14ac:dyDescent="0.2">
      <c r="B40" s="2444" t="s">
        <v>1838</v>
      </c>
      <c r="C40" s="2444" t="s">
        <v>1839</v>
      </c>
    </row>
    <row r="41" spans="2:4" ht="18.75" x14ac:dyDescent="0.2">
      <c r="B41" s="2444" t="s">
        <v>1929</v>
      </c>
      <c r="C41" s="2444" t="s">
        <v>1840</v>
      </c>
    </row>
    <row r="42" spans="2:4" ht="15.75" x14ac:dyDescent="0.2">
      <c r="B42" s="2444" t="s">
        <v>1841</v>
      </c>
      <c r="C42" s="2444" t="s">
        <v>1842</v>
      </c>
    </row>
    <row r="43" spans="2:4" ht="15.75" x14ac:dyDescent="0.2">
      <c r="B43" s="2444" t="s">
        <v>71</v>
      </c>
      <c r="C43" s="2444" t="s">
        <v>1843</v>
      </c>
    </row>
    <row r="44" spans="2:4" ht="18.75" x14ac:dyDescent="0.2">
      <c r="B44" s="2444" t="s">
        <v>1930</v>
      </c>
      <c r="C44" s="2444" t="s">
        <v>1844</v>
      </c>
    </row>
    <row r="45" spans="2:4" ht="15.75" x14ac:dyDescent="0.25">
      <c r="B45" s="2444" t="s">
        <v>1869</v>
      </c>
      <c r="C45" s="2444" t="s">
        <v>1870</v>
      </c>
      <c r="D45" s="2428"/>
    </row>
    <row r="46" spans="2:4" ht="15.75" x14ac:dyDescent="0.2">
      <c r="B46" s="2444" t="s">
        <v>1845</v>
      </c>
      <c r="C46" s="2444" t="s">
        <v>1846</v>
      </c>
    </row>
    <row r="47" spans="2:4" ht="15.75" x14ac:dyDescent="0.2">
      <c r="B47" s="2444" t="s">
        <v>1847</v>
      </c>
      <c r="C47" s="2444" t="s">
        <v>1848</v>
      </c>
    </row>
    <row r="48" spans="2:4" ht="15.75" x14ac:dyDescent="0.2">
      <c r="B48" s="2444" t="s">
        <v>1849</v>
      </c>
      <c r="C48" s="2444" t="s">
        <v>1850</v>
      </c>
    </row>
    <row r="49" spans="2:3" ht="18.75" x14ac:dyDescent="0.2">
      <c r="B49" s="2444" t="s">
        <v>1931</v>
      </c>
      <c r="C49" s="2444" t="s">
        <v>1851</v>
      </c>
    </row>
    <row r="50" spans="2:3" ht="18.75" x14ac:dyDescent="0.2">
      <c r="B50" s="2444" t="s">
        <v>1932</v>
      </c>
      <c r="C50" s="2444" t="s">
        <v>1852</v>
      </c>
    </row>
    <row r="51" spans="2:3" ht="15.75" x14ac:dyDescent="0.2">
      <c r="B51" s="2444" t="s">
        <v>1856</v>
      </c>
      <c r="C51" s="2444" t="s">
        <v>1857</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8"/>
  <sheetViews>
    <sheetView showGridLines="0" topLeftCell="B1" zoomScale="80" zoomScaleNormal="80" workbookViewId="0">
      <pane xSplit="1" ySplit="10" topLeftCell="C11" activePane="bottomRight" state="frozen"/>
      <selection activeCell="B1" sqref="B1"/>
      <selection pane="topRight" activeCell="C1" sqref="C1"/>
      <selection pane="bottomLeft" activeCell="B11" sqref="B11"/>
      <selection pane="bottomRight" activeCell="C11" sqref="C11"/>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691</v>
      </c>
      <c r="G1" s="226"/>
      <c r="H1" s="226"/>
      <c r="I1" s="226"/>
      <c r="J1" s="14" t="s">
        <v>2521</v>
      </c>
    </row>
    <row r="2" spans="1:10" ht="15.75" customHeight="1" x14ac:dyDescent="0.2">
      <c r="B2" s="3" t="s">
        <v>62</v>
      </c>
      <c r="G2" s="226"/>
      <c r="H2" s="226"/>
      <c r="I2" s="226"/>
      <c r="J2" s="14" t="s">
        <v>2522</v>
      </c>
    </row>
    <row r="3" spans="1:10" ht="12" customHeight="1" x14ac:dyDescent="0.2">
      <c r="G3" s="226"/>
      <c r="H3" s="226"/>
      <c r="I3" s="226"/>
      <c r="J3" s="14" t="s">
        <v>2144</v>
      </c>
    </row>
    <row r="4" spans="1:10" ht="12" hidden="1" customHeight="1" x14ac:dyDescent="0.2">
      <c r="A4" s="83" t="s">
        <v>389</v>
      </c>
      <c r="G4" s="226"/>
      <c r="H4" s="226"/>
      <c r="I4" s="226"/>
      <c r="J4" s="226"/>
    </row>
    <row r="5" spans="1:10" ht="12" hidden="1" customHeight="1" x14ac:dyDescent="0.2">
      <c r="A5" s="83" t="s">
        <v>389</v>
      </c>
      <c r="G5" s="226"/>
      <c r="H5" s="226"/>
      <c r="I5" s="226"/>
      <c r="J5" s="226"/>
    </row>
    <row r="6" spans="1:10" ht="12" customHeight="1" x14ac:dyDescent="0.2">
      <c r="G6" s="226"/>
      <c r="H6" s="226"/>
      <c r="I6" s="226"/>
      <c r="J6" s="226"/>
    </row>
    <row r="7" spans="1:10" ht="12" customHeight="1" thickBot="1" x14ac:dyDescent="0.25">
      <c r="B7" s="2446" t="s">
        <v>64</v>
      </c>
      <c r="G7" s="235"/>
    </row>
    <row r="8" spans="1:10" ht="13.5" customHeight="1" x14ac:dyDescent="0.2">
      <c r="B8" s="236" t="s">
        <v>326</v>
      </c>
      <c r="C8" s="237" t="s">
        <v>66</v>
      </c>
      <c r="D8" s="238" t="s">
        <v>67</v>
      </c>
      <c r="E8" s="238" t="s">
        <v>68</v>
      </c>
      <c r="F8" s="238" t="s">
        <v>442</v>
      </c>
      <c r="G8" s="239" t="s">
        <v>70</v>
      </c>
      <c r="H8" s="2395" t="s">
        <v>71</v>
      </c>
      <c r="I8" s="2424" t="s">
        <v>692</v>
      </c>
      <c r="J8" s="2473" t="s">
        <v>2021</v>
      </c>
    </row>
    <row r="9" spans="1:10" ht="12.75" customHeight="1" thickBot="1" x14ac:dyDescent="0.25">
      <c r="B9" s="240" t="s">
        <v>328</v>
      </c>
      <c r="C9" s="241" t="s">
        <v>73</v>
      </c>
      <c r="D9" s="241"/>
      <c r="E9" s="241"/>
      <c r="F9" s="241"/>
      <c r="G9" s="241"/>
      <c r="H9" s="242"/>
      <c r="I9" s="242"/>
      <c r="J9" s="1800" t="s">
        <v>2022</v>
      </c>
    </row>
    <row r="10" spans="1:10" ht="18" customHeight="1" thickTop="1" thickBot="1" x14ac:dyDescent="0.25">
      <c r="B10" s="227" t="s">
        <v>693</v>
      </c>
      <c r="C10" s="2923">
        <f>IF(SUM(C11,C20,C31:C32,C42:C47)=0,"NO",SUM(C11,C20,C31:C32,C42:C47))</f>
        <v>1829.6911462013227</v>
      </c>
      <c r="D10" s="2500">
        <f t="shared" ref="D10:I10" si="0">IF(SUM(D11,D20,D31:D32,D42:D47)=0,"NO",SUM(D11,D20,D31:D32,D42:D47))</f>
        <v>2513.7575033661415</v>
      </c>
      <c r="E10" s="2500">
        <f t="shared" si="0"/>
        <v>45.528596387212005</v>
      </c>
      <c r="F10" s="2500">
        <f t="shared" si="0"/>
        <v>27.414561599679626</v>
      </c>
      <c r="G10" s="2500">
        <f t="shared" si="0"/>
        <v>449.81958222232674</v>
      </c>
      <c r="H10" s="2915">
        <f t="shared" si="0"/>
        <v>26.239475629635731</v>
      </c>
      <c r="I10" s="2924" t="str">
        <f t="shared" si="0"/>
        <v>NO</v>
      </c>
      <c r="J10" s="2925">
        <f>IF(SUM(C10:E10)=0,"NO",SUM(C10)+28*SUM(D10)+265*SUM(E10))</f>
        <v>84279.979283064458</v>
      </c>
    </row>
    <row r="11" spans="1:10" ht="18" customHeight="1" x14ac:dyDescent="0.2">
      <c r="B11" s="234" t="s">
        <v>694</v>
      </c>
      <c r="C11" s="2926"/>
      <c r="D11" s="2137">
        <f>SUM(D16:D19)</f>
        <v>2230.9009824022714</v>
      </c>
      <c r="E11" s="1929"/>
      <c r="F11" s="1929"/>
      <c r="G11" s="1929"/>
      <c r="H11" s="2927"/>
      <c r="I11" s="2928"/>
      <c r="J11" s="1880">
        <f>IF(SUM(C11:E11)=0,"NO",SUM(C11)+28*SUM(D11)+265*SUM(E11))</f>
        <v>62465.227507263597</v>
      </c>
    </row>
    <row r="12" spans="1:10" ht="18" customHeight="1" x14ac:dyDescent="0.2">
      <c r="B12" s="230" t="s">
        <v>695</v>
      </c>
      <c r="C12" s="2929"/>
      <c r="D12" s="2135"/>
      <c r="E12" s="628"/>
      <c r="F12" s="628"/>
      <c r="G12" s="628"/>
      <c r="H12" s="2930"/>
      <c r="I12" s="2931"/>
      <c r="J12" s="2932"/>
    </row>
    <row r="13" spans="1:10" ht="18" customHeight="1" x14ac:dyDescent="0.2">
      <c r="B13" s="232" t="s">
        <v>696</v>
      </c>
      <c r="C13" s="2933"/>
      <c r="D13" s="2920"/>
      <c r="E13" s="628"/>
      <c r="F13" s="628"/>
      <c r="G13" s="628"/>
      <c r="H13" s="2930"/>
      <c r="I13" s="2931"/>
      <c r="J13" s="2934"/>
    </row>
    <row r="14" spans="1:10" ht="18" customHeight="1" x14ac:dyDescent="0.2">
      <c r="B14" s="232" t="s">
        <v>697</v>
      </c>
      <c r="C14" s="2933"/>
      <c r="D14" s="2920"/>
      <c r="E14" s="628"/>
      <c r="F14" s="628"/>
      <c r="G14" s="628"/>
      <c r="H14" s="2930"/>
      <c r="I14" s="2931"/>
      <c r="J14" s="2934"/>
    </row>
    <row r="15" spans="1:10" ht="18" customHeight="1" x14ac:dyDescent="0.2">
      <c r="B15" s="230" t="s">
        <v>698</v>
      </c>
      <c r="C15" s="2929"/>
      <c r="D15" s="1910"/>
      <c r="E15" s="628"/>
      <c r="F15" s="628"/>
      <c r="G15" s="628"/>
      <c r="H15" s="2930"/>
      <c r="I15" s="2931"/>
      <c r="J15" s="2935"/>
    </row>
    <row r="16" spans="1:10" ht="18" customHeight="1" x14ac:dyDescent="0.2">
      <c r="B16" s="232" t="s">
        <v>2094</v>
      </c>
      <c r="C16" s="2936"/>
      <c r="D16" s="2920">
        <f>Table3.A!G15</f>
        <v>1594.4865924519922</v>
      </c>
      <c r="E16" s="628"/>
      <c r="F16" s="628"/>
      <c r="G16" s="628"/>
      <c r="H16" s="2930"/>
      <c r="I16" s="2931"/>
      <c r="J16" s="2934">
        <f>IF(SUM(C16:E16)=0,"NO",SUM(C16)+28*SUM(D16)+265*SUM(E16))</f>
        <v>44645.624588655781</v>
      </c>
    </row>
    <row r="17" spans="2:10" ht="18" customHeight="1" x14ac:dyDescent="0.2">
      <c r="B17" s="228" t="s">
        <v>699</v>
      </c>
      <c r="C17" s="2936"/>
      <c r="D17" s="2920">
        <f>Table3.A!G24</f>
        <v>622.57093074303259</v>
      </c>
      <c r="E17" s="628"/>
      <c r="F17" s="628"/>
      <c r="G17" s="628"/>
      <c r="H17" s="2930"/>
      <c r="I17" s="2931"/>
      <c r="J17" s="2934">
        <f t="shared" ref="J17:J21" si="1">IF(SUM(C17:E17)=0,"NO",SUM(C17)+28*SUM(D17)+265*SUM(E17))</f>
        <v>17431.986060804913</v>
      </c>
    </row>
    <row r="18" spans="2:10" ht="18" customHeight="1" x14ac:dyDescent="0.2">
      <c r="B18" s="228" t="s">
        <v>700</v>
      </c>
      <c r="C18" s="2936"/>
      <c r="D18" s="2920">
        <f>Table3.A!G27</f>
        <v>4.1660379345938034</v>
      </c>
      <c r="E18" s="628"/>
      <c r="F18" s="628"/>
      <c r="G18" s="628"/>
      <c r="H18" s="2930"/>
      <c r="I18" s="2931"/>
      <c r="J18" s="2934">
        <f t="shared" si="1"/>
        <v>116.6490621686265</v>
      </c>
    </row>
    <row r="19" spans="2:10" ht="18" customHeight="1" thickBot="1" x14ac:dyDescent="0.25">
      <c r="B19" s="1297" t="s">
        <v>701</v>
      </c>
      <c r="C19" s="2937"/>
      <c r="D19" s="2500">
        <f>Table3.A!G30</f>
        <v>9.6774212726527882</v>
      </c>
      <c r="E19" s="1923"/>
      <c r="F19" s="1923"/>
      <c r="G19" s="1923"/>
      <c r="H19" s="2938"/>
      <c r="I19" s="2939"/>
      <c r="J19" s="2934">
        <f t="shared" si="1"/>
        <v>270.96779563427805</v>
      </c>
    </row>
    <row r="20" spans="2:10" ht="18" customHeight="1" x14ac:dyDescent="0.2">
      <c r="B20" s="1456" t="s">
        <v>702</v>
      </c>
      <c r="C20" s="2940"/>
      <c r="D20" s="2920">
        <f>IF(SUM(D26:D30)=0,"NO",SUM(D26:D30))</f>
        <v>255.10491454727224</v>
      </c>
      <c r="E20" s="2920">
        <f>IF(SUM(E26:E30)=0,"NO",SUM(E26:E30))</f>
        <v>1.7609107565195992</v>
      </c>
      <c r="F20" s="2134"/>
      <c r="G20" s="2134"/>
      <c r="H20" s="2920" t="str">
        <f>IF(SUM(H26:H30)=0,"NE",SUM(H26:H30))</f>
        <v>NE</v>
      </c>
      <c r="I20" s="2931"/>
      <c r="J20" s="2941">
        <f t="shared" si="1"/>
        <v>7609.5789578013164</v>
      </c>
    </row>
    <row r="21" spans="2:10" ht="18" customHeight="1" x14ac:dyDescent="0.2">
      <c r="B21" s="228" t="s">
        <v>2019</v>
      </c>
      <c r="C21" s="2936"/>
      <c r="D21" s="2920">
        <f>D26</f>
        <v>159.27486511253326</v>
      </c>
      <c r="E21" s="2920">
        <f>E26</f>
        <v>0.82059331646806832</v>
      </c>
      <c r="F21" s="2942"/>
      <c r="G21" s="2942"/>
      <c r="H21" s="2920" t="str">
        <f>H26</f>
        <v>NE</v>
      </c>
      <c r="I21" s="2931"/>
      <c r="J21" s="2934">
        <f t="shared" si="1"/>
        <v>4677.1534520149698</v>
      </c>
    </row>
    <row r="22" spans="2:10" ht="18" customHeight="1" x14ac:dyDescent="0.2">
      <c r="B22" s="230" t="s">
        <v>695</v>
      </c>
      <c r="C22" s="2929"/>
      <c r="D22" s="2135"/>
      <c r="E22" s="628"/>
      <c r="F22" s="628"/>
      <c r="G22" s="628"/>
      <c r="H22" s="2930"/>
      <c r="I22" s="2931"/>
      <c r="J22" s="2932"/>
    </row>
    <row r="23" spans="2:10" ht="18" customHeight="1" x14ac:dyDescent="0.2">
      <c r="B23" s="232" t="s">
        <v>703</v>
      </c>
      <c r="C23" s="2933"/>
      <c r="D23" s="2920"/>
      <c r="E23" s="2920"/>
      <c r="F23" s="628"/>
      <c r="G23" s="628"/>
      <c r="H23" s="2943"/>
      <c r="I23" s="2931"/>
      <c r="J23" s="2934"/>
    </row>
    <row r="24" spans="2:10" ht="18" customHeight="1" x14ac:dyDescent="0.2">
      <c r="B24" s="232" t="s">
        <v>704</v>
      </c>
      <c r="C24" s="2933"/>
      <c r="D24" s="2920"/>
      <c r="E24" s="2920"/>
      <c r="F24" s="628"/>
      <c r="G24" s="628"/>
      <c r="H24" s="2943"/>
      <c r="I24" s="2931"/>
      <c r="J24" s="2934"/>
    </row>
    <row r="25" spans="2:10" ht="18" customHeight="1" x14ac:dyDescent="0.2">
      <c r="B25" s="230" t="s">
        <v>698</v>
      </c>
      <c r="C25" s="2929"/>
      <c r="D25" s="1910"/>
      <c r="E25" s="628"/>
      <c r="F25" s="628"/>
      <c r="G25" s="628"/>
      <c r="H25" s="2930"/>
      <c r="I25" s="2931"/>
      <c r="J25" s="2935"/>
    </row>
    <row r="26" spans="2:10" ht="18" customHeight="1" x14ac:dyDescent="0.2">
      <c r="B26" s="232" t="s">
        <v>2095</v>
      </c>
      <c r="C26" s="2936"/>
      <c r="D26" s="2920">
        <f>'Table3.B(a)'!K15</f>
        <v>159.27486511253326</v>
      </c>
      <c r="E26" s="2920">
        <f>'Table3.B(b)'!X15</f>
        <v>0.82059331646806832</v>
      </c>
      <c r="F26" s="628"/>
      <c r="G26" s="628"/>
      <c r="H26" s="2944" t="s">
        <v>2154</v>
      </c>
      <c r="I26" s="2931"/>
      <c r="J26" s="2934">
        <f t="shared" ref="J26:J48" si="2">IF(SUM(C26:E26)=0,"NO",SUM(C26)+28*SUM(D26)+265*SUM(E26))</f>
        <v>4677.1534520149698</v>
      </c>
    </row>
    <row r="27" spans="2:10" ht="18" customHeight="1" x14ac:dyDescent="0.2">
      <c r="B27" s="228" t="s">
        <v>705</v>
      </c>
      <c r="C27" s="2936"/>
      <c r="D27" s="2920">
        <f>'Table3.B(a)'!K24</f>
        <v>31.684876900230012</v>
      </c>
      <c r="E27" s="2920" t="str">
        <f>'Table3.B(b)'!X24</f>
        <v>NA</v>
      </c>
      <c r="F27" s="2942"/>
      <c r="G27" s="2942"/>
      <c r="H27" s="2944" t="s">
        <v>2154</v>
      </c>
      <c r="I27" s="2931"/>
      <c r="J27" s="2934">
        <f t="shared" si="2"/>
        <v>887.1765532064403</v>
      </c>
    </row>
    <row r="28" spans="2:10" ht="18" customHeight="1" x14ac:dyDescent="0.2">
      <c r="B28" s="228" t="s">
        <v>706</v>
      </c>
      <c r="C28" s="2936"/>
      <c r="D28" s="2920">
        <f>'Table3.B(a)'!K27</f>
        <v>60.437106125621519</v>
      </c>
      <c r="E28" s="2920">
        <f>'Table3.B(b)'!X27</f>
        <v>0.27941686056972381</v>
      </c>
      <c r="F28" s="2942"/>
      <c r="G28" s="2942"/>
      <c r="H28" s="2944" t="s">
        <v>2154</v>
      </c>
      <c r="I28" s="2931"/>
      <c r="J28" s="2934">
        <f t="shared" si="2"/>
        <v>1766.2844395683792</v>
      </c>
    </row>
    <row r="29" spans="2:10" ht="18" customHeight="1" x14ac:dyDescent="0.2">
      <c r="B29" s="228" t="s">
        <v>707</v>
      </c>
      <c r="C29" s="2936"/>
      <c r="D29" s="2920">
        <f>'Table3.B(a)'!K30</f>
        <v>3.7080664088874569</v>
      </c>
      <c r="E29" s="2920">
        <f>'Table3.B(b)'!X30</f>
        <v>0.31936291376242809</v>
      </c>
      <c r="F29" s="2942"/>
      <c r="G29" s="2942"/>
      <c r="H29" s="2944" t="s">
        <v>2154</v>
      </c>
      <c r="I29" s="2931"/>
      <c r="J29" s="2934">
        <f t="shared" si="2"/>
        <v>188.45703159589223</v>
      </c>
    </row>
    <row r="30" spans="2:10" ht="18" customHeight="1" thickBot="1" x14ac:dyDescent="0.25">
      <c r="B30" s="1297" t="s">
        <v>708</v>
      </c>
      <c r="C30" s="2945"/>
      <c r="D30" s="2946"/>
      <c r="E30" s="2947">
        <f>SUM('Table3.B(b)'!Y46:Z46)</f>
        <v>0.34153766571937894</v>
      </c>
      <c r="F30" s="2948"/>
      <c r="G30" s="2948"/>
      <c r="H30" s="2949"/>
      <c r="I30" s="2950"/>
      <c r="J30" s="2934">
        <f t="shared" si="2"/>
        <v>90.507481415635425</v>
      </c>
    </row>
    <row r="31" spans="2:10" ht="18" customHeight="1" thickBot="1" x14ac:dyDescent="0.25">
      <c r="B31" s="2639" t="s">
        <v>709</v>
      </c>
      <c r="C31" s="2951"/>
      <c r="D31" s="2952">
        <f>Table3.C!G11</f>
        <v>16.217770975000001</v>
      </c>
      <c r="E31" s="2953"/>
      <c r="F31" s="2953"/>
      <c r="G31" s="2953"/>
      <c r="H31" s="2954" t="s">
        <v>2154</v>
      </c>
      <c r="I31" s="2955"/>
      <c r="J31" s="2956">
        <f t="shared" si="2"/>
        <v>454.09758729999999</v>
      </c>
    </row>
    <row r="32" spans="2:10" ht="18" customHeight="1" x14ac:dyDescent="0.2">
      <c r="B32" s="2638" t="s">
        <v>2020</v>
      </c>
      <c r="C32" s="2957"/>
      <c r="D32" s="2958" t="s">
        <v>2154</v>
      </c>
      <c r="E32" s="2958">
        <f>IF(SUM(E33,E41)=0,"NO",SUM(E33,E41))</f>
        <v>43.293181003418447</v>
      </c>
      <c r="F32" s="2958" t="str">
        <f>IF(SUM(F33,F41)=0,"NO",SUM(F33,F41))</f>
        <v>NO</v>
      </c>
      <c r="G32" s="2958" t="str">
        <f>IF(SUM(G33,G41)=0,"NO",SUM(G33,G41))</f>
        <v>NO</v>
      </c>
      <c r="H32" s="2958" t="str">
        <f>IF(SUM(H33,H41)=0,"NO",SUM(H33,H41))</f>
        <v>NO</v>
      </c>
      <c r="I32" s="2959"/>
      <c r="J32" s="2960">
        <f t="shared" si="2"/>
        <v>11472.692965905888</v>
      </c>
    </row>
    <row r="33" spans="2:10" ht="18" customHeight="1" x14ac:dyDescent="0.2">
      <c r="B33" s="228" t="s">
        <v>710</v>
      </c>
      <c r="C33" s="2961"/>
      <c r="D33" s="2962" t="s">
        <v>2154</v>
      </c>
      <c r="E33" s="2962">
        <f>IF(SUM(E34:E40)=0,"NO",SUM(E34:E40))</f>
        <v>33.013015328502789</v>
      </c>
      <c r="F33" s="2962" t="str">
        <f>IF(SUM(F34:F40)=0,"NO",SUM(F34:F40))</f>
        <v>NO</v>
      </c>
      <c r="G33" s="2962" t="str">
        <f>IF(SUM(G34:G40)=0,"NO",SUM(G34:G40))</f>
        <v>NO</v>
      </c>
      <c r="H33" s="2962" t="str">
        <f>IF(SUM(H34:H40)=0,"NO",SUM(H34:H40))</f>
        <v>NO</v>
      </c>
      <c r="I33" s="2931"/>
      <c r="J33" s="2963">
        <f t="shared" si="2"/>
        <v>8748.4490620532397</v>
      </c>
    </row>
    <row r="34" spans="2:10" ht="18" customHeight="1" x14ac:dyDescent="0.2">
      <c r="B34" s="232" t="s">
        <v>711</v>
      </c>
      <c r="C34" s="2961"/>
      <c r="D34" s="2905" t="s">
        <v>2154</v>
      </c>
      <c r="E34" s="2962">
        <f>Table3.D!F11</f>
        <v>6.5453287399598361</v>
      </c>
      <c r="F34" s="2964" t="s">
        <v>2147</v>
      </c>
      <c r="G34" s="2964" t="s">
        <v>2147</v>
      </c>
      <c r="H34" s="2964" t="s">
        <v>2147</v>
      </c>
      <c r="I34" s="2931"/>
      <c r="J34" s="2963">
        <f t="shared" si="2"/>
        <v>1734.5121160893566</v>
      </c>
    </row>
    <row r="35" spans="2:10" ht="18" customHeight="1" x14ac:dyDescent="0.2">
      <c r="B35" s="232" t="s">
        <v>712</v>
      </c>
      <c r="C35" s="2961"/>
      <c r="D35" s="2905" t="s">
        <v>2154</v>
      </c>
      <c r="E35" s="2962">
        <f>Table3.D!F12</f>
        <v>1.3911399683504215</v>
      </c>
      <c r="F35" s="2964" t="s">
        <v>2147</v>
      </c>
      <c r="G35" s="2964" t="s">
        <v>2147</v>
      </c>
      <c r="H35" s="2965" t="s">
        <v>2147</v>
      </c>
      <c r="I35" s="2931"/>
      <c r="J35" s="2963">
        <f t="shared" si="2"/>
        <v>368.65209161286168</v>
      </c>
    </row>
    <row r="36" spans="2:10" ht="18" customHeight="1" x14ac:dyDescent="0.2">
      <c r="B36" s="232" t="s">
        <v>713</v>
      </c>
      <c r="C36" s="2961"/>
      <c r="D36" s="2905" t="s">
        <v>2154</v>
      </c>
      <c r="E36" s="2962">
        <f>Table3.D!F16</f>
        <v>11.686561215796059</v>
      </c>
      <c r="F36" s="2964" t="s">
        <v>2147</v>
      </c>
      <c r="G36" s="2964" t="s">
        <v>2147</v>
      </c>
      <c r="H36" s="2965" t="s">
        <v>2147</v>
      </c>
      <c r="I36" s="2931"/>
      <c r="J36" s="2963">
        <f t="shared" si="2"/>
        <v>3096.9387221859556</v>
      </c>
    </row>
    <row r="37" spans="2:10" ht="18" customHeight="1" x14ac:dyDescent="0.2">
      <c r="B37" s="232" t="s">
        <v>714</v>
      </c>
      <c r="C37" s="2961"/>
      <c r="D37" s="2905" t="s">
        <v>2154</v>
      </c>
      <c r="E37" s="2962">
        <f>Table3.D!F17</f>
        <v>12.832457705933269</v>
      </c>
      <c r="F37" s="2964" t="s">
        <v>2147</v>
      </c>
      <c r="G37" s="2964" t="s">
        <v>2147</v>
      </c>
      <c r="H37" s="2965" t="s">
        <v>2147</v>
      </c>
      <c r="I37" s="2931"/>
      <c r="J37" s="2963">
        <f t="shared" si="2"/>
        <v>3400.6012920723165</v>
      </c>
    </row>
    <row r="38" spans="2:10" ht="18" customHeight="1" x14ac:dyDescent="0.2">
      <c r="B38" s="1705" t="s">
        <v>715</v>
      </c>
      <c r="C38" s="2961"/>
      <c r="D38" s="2905" t="s">
        <v>2154</v>
      </c>
      <c r="E38" s="2962">
        <f>Table3.D!F18</f>
        <v>0.46952769846320452</v>
      </c>
      <c r="F38" s="2964" t="s">
        <v>2147</v>
      </c>
      <c r="G38" s="2964" t="s">
        <v>2147</v>
      </c>
      <c r="H38" s="2965" t="s">
        <v>2147</v>
      </c>
      <c r="I38" s="2931"/>
      <c r="J38" s="2963">
        <f t="shared" si="2"/>
        <v>124.42484009274919</v>
      </c>
    </row>
    <row r="39" spans="2:10" ht="18" customHeight="1" x14ac:dyDescent="0.2">
      <c r="B39" s="232" t="s">
        <v>716</v>
      </c>
      <c r="C39" s="2961"/>
      <c r="D39" s="2905" t="s">
        <v>2154</v>
      </c>
      <c r="E39" s="2962">
        <f>Table3.D!F19</f>
        <v>8.7999999999999995E-2</v>
      </c>
      <c r="F39" s="2964" t="s">
        <v>2147</v>
      </c>
      <c r="G39" s="2964" t="s">
        <v>2147</v>
      </c>
      <c r="H39" s="2965" t="s">
        <v>2147</v>
      </c>
      <c r="I39" s="2931"/>
      <c r="J39" s="2963">
        <f t="shared" si="2"/>
        <v>23.32</v>
      </c>
    </row>
    <row r="40" spans="2:10" ht="18" customHeight="1" x14ac:dyDescent="0.2">
      <c r="B40" s="232" t="s">
        <v>717</v>
      </c>
      <c r="C40" s="2961"/>
      <c r="D40" s="2905" t="s">
        <v>2154</v>
      </c>
      <c r="E40" s="2962" t="str">
        <f>Table3.D!F20</f>
        <v>NO</v>
      </c>
      <c r="F40" s="2964" t="s">
        <v>2147</v>
      </c>
      <c r="G40" s="2964" t="s">
        <v>2147</v>
      </c>
      <c r="H40" s="2965" t="s">
        <v>2147</v>
      </c>
      <c r="I40" s="2931"/>
      <c r="J40" s="2963" t="str">
        <f t="shared" si="2"/>
        <v>NO</v>
      </c>
    </row>
    <row r="41" spans="2:10" ht="18" customHeight="1" thickBot="1" x14ac:dyDescent="0.25">
      <c r="B41" s="2640" t="s">
        <v>718</v>
      </c>
      <c r="C41" s="2966"/>
      <c r="D41" s="2967" t="s">
        <v>2154</v>
      </c>
      <c r="E41" s="2968">
        <f>Table3.D!F21</f>
        <v>10.28016567491566</v>
      </c>
      <c r="F41" s="2969" t="s">
        <v>2147</v>
      </c>
      <c r="G41" s="2969" t="s">
        <v>2147</v>
      </c>
      <c r="H41" s="2970" t="s">
        <v>2147</v>
      </c>
      <c r="I41" s="2971"/>
      <c r="J41" s="2972">
        <f t="shared" si="2"/>
        <v>2724.24390385265</v>
      </c>
    </row>
    <row r="42" spans="2:10" ht="18" customHeight="1" thickBot="1" x14ac:dyDescent="0.25">
      <c r="B42" s="236" t="s">
        <v>719</v>
      </c>
      <c r="C42" s="2973"/>
      <c r="D42" s="2974" t="s">
        <v>2147</v>
      </c>
      <c r="E42" s="2974" t="s">
        <v>2147</v>
      </c>
      <c r="F42" s="2975" t="s">
        <v>2147</v>
      </c>
      <c r="G42" s="2975" t="s">
        <v>2147</v>
      </c>
      <c r="H42" s="2976" t="s">
        <v>2147</v>
      </c>
      <c r="I42" s="2977" t="s">
        <v>2147</v>
      </c>
      <c r="J42" s="2978" t="s">
        <v>2147</v>
      </c>
    </row>
    <row r="43" spans="2:10" ht="18" customHeight="1" thickBot="1" x14ac:dyDescent="0.25">
      <c r="B43" s="2639" t="s">
        <v>720</v>
      </c>
      <c r="C43" s="2951"/>
      <c r="D43" s="2979">
        <f>SUM(Table3.F!I10,Table3.F!I20,Table3.F!I23,Table3.F!I26:I27)</f>
        <v>11.533835441598121</v>
      </c>
      <c r="E43" s="2979">
        <f>SUM(Table3.F!J10,Table3.F!J20,Table3.F!J23,Table3.F!J26:J27)</f>
        <v>0.47450462727395798</v>
      </c>
      <c r="F43" s="2909">
        <v>27.414561599679626</v>
      </c>
      <c r="G43" s="2909">
        <v>449.81958222232674</v>
      </c>
      <c r="H43" s="2910">
        <v>26.239475629635731</v>
      </c>
      <c r="I43" s="2980" t="s">
        <v>2146</v>
      </c>
      <c r="J43" s="2981">
        <f t="shared" si="2"/>
        <v>448.6911185923463</v>
      </c>
    </row>
    <row r="44" spans="2:10" ht="18" customHeight="1" thickBot="1" x14ac:dyDescent="0.25">
      <c r="B44" s="2641" t="s">
        <v>721</v>
      </c>
      <c r="C44" s="2982">
        <f>'Table3.G-J'!E10</f>
        <v>1072.8425829711978</v>
      </c>
      <c r="D44" s="2983"/>
      <c r="E44" s="2983"/>
      <c r="F44" s="2983"/>
      <c r="G44" s="2983"/>
      <c r="H44" s="2984"/>
      <c r="I44" s="2985"/>
      <c r="J44" s="2981">
        <f t="shared" si="2"/>
        <v>1072.8425829711978</v>
      </c>
    </row>
    <row r="45" spans="2:10" ht="18" customHeight="1" thickBot="1" x14ac:dyDescent="0.25">
      <c r="B45" s="2641" t="s">
        <v>722</v>
      </c>
      <c r="C45" s="2982">
        <f>'Table3.G-J'!E13</f>
        <v>756.84856323012491</v>
      </c>
      <c r="D45" s="2983"/>
      <c r="E45" s="2983"/>
      <c r="F45" s="2983"/>
      <c r="G45" s="2983"/>
      <c r="H45" s="2984"/>
      <c r="I45" s="2985"/>
      <c r="J45" s="2981">
        <f t="shared" si="2"/>
        <v>756.84856323012491</v>
      </c>
    </row>
    <row r="46" spans="2:10" ht="18" customHeight="1" thickBot="1" x14ac:dyDescent="0.25">
      <c r="B46" s="2641" t="s">
        <v>723</v>
      </c>
      <c r="C46" s="2982" t="str">
        <f>'Table3.G-J'!E14</f>
        <v>NE</v>
      </c>
      <c r="D46" s="2983"/>
      <c r="E46" s="2983"/>
      <c r="F46" s="2983"/>
      <c r="G46" s="2983"/>
      <c r="H46" s="2984"/>
      <c r="I46" s="2985"/>
      <c r="J46" s="2981" t="str">
        <f t="shared" si="2"/>
        <v>NO</v>
      </c>
    </row>
    <row r="47" spans="2:10" ht="18" customHeight="1" x14ac:dyDescent="0.2">
      <c r="B47" s="2496" t="s">
        <v>2072</v>
      </c>
      <c r="C47" s="2986" t="str">
        <f>'Table3.G-J'!E15</f>
        <v>NO</v>
      </c>
      <c r="D47" s="2958" t="str">
        <f>D48</f>
        <v>NO</v>
      </c>
      <c r="E47" s="2958" t="str">
        <f t="shared" ref="E47:I47" si="3">E48</f>
        <v>NO</v>
      </c>
      <c r="F47" s="2958" t="str">
        <f t="shared" si="3"/>
        <v>NO</v>
      </c>
      <c r="G47" s="2958" t="str">
        <f t="shared" si="3"/>
        <v>NO</v>
      </c>
      <c r="H47" s="2958" t="str">
        <f t="shared" si="3"/>
        <v>NO</v>
      </c>
      <c r="I47" s="2958" t="str">
        <f t="shared" si="3"/>
        <v>NO</v>
      </c>
      <c r="J47" s="2987" t="str">
        <f t="shared" si="2"/>
        <v>NO</v>
      </c>
    </row>
    <row r="48" spans="2:10" ht="18" customHeight="1" thickBot="1" x14ac:dyDescent="0.25">
      <c r="B48" s="2675" t="s">
        <v>2147</v>
      </c>
      <c r="C48" s="2988" t="str">
        <f>'Table3.G-J'!E16</f>
        <v>NO</v>
      </c>
      <c r="D48" s="1559" t="s">
        <v>2146</v>
      </c>
      <c r="E48" s="1559" t="s">
        <v>2146</v>
      </c>
      <c r="F48" s="1559" t="s">
        <v>2146</v>
      </c>
      <c r="G48" s="1559" t="s">
        <v>2146</v>
      </c>
      <c r="H48" s="1559" t="s">
        <v>2146</v>
      </c>
      <c r="I48" s="1561" t="s">
        <v>2146</v>
      </c>
      <c r="J48" s="1882" t="str">
        <f t="shared" si="2"/>
        <v>NO</v>
      </c>
    </row>
    <row r="49" spans="2:10" ht="12" customHeight="1" x14ac:dyDescent="0.2">
      <c r="B49" s="247"/>
      <c r="C49" s="247"/>
      <c r="D49" s="247"/>
      <c r="E49" s="247"/>
      <c r="F49" s="247"/>
      <c r="G49" s="247"/>
    </row>
    <row r="50" spans="2:10" ht="12" customHeight="1" x14ac:dyDescent="0.2">
      <c r="B50" s="248"/>
      <c r="C50" s="249"/>
      <c r="D50" s="249"/>
      <c r="E50" s="249"/>
      <c r="F50" s="249"/>
      <c r="G50" s="249"/>
    </row>
    <row r="51" spans="2:10" ht="12" customHeight="1" x14ac:dyDescent="0.2">
      <c r="B51" s="1171"/>
      <c r="C51" s="1171"/>
      <c r="D51" s="1171"/>
      <c r="E51" s="1171"/>
      <c r="F51" s="1171"/>
      <c r="G51" s="1171"/>
    </row>
    <row r="52" spans="2:10" ht="12" customHeight="1" x14ac:dyDescent="0.2">
      <c r="B52" s="1171"/>
      <c r="C52" s="1171"/>
      <c r="D52" s="1171"/>
      <c r="E52" s="1171"/>
      <c r="F52" s="1171"/>
      <c r="G52" s="1171"/>
    </row>
    <row r="53" spans="2:10" ht="12" customHeight="1" x14ac:dyDescent="0.2">
      <c r="B53" s="1171"/>
      <c r="C53" s="1171"/>
      <c r="D53" s="1171"/>
      <c r="E53" s="1171"/>
      <c r="F53" s="1171"/>
      <c r="G53" s="1171"/>
    </row>
    <row r="54" spans="2:10" ht="12" customHeight="1" x14ac:dyDescent="0.2">
      <c r="B54" s="1171"/>
      <c r="C54" s="1171"/>
      <c r="D54" s="1171"/>
      <c r="E54" s="1171"/>
      <c r="F54" s="1171"/>
      <c r="G54" s="1171"/>
    </row>
    <row r="55" spans="2:10" ht="12" customHeight="1" x14ac:dyDescent="0.2">
      <c r="B55" s="1171"/>
      <c r="C55" s="1171"/>
      <c r="D55" s="1171"/>
      <c r="E55" s="1171"/>
      <c r="F55" s="1171"/>
      <c r="G55" s="1171"/>
    </row>
    <row r="56" spans="2:10" ht="12" customHeight="1" x14ac:dyDescent="0.2">
      <c r="B56" s="1171"/>
      <c r="C56" s="1171"/>
      <c r="D56" s="1171"/>
      <c r="E56" s="1171"/>
      <c r="F56" s="1171"/>
      <c r="G56" s="1171"/>
    </row>
    <row r="57" spans="2:10" ht="12" customHeight="1" x14ac:dyDescent="0.2">
      <c r="B57" s="1298"/>
      <c r="C57" s="1298"/>
      <c r="D57" s="1298"/>
      <c r="E57" s="1298"/>
      <c r="F57" s="1298"/>
      <c r="G57" s="1298"/>
    </row>
    <row r="58" spans="2:10" ht="12" customHeight="1" x14ac:dyDescent="0.2">
      <c r="B58" s="1298"/>
      <c r="C58" s="1298"/>
      <c r="D58" s="1298"/>
      <c r="E58" s="1298"/>
      <c r="F58" s="1298"/>
      <c r="G58" s="1298"/>
    </row>
    <row r="59" spans="2:10" ht="12" customHeight="1" x14ac:dyDescent="0.2">
      <c r="B59" s="1298"/>
      <c r="C59" s="1298"/>
      <c r="D59" s="1298"/>
      <c r="E59" s="1298"/>
      <c r="F59" s="1298"/>
      <c r="G59" s="1298"/>
    </row>
    <row r="60" spans="2:10" ht="12" customHeight="1" x14ac:dyDescent="0.2">
      <c r="B60" s="1298"/>
      <c r="C60" s="1298"/>
      <c r="D60" s="1298"/>
      <c r="E60" s="1298"/>
      <c r="F60" s="1298"/>
      <c r="G60" s="1298"/>
    </row>
    <row r="61" spans="2:10" ht="12" customHeight="1" thickBot="1" x14ac:dyDescent="0.25">
      <c r="B61" s="1298"/>
      <c r="C61" s="1298"/>
      <c r="D61" s="1298"/>
      <c r="E61" s="1298"/>
      <c r="F61" s="1298"/>
      <c r="G61" s="1298"/>
    </row>
    <row r="62" spans="2:10" ht="12" customHeight="1" x14ac:dyDescent="0.2">
      <c r="B62" s="250" t="s">
        <v>352</v>
      </c>
      <c r="C62" s="251"/>
      <c r="D62" s="251"/>
      <c r="E62" s="251"/>
      <c r="F62" s="251"/>
      <c r="G62" s="251"/>
      <c r="H62" s="251"/>
      <c r="I62" s="251"/>
      <c r="J62" s="252"/>
    </row>
    <row r="63" spans="2:10" ht="12" customHeight="1" x14ac:dyDescent="0.2">
      <c r="B63" s="1302"/>
      <c r="C63" s="1303"/>
      <c r="D63" s="1303"/>
      <c r="E63" s="1303"/>
      <c r="F63" s="1303"/>
      <c r="G63" s="1303"/>
      <c r="H63" s="1303"/>
      <c r="I63" s="1303"/>
      <c r="J63" s="1304"/>
    </row>
    <row r="64" spans="2:10" ht="12" customHeight="1" x14ac:dyDescent="0.2">
      <c r="B64" s="1302"/>
      <c r="C64" s="1303"/>
      <c r="D64" s="1303"/>
      <c r="E64" s="1303"/>
      <c r="F64" s="1303"/>
      <c r="G64" s="1303"/>
      <c r="H64" s="1303"/>
      <c r="I64" s="1303"/>
      <c r="J64" s="1304"/>
    </row>
    <row r="65" spans="2:10" ht="12" customHeight="1" x14ac:dyDescent="0.2">
      <c r="B65" s="1302"/>
      <c r="C65" s="1303"/>
      <c r="D65" s="1303"/>
      <c r="E65" s="1303"/>
      <c r="F65" s="1303"/>
      <c r="G65" s="1303"/>
      <c r="H65" s="1303"/>
      <c r="I65" s="1303"/>
      <c r="J65" s="1304"/>
    </row>
    <row r="66" spans="2:10" ht="12" customHeight="1" x14ac:dyDescent="0.2">
      <c r="B66" s="1299"/>
      <c r="C66" s="1300"/>
      <c r="D66" s="1300"/>
      <c r="E66" s="1300"/>
      <c r="F66" s="1300"/>
      <c r="G66" s="1300"/>
      <c r="H66" s="1300"/>
      <c r="I66" s="1300"/>
      <c r="J66" s="1301"/>
    </row>
    <row r="67" spans="2:10" ht="12" customHeight="1" thickBot="1" x14ac:dyDescent="0.25">
      <c r="B67" s="852"/>
      <c r="C67" s="853"/>
      <c r="D67" s="853"/>
      <c r="E67" s="853"/>
      <c r="F67" s="853"/>
      <c r="G67" s="853"/>
      <c r="H67" s="853"/>
      <c r="I67" s="853"/>
      <c r="J67" s="854"/>
    </row>
    <row r="68" spans="2:10" ht="12" customHeight="1" x14ac:dyDescent="0.2">
      <c r="B68" s="247"/>
      <c r="C68" s="247"/>
      <c r="D68" s="247"/>
      <c r="E68" s="247"/>
      <c r="F68" s="247"/>
      <c r="G68" s="247"/>
    </row>
  </sheetData>
  <dataValidations count="1">
    <dataValidation allowBlank="1" showInputMessage="1" showErrorMessage="1" sqref="C44:C48 B1:B9 C8:C9 B29:C41 D8:J8 C1:IW7 C49:I65577 B44:B65577 K8:IW65577 J10:J65577 B10:I28 D29:I4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6"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7"/>
  <sheetViews>
    <sheetView showGridLines="0" zoomScale="80" zoomScaleNormal="80" workbookViewId="0">
      <selection activeCell="C11" sqref="C11"/>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724</v>
      </c>
      <c r="G1" s="14" t="s">
        <v>2521</v>
      </c>
      <c r="O1" s="226"/>
    </row>
    <row r="2" spans="2:16" ht="15.75" customHeight="1" x14ac:dyDescent="0.2">
      <c r="B2" s="3" t="s">
        <v>725</v>
      </c>
      <c r="G2" s="14" t="s">
        <v>2522</v>
      </c>
      <c r="O2" s="226"/>
    </row>
    <row r="3" spans="2:16" ht="15.75" customHeight="1" x14ac:dyDescent="0.2">
      <c r="B3" s="3" t="s">
        <v>62</v>
      </c>
      <c r="G3" s="14" t="s">
        <v>2144</v>
      </c>
      <c r="O3" s="226"/>
    </row>
    <row r="4" spans="2:16" ht="12" hidden="1" customHeight="1" x14ac:dyDescent="0.2">
      <c r="B4" s="3"/>
      <c r="G4" s="226"/>
      <c r="O4" s="226"/>
    </row>
    <row r="5" spans="2:16" ht="12" hidden="1" customHeight="1" x14ac:dyDescent="0.2">
      <c r="B5" s="3"/>
      <c r="G5" s="226"/>
      <c r="O5" s="226"/>
    </row>
    <row r="6" spans="2:16" ht="15" thickBot="1" x14ac:dyDescent="0.25">
      <c r="B6" s="2450" t="s">
        <v>64</v>
      </c>
      <c r="C6" s="254"/>
      <c r="D6" s="254"/>
      <c r="E6" s="254"/>
      <c r="F6" s="254"/>
      <c r="G6" s="254"/>
      <c r="H6" s="84"/>
      <c r="I6" s="253" t="s">
        <v>726</v>
      </c>
      <c r="J6" s="253"/>
      <c r="K6" s="253"/>
      <c r="L6" s="253"/>
      <c r="M6" s="253"/>
      <c r="N6" s="253"/>
      <c r="O6" s="253"/>
      <c r="P6" s="253"/>
    </row>
    <row r="7" spans="2:16" ht="24" x14ac:dyDescent="0.2">
      <c r="B7" s="255" t="s">
        <v>65</v>
      </c>
      <c r="C7" s="177" t="s">
        <v>727</v>
      </c>
      <c r="D7" s="178"/>
      <c r="E7" s="179"/>
      <c r="F7" s="256" t="s">
        <v>123</v>
      </c>
      <c r="G7" s="257" t="s">
        <v>124</v>
      </c>
      <c r="I7" s="292" t="s">
        <v>728</v>
      </c>
      <c r="J7" s="1069"/>
      <c r="K7" s="431" t="s">
        <v>729</v>
      </c>
      <c r="L7" s="431" t="s">
        <v>2197</v>
      </c>
      <c r="M7" s="431" t="s">
        <v>2198</v>
      </c>
      <c r="N7" s="1820" t="s">
        <v>2201</v>
      </c>
      <c r="O7" s="258" t="s">
        <v>817</v>
      </c>
    </row>
    <row r="8" spans="2:16" ht="27" x14ac:dyDescent="0.2">
      <c r="B8" s="259"/>
      <c r="C8" s="260" t="s">
        <v>730</v>
      </c>
      <c r="D8" s="261" t="s">
        <v>731</v>
      </c>
      <c r="E8" s="262" t="s">
        <v>732</v>
      </c>
      <c r="F8" s="260" t="s">
        <v>67</v>
      </c>
      <c r="G8" s="263" t="s">
        <v>67</v>
      </c>
      <c r="I8" s="1070"/>
      <c r="J8" s="1071"/>
      <c r="K8" s="262"/>
      <c r="L8" s="262"/>
      <c r="M8" s="262"/>
      <c r="N8" s="261"/>
      <c r="O8" s="264"/>
    </row>
    <row r="9" spans="2:16" ht="14.25" thickBot="1" x14ac:dyDescent="0.25">
      <c r="B9" s="265"/>
      <c r="C9" s="266" t="s">
        <v>733</v>
      </c>
      <c r="D9" s="267" t="s">
        <v>734</v>
      </c>
      <c r="E9" s="268" t="s">
        <v>297</v>
      </c>
      <c r="F9" s="268" t="s">
        <v>735</v>
      </c>
      <c r="G9" s="269" t="s">
        <v>73</v>
      </c>
      <c r="I9" s="270" t="s">
        <v>736</v>
      </c>
      <c r="J9" s="271"/>
      <c r="K9" s="436"/>
      <c r="L9" s="436"/>
      <c r="M9" s="436"/>
      <c r="N9" s="2637"/>
      <c r="O9" s="272"/>
    </row>
    <row r="10" spans="2:16" ht="18" customHeight="1" thickTop="1" x14ac:dyDescent="0.2">
      <c r="B10" s="273" t="s">
        <v>737</v>
      </c>
      <c r="C10" s="3266">
        <f>C15</f>
        <v>28393.973999999998</v>
      </c>
      <c r="D10" s="3241"/>
      <c r="E10" s="3241"/>
      <c r="F10" s="3131">
        <f>IF(SUM(C10)=0,"NA",G10*1000/C10)</f>
        <v>56.155809414067654</v>
      </c>
      <c r="G10" s="3242">
        <f>G15</f>
        <v>1594.4865924519922</v>
      </c>
      <c r="I10" s="275" t="s">
        <v>738</v>
      </c>
      <c r="J10" s="276" t="s">
        <v>739</v>
      </c>
      <c r="K10" s="691">
        <v>465.47205591202101</v>
      </c>
      <c r="L10" s="691">
        <v>362.45016100070097</v>
      </c>
      <c r="M10" s="3147">
        <v>530.79689268128595</v>
      </c>
      <c r="N10" s="3147">
        <v>45.162588921229201</v>
      </c>
      <c r="O10" s="2911">
        <v>58.068154627762802</v>
      </c>
    </row>
    <row r="11" spans="2:16" ht="18" customHeight="1" x14ac:dyDescent="0.2">
      <c r="B11" s="280" t="s">
        <v>695</v>
      </c>
      <c r="C11" s="274"/>
      <c r="D11" s="3243"/>
      <c r="E11" s="3243"/>
      <c r="F11" s="2930"/>
      <c r="G11" s="3244"/>
      <c r="I11" s="275" t="s">
        <v>740</v>
      </c>
      <c r="J11" s="281"/>
      <c r="K11" s="3442" t="s">
        <v>2202</v>
      </c>
      <c r="L11" s="3442" t="s">
        <v>2202</v>
      </c>
      <c r="M11" s="3443" t="s">
        <v>2203</v>
      </c>
      <c r="N11" s="3443" t="s">
        <v>2202</v>
      </c>
      <c r="O11" s="3444" t="s">
        <v>2203</v>
      </c>
    </row>
    <row r="12" spans="2:16" ht="18" customHeight="1" x14ac:dyDescent="0.2">
      <c r="B12" s="282" t="s">
        <v>696</v>
      </c>
      <c r="C12" s="3267"/>
      <c r="D12" s="2905"/>
      <c r="E12" s="2905"/>
      <c r="F12" s="3131"/>
      <c r="G12" s="3239"/>
      <c r="I12" s="275" t="s">
        <v>741</v>
      </c>
      <c r="J12" s="276" t="s">
        <v>742</v>
      </c>
      <c r="K12" s="691">
        <v>14.426617648684299</v>
      </c>
      <c r="L12" s="691" t="s">
        <v>2147</v>
      </c>
      <c r="M12" s="3147" t="s">
        <v>2147</v>
      </c>
      <c r="N12" s="3147" t="s">
        <v>2147</v>
      </c>
      <c r="O12" s="2911" t="s">
        <v>2147</v>
      </c>
    </row>
    <row r="13" spans="2:16" ht="18" customHeight="1" x14ac:dyDescent="0.2">
      <c r="B13" s="282" t="s">
        <v>697</v>
      </c>
      <c r="C13" s="3267"/>
      <c r="D13" s="2905"/>
      <c r="E13" s="2905"/>
      <c r="F13" s="3131"/>
      <c r="G13" s="3239"/>
      <c r="I13" s="275" t="s">
        <v>743</v>
      </c>
      <c r="J13" s="276" t="s">
        <v>744</v>
      </c>
      <c r="K13" s="691" t="s">
        <v>2146</v>
      </c>
      <c r="L13" s="691" t="s">
        <v>2146</v>
      </c>
      <c r="M13" s="3147" t="s">
        <v>2146</v>
      </c>
      <c r="N13" s="3147" t="s">
        <v>2146</v>
      </c>
      <c r="O13" s="2911" t="s">
        <v>2146</v>
      </c>
    </row>
    <row r="14" spans="2:16" ht="18" customHeight="1" x14ac:dyDescent="0.2">
      <c r="B14" s="280" t="s">
        <v>745</v>
      </c>
      <c r="C14" s="3268"/>
      <c r="D14" s="3245"/>
      <c r="E14" s="3245"/>
      <c r="F14" s="3246"/>
      <c r="G14" s="3247"/>
      <c r="I14" s="275" t="s">
        <v>746</v>
      </c>
      <c r="J14" s="276" t="s">
        <v>297</v>
      </c>
      <c r="K14" s="691" t="s">
        <v>2147</v>
      </c>
      <c r="L14" s="691" t="s">
        <v>2147</v>
      </c>
      <c r="M14" s="3147" t="s">
        <v>2147</v>
      </c>
      <c r="N14" s="3147" t="s">
        <v>2147</v>
      </c>
      <c r="O14" s="2911" t="s">
        <v>2147</v>
      </c>
    </row>
    <row r="15" spans="2:16" ht="18" customHeight="1" thickBot="1" x14ac:dyDescent="0.25">
      <c r="B15" s="286" t="s">
        <v>747</v>
      </c>
      <c r="C15" s="2635">
        <f>SUM(C21:C23)</f>
        <v>28393.973999999998</v>
      </c>
      <c r="D15" s="3248"/>
      <c r="E15" s="3248"/>
      <c r="F15" s="3131">
        <f>IF(SUM(C15)=0,"NA",G15*1000/C15)</f>
        <v>56.155809414067654</v>
      </c>
      <c r="G15" s="3249">
        <f>G20</f>
        <v>1594.4865924519922</v>
      </c>
      <c r="I15" s="1777" t="s">
        <v>748</v>
      </c>
      <c r="J15" s="1849" t="s">
        <v>297</v>
      </c>
      <c r="K15" s="3445">
        <v>75</v>
      </c>
      <c r="L15" s="3445">
        <v>58.054517991566797</v>
      </c>
      <c r="M15" s="1560">
        <v>80.266087290517902</v>
      </c>
      <c r="N15" s="1560">
        <v>66.663395475841099</v>
      </c>
      <c r="O15" s="1561" t="s">
        <v>2147</v>
      </c>
    </row>
    <row r="16" spans="2:16" ht="18" customHeight="1" x14ac:dyDescent="0.2">
      <c r="B16" s="1737" t="s">
        <v>200</v>
      </c>
      <c r="C16" s="3269"/>
      <c r="D16" s="3250"/>
      <c r="E16" s="3250"/>
      <c r="F16" s="3250"/>
      <c r="G16" s="3251"/>
      <c r="I16" s="994"/>
      <c r="J16" s="994"/>
      <c r="K16" s="994"/>
      <c r="L16" s="994"/>
      <c r="M16" s="994"/>
      <c r="N16" s="994"/>
      <c r="O16" s="994"/>
      <c r="P16" s="254"/>
    </row>
    <row r="17" spans="2:15" ht="18" customHeight="1" x14ac:dyDescent="0.2">
      <c r="B17" s="1734" t="s">
        <v>749</v>
      </c>
      <c r="C17" s="3270" t="s">
        <v>2147</v>
      </c>
      <c r="D17" s="3252" t="s">
        <v>2147</v>
      </c>
      <c r="E17" s="3252" t="s">
        <v>2147</v>
      </c>
      <c r="F17" s="3253" t="s">
        <v>2147</v>
      </c>
      <c r="G17" s="3254" t="s">
        <v>2147</v>
      </c>
      <c r="I17" s="72"/>
      <c r="J17" s="72"/>
      <c r="K17" s="72"/>
      <c r="L17" s="72"/>
      <c r="M17" s="72"/>
      <c r="N17" s="72"/>
      <c r="O17" s="72"/>
    </row>
    <row r="18" spans="2:15" ht="18" customHeight="1" x14ac:dyDescent="0.2">
      <c r="B18" s="1734" t="s">
        <v>750</v>
      </c>
      <c r="C18" s="3271" t="s">
        <v>2147</v>
      </c>
      <c r="D18" s="3255" t="s">
        <v>2147</v>
      </c>
      <c r="E18" s="3255" t="s">
        <v>2147</v>
      </c>
      <c r="F18" s="3253" t="s">
        <v>2147</v>
      </c>
      <c r="G18" s="3256" t="s">
        <v>2147</v>
      </c>
      <c r="I18" s="72"/>
      <c r="J18" s="72"/>
      <c r="K18" s="72"/>
      <c r="L18" s="72"/>
      <c r="M18" s="72"/>
      <c r="N18" s="72"/>
      <c r="O18" s="72"/>
    </row>
    <row r="19" spans="2:15" ht="18" customHeight="1" x14ac:dyDescent="0.2">
      <c r="B19" s="1734" t="s">
        <v>751</v>
      </c>
      <c r="C19" s="3270" t="s">
        <v>2147</v>
      </c>
      <c r="D19" s="3252" t="s">
        <v>2147</v>
      </c>
      <c r="E19" s="3252" t="s">
        <v>2147</v>
      </c>
      <c r="F19" s="3253" t="s">
        <v>2147</v>
      </c>
      <c r="G19" s="3254" t="s">
        <v>2147</v>
      </c>
      <c r="I19" s="72"/>
      <c r="J19" s="72"/>
      <c r="K19" s="72"/>
      <c r="L19" s="72"/>
      <c r="M19" s="72"/>
      <c r="N19" s="72"/>
      <c r="O19" s="72"/>
    </row>
    <row r="20" spans="2:15" ht="18" customHeight="1" x14ac:dyDescent="0.2">
      <c r="B20" s="1734" t="s">
        <v>752</v>
      </c>
      <c r="C20" s="284"/>
      <c r="D20" s="3248"/>
      <c r="E20" s="3248"/>
      <c r="F20" s="3248"/>
      <c r="G20" s="3249">
        <f>SUM(G21:G23)</f>
        <v>1594.4865924519922</v>
      </c>
      <c r="I20" s="72"/>
      <c r="J20" s="288"/>
      <c r="K20" s="288"/>
      <c r="L20" s="288"/>
      <c r="M20" s="288"/>
      <c r="N20" s="288"/>
      <c r="O20" s="288"/>
    </row>
    <row r="21" spans="2:15" ht="18" customHeight="1" x14ac:dyDescent="0.2">
      <c r="B21" s="2633" t="s">
        <v>2196</v>
      </c>
      <c r="C21" s="3272">
        <v>2788.4830000000002</v>
      </c>
      <c r="D21" s="3257">
        <v>234.132129679592</v>
      </c>
      <c r="E21" s="3257">
        <v>6.1530445854664899</v>
      </c>
      <c r="F21" s="3131">
        <f t="shared" ref="F21:F30" si="0">IF(SUM(C21)=0,"NA",G21*1000/C21)</f>
        <v>95.224243696428417</v>
      </c>
      <c r="G21" s="3239">
        <v>265.53118473534784</v>
      </c>
      <c r="I21" s="72"/>
      <c r="J21" s="288"/>
      <c r="K21" s="288"/>
      <c r="L21" s="288"/>
      <c r="M21" s="288"/>
      <c r="N21" s="288"/>
      <c r="O21" s="288"/>
    </row>
    <row r="22" spans="2:15" ht="18" customHeight="1" x14ac:dyDescent="0.2">
      <c r="B22" s="2633" t="s">
        <v>2197</v>
      </c>
      <c r="C22" s="3272">
        <v>24746.763999999999</v>
      </c>
      <c r="D22" s="3257">
        <v>125.049109873741</v>
      </c>
      <c r="E22" s="3257">
        <v>6.21225</v>
      </c>
      <c r="F22" s="3131">
        <f t="shared" si="0"/>
        <v>51.348291659057899</v>
      </c>
      <c r="G22" s="3239">
        <v>1270.7040554898742</v>
      </c>
      <c r="I22" s="72"/>
      <c r="J22" s="288"/>
      <c r="K22" s="288"/>
      <c r="L22" s="288"/>
      <c r="M22" s="288"/>
      <c r="N22" s="288"/>
      <c r="O22" s="288"/>
    </row>
    <row r="23" spans="2:15" ht="18" customHeight="1" x14ac:dyDescent="0.2">
      <c r="B23" s="2633" t="s">
        <v>2198</v>
      </c>
      <c r="C23" s="3272">
        <v>858.72699999999998</v>
      </c>
      <c r="D23" s="3257">
        <v>203.079243307605</v>
      </c>
      <c r="E23" s="3257">
        <v>5.0534583736008303</v>
      </c>
      <c r="F23" s="3131">
        <f t="shared" si="0"/>
        <v>67.834541392980768</v>
      </c>
      <c r="G23" s="3239">
        <v>58.251352226770194</v>
      </c>
      <c r="I23" s="72"/>
      <c r="J23" s="288"/>
      <c r="K23" s="288"/>
      <c r="L23" s="288"/>
      <c r="M23" s="288"/>
      <c r="N23" s="288"/>
      <c r="O23" s="288"/>
    </row>
    <row r="24" spans="2:15" ht="18" customHeight="1" x14ac:dyDescent="0.2">
      <c r="B24" s="287" t="s">
        <v>753</v>
      </c>
      <c r="C24" s="2635">
        <f>C25</f>
        <v>91026</v>
      </c>
      <c r="D24" s="3258"/>
      <c r="E24" s="3258"/>
      <c r="F24" s="3131">
        <f t="shared" si="0"/>
        <v>6.8394846608994415</v>
      </c>
      <c r="G24" s="3128">
        <f>G25</f>
        <v>622.57093074303259</v>
      </c>
      <c r="I24" s="72"/>
    </row>
    <row r="25" spans="2:15" ht="18" customHeight="1" x14ac:dyDescent="0.2">
      <c r="B25" s="282" t="s">
        <v>754</v>
      </c>
      <c r="C25" s="2635">
        <f>C26</f>
        <v>91026</v>
      </c>
      <c r="D25" s="3258"/>
      <c r="E25" s="3258"/>
      <c r="F25" s="3131">
        <f t="shared" si="0"/>
        <v>6.8394846608994415</v>
      </c>
      <c r="G25" s="3128">
        <f>G26</f>
        <v>622.57093074303259</v>
      </c>
    </row>
    <row r="26" spans="2:15" ht="18" customHeight="1" x14ac:dyDescent="0.2">
      <c r="B26" s="2634" t="s">
        <v>2201</v>
      </c>
      <c r="C26" s="289">
        <v>91026</v>
      </c>
      <c r="D26" s="3259">
        <v>16.7932436258452</v>
      </c>
      <c r="E26" s="3259">
        <v>6.16158337146961</v>
      </c>
      <c r="F26" s="3131">
        <f t="shared" si="0"/>
        <v>6.8394846608994415</v>
      </c>
      <c r="G26" s="3240">
        <v>622.57093074303259</v>
      </c>
    </row>
    <row r="27" spans="2:15" ht="18" customHeight="1" x14ac:dyDescent="0.2">
      <c r="B27" s="287" t="s">
        <v>755</v>
      </c>
      <c r="C27" s="2635">
        <f>C28</f>
        <v>2732.9560000000001</v>
      </c>
      <c r="D27" s="3258"/>
      <c r="E27" s="3258"/>
      <c r="F27" s="3131">
        <f t="shared" si="0"/>
        <v>1.5243706574836198</v>
      </c>
      <c r="G27" s="3128">
        <f>G28</f>
        <v>4.1660379345938034</v>
      </c>
    </row>
    <row r="28" spans="2:15" ht="18" customHeight="1" x14ac:dyDescent="0.2">
      <c r="B28" s="282" t="s">
        <v>756</v>
      </c>
      <c r="C28" s="2635">
        <f>C29</f>
        <v>2732.9560000000001</v>
      </c>
      <c r="D28" s="3258"/>
      <c r="E28" s="3258"/>
      <c r="F28" s="3131">
        <f t="shared" si="0"/>
        <v>1.5243706574836198</v>
      </c>
      <c r="G28" s="3128">
        <f>G29</f>
        <v>4.1660379345938034</v>
      </c>
    </row>
    <row r="29" spans="2:15" ht="18" customHeight="1" x14ac:dyDescent="0.2">
      <c r="B29" s="2634" t="s">
        <v>817</v>
      </c>
      <c r="C29" s="289">
        <v>2732.9560000000001</v>
      </c>
      <c r="D29" s="3259">
        <v>32.945494386758099</v>
      </c>
      <c r="E29" s="3259">
        <v>0.7</v>
      </c>
      <c r="F29" s="3131">
        <f t="shared" si="0"/>
        <v>1.5243706574836198</v>
      </c>
      <c r="G29" s="3240">
        <v>4.1660379345938034</v>
      </c>
    </row>
    <row r="30" spans="2:15" ht="18" customHeight="1" x14ac:dyDescent="0.2">
      <c r="B30" s="287" t="s">
        <v>757</v>
      </c>
      <c r="C30" s="2635">
        <f>SUM(C32:C39)</f>
        <v>70240.277000000002</v>
      </c>
      <c r="D30" s="3258"/>
      <c r="E30" s="3258"/>
      <c r="F30" s="3131">
        <f t="shared" si="0"/>
        <v>0.13777595542017562</v>
      </c>
      <c r="G30" s="3128">
        <f>SUM(G32:G39)</f>
        <v>9.6774212726527882</v>
      </c>
    </row>
    <row r="31" spans="2:15" ht="18" customHeight="1" x14ac:dyDescent="0.2">
      <c r="B31" s="1305" t="s">
        <v>345</v>
      </c>
      <c r="C31" s="3273"/>
      <c r="D31" s="3261"/>
      <c r="E31" s="3261"/>
      <c r="F31" s="3261"/>
      <c r="G31" s="3262"/>
    </row>
    <row r="32" spans="2:15" ht="18" customHeight="1" x14ac:dyDescent="0.2">
      <c r="B32" s="286" t="s">
        <v>758</v>
      </c>
      <c r="C32" s="3267">
        <v>3.2469999999999999</v>
      </c>
      <c r="D32" s="3263" t="s">
        <v>2147</v>
      </c>
      <c r="E32" s="3263" t="s">
        <v>2147</v>
      </c>
      <c r="F32" s="3131">
        <f t="shared" ref="F32:F40" si="1">IF(SUM(C32)=0,"NA",G32*1000/C32)</f>
        <v>75.994148444718206</v>
      </c>
      <c r="G32" s="3239">
        <v>0.246753</v>
      </c>
    </row>
    <row r="33" spans="2:7" ht="18" customHeight="1" x14ac:dyDescent="0.2">
      <c r="B33" s="286" t="s">
        <v>759</v>
      </c>
      <c r="C33" s="3267">
        <v>1.8129999999999999</v>
      </c>
      <c r="D33" s="3263" t="s">
        <v>2147</v>
      </c>
      <c r="E33" s="3263" t="s">
        <v>2147</v>
      </c>
      <c r="F33" s="3131">
        <f t="shared" si="1"/>
        <v>46.009089861200252</v>
      </c>
      <c r="G33" s="3239">
        <v>8.3414479918356044E-2</v>
      </c>
    </row>
    <row r="34" spans="2:7" ht="18" customHeight="1" x14ac:dyDescent="0.2">
      <c r="B34" s="286" t="s">
        <v>760</v>
      </c>
      <c r="C34" s="3267">
        <v>68.662000000000006</v>
      </c>
      <c r="D34" s="3263" t="s">
        <v>2147</v>
      </c>
      <c r="E34" s="3263" t="s">
        <v>2147</v>
      </c>
      <c r="F34" s="3131">
        <f t="shared" si="1"/>
        <v>20.000066994844307</v>
      </c>
      <c r="G34" s="3239">
        <v>1.3732446</v>
      </c>
    </row>
    <row r="35" spans="2:7" ht="18" customHeight="1" x14ac:dyDescent="0.2">
      <c r="B35" s="286" t="s">
        <v>761</v>
      </c>
      <c r="C35" s="3267">
        <v>517.66800000000001</v>
      </c>
      <c r="D35" s="3263" t="s">
        <v>2147</v>
      </c>
      <c r="E35" s="3263" t="s">
        <v>2147</v>
      </c>
      <c r="F35" s="3131">
        <f t="shared" si="1"/>
        <v>5.0000042498280761</v>
      </c>
      <c r="G35" s="3239">
        <v>2.5883422000000005</v>
      </c>
    </row>
    <row r="36" spans="2:7" ht="18" customHeight="1" x14ac:dyDescent="0.2">
      <c r="B36" s="286" t="s">
        <v>762</v>
      </c>
      <c r="C36" s="3267">
        <v>257.12299999999999</v>
      </c>
      <c r="D36" s="3263" t="s">
        <v>2147</v>
      </c>
      <c r="E36" s="3263" t="s">
        <v>2147</v>
      </c>
      <c r="F36" s="3131">
        <f t="shared" si="1"/>
        <v>18.000002800216237</v>
      </c>
      <c r="G36" s="3239">
        <v>4.628214719999999</v>
      </c>
    </row>
    <row r="37" spans="2:7" ht="18" customHeight="1" x14ac:dyDescent="0.2">
      <c r="B37" s="286" t="s">
        <v>763</v>
      </c>
      <c r="C37" s="3267">
        <v>0.35099999999999998</v>
      </c>
      <c r="D37" s="3263" t="s">
        <v>2147</v>
      </c>
      <c r="E37" s="3263" t="s">
        <v>2147</v>
      </c>
      <c r="F37" s="3131">
        <f t="shared" si="1"/>
        <v>9.996068756011411</v>
      </c>
      <c r="G37" s="3239">
        <v>3.508620133360005E-3</v>
      </c>
    </row>
    <row r="38" spans="2:7" ht="18" customHeight="1" x14ac:dyDescent="0.2">
      <c r="B38" s="286" t="s">
        <v>764</v>
      </c>
      <c r="C38" s="3274">
        <v>69284.820000000007</v>
      </c>
      <c r="D38" s="3263" t="s">
        <v>2147</v>
      </c>
      <c r="E38" s="3263" t="s">
        <v>2147</v>
      </c>
      <c r="F38" s="3131" t="s">
        <v>2147</v>
      </c>
      <c r="G38" s="3264" t="s">
        <v>2154</v>
      </c>
    </row>
    <row r="39" spans="2:7" ht="18" customHeight="1" x14ac:dyDescent="0.2">
      <c r="B39" s="286" t="s">
        <v>765</v>
      </c>
      <c r="C39" s="2635">
        <f>SUM(C40:C44)</f>
        <v>106.593</v>
      </c>
      <c r="D39" s="3258"/>
      <c r="E39" s="3258"/>
      <c r="F39" s="3131">
        <f t="shared" si="1"/>
        <v>7.0731066073857924</v>
      </c>
      <c r="G39" s="3128">
        <f>SUM(G40:G44)</f>
        <v>0.75394365260107388</v>
      </c>
    </row>
    <row r="40" spans="2:7" ht="18" customHeight="1" x14ac:dyDescent="0.2">
      <c r="B40" s="290" t="s">
        <v>766</v>
      </c>
      <c r="C40" s="3267" t="s">
        <v>2146</v>
      </c>
      <c r="D40" s="2905" t="s">
        <v>2147</v>
      </c>
      <c r="E40" s="2905" t="s">
        <v>2147</v>
      </c>
      <c r="F40" s="3131" t="str">
        <f t="shared" si="1"/>
        <v>NA</v>
      </c>
      <c r="G40" s="3239" t="s">
        <v>2146</v>
      </c>
    </row>
    <row r="41" spans="2:7" ht="18" customHeight="1" x14ac:dyDescent="0.2">
      <c r="B41" s="290" t="s">
        <v>767</v>
      </c>
      <c r="C41" s="3267" t="s">
        <v>2146</v>
      </c>
      <c r="D41" s="2905" t="s">
        <v>2147</v>
      </c>
      <c r="E41" s="2905" t="s">
        <v>2147</v>
      </c>
      <c r="F41" s="3131" t="str">
        <f t="shared" ref="F41:F43" si="2">IF(SUM(C41)=0,"NA",G41*1000/C41)</f>
        <v>NA</v>
      </c>
      <c r="G41" s="3239" t="s">
        <v>2146</v>
      </c>
    </row>
    <row r="42" spans="2:7" ht="18" customHeight="1" x14ac:dyDescent="0.2">
      <c r="B42" s="290" t="s">
        <v>768</v>
      </c>
      <c r="C42" s="3275">
        <v>32.935000000000002</v>
      </c>
      <c r="D42" s="2967" t="s">
        <v>2147</v>
      </c>
      <c r="E42" s="2967" t="s">
        <v>2147</v>
      </c>
      <c r="F42" s="3131">
        <f t="shared" si="2"/>
        <v>5.000026972987464</v>
      </c>
      <c r="G42" s="3201">
        <v>0.16467588835534214</v>
      </c>
    </row>
    <row r="43" spans="2:7" ht="18" customHeight="1" x14ac:dyDescent="0.2">
      <c r="B43" s="290" t="s">
        <v>769</v>
      </c>
      <c r="C43" s="3267" t="s">
        <v>2146</v>
      </c>
      <c r="D43" s="2905" t="s">
        <v>2147</v>
      </c>
      <c r="E43" s="2905" t="s">
        <v>2147</v>
      </c>
      <c r="F43" s="3131" t="str">
        <f t="shared" si="2"/>
        <v>NA</v>
      </c>
      <c r="G43" s="3239" t="s">
        <v>2146</v>
      </c>
    </row>
    <row r="44" spans="2:7" ht="18" customHeight="1" x14ac:dyDescent="0.2">
      <c r="B44" s="2494" t="s">
        <v>2093</v>
      </c>
      <c r="C44" s="2635">
        <f>C45</f>
        <v>73.658000000000001</v>
      </c>
      <c r="D44" s="3258"/>
      <c r="E44" s="3258"/>
      <c r="F44" s="3131">
        <f>IF(SUM(C44)=0,"NA",G44*1000/C44)</f>
        <v>8.0000511043706286</v>
      </c>
      <c r="G44" s="3128">
        <f>G45</f>
        <v>0.5892677642457318</v>
      </c>
    </row>
    <row r="45" spans="2:7" ht="18" customHeight="1" thickBot="1" x14ac:dyDescent="0.25">
      <c r="B45" s="2636" t="s">
        <v>2199</v>
      </c>
      <c r="C45" s="3276">
        <v>73.658000000000001</v>
      </c>
      <c r="D45" s="3137" t="s">
        <v>2147</v>
      </c>
      <c r="E45" s="3137" t="s">
        <v>2147</v>
      </c>
      <c r="F45" s="3265">
        <f>IF(SUM(C45)=0,"NA",G45*1000/C45)</f>
        <v>8.0000511043706286</v>
      </c>
      <c r="G45" s="3203">
        <v>0.5892677642457318</v>
      </c>
    </row>
    <row r="46" spans="2:7" ht="12" customHeight="1" x14ac:dyDescent="0.2">
      <c r="B46" s="247"/>
      <c r="C46" s="247"/>
      <c r="D46" s="247"/>
      <c r="E46" s="247"/>
      <c r="F46" s="247"/>
      <c r="G46" s="247"/>
    </row>
    <row r="47" spans="2:7" ht="12" customHeight="1" x14ac:dyDescent="0.2">
      <c r="B47" s="1050"/>
      <c r="C47" s="1050"/>
      <c r="D47" s="1050"/>
      <c r="E47" s="1050"/>
      <c r="F47" s="1050"/>
      <c r="G47" s="1050"/>
    </row>
    <row r="48" spans="2:7" ht="12" customHeight="1" x14ac:dyDescent="0.2">
      <c r="B48" s="1050"/>
      <c r="C48" s="1050"/>
      <c r="D48" s="1050"/>
      <c r="E48" s="1050"/>
      <c r="F48" s="1050"/>
      <c r="G48" s="1050"/>
    </row>
    <row r="49" spans="2:7" ht="12" customHeight="1" x14ac:dyDescent="0.2">
      <c r="B49" s="1050"/>
      <c r="C49" s="1050"/>
      <c r="D49" s="1050"/>
      <c r="E49" s="1050"/>
      <c r="F49" s="1050"/>
      <c r="G49" s="1050"/>
    </row>
    <row r="50" spans="2:7" ht="12" customHeight="1" x14ac:dyDescent="0.2">
      <c r="B50" s="994"/>
      <c r="C50" s="994"/>
      <c r="D50" s="994"/>
      <c r="E50" s="994"/>
      <c r="F50" s="994"/>
      <c r="G50" s="254"/>
    </row>
    <row r="51" spans="2:7" ht="12" customHeight="1" x14ac:dyDescent="0.2">
      <c r="B51" s="994"/>
      <c r="C51" s="994"/>
      <c r="D51" s="994"/>
      <c r="E51" s="994"/>
      <c r="F51" s="994"/>
      <c r="G51" s="254"/>
    </row>
    <row r="52" spans="2:7" ht="12" customHeight="1" x14ac:dyDescent="0.2">
      <c r="B52" s="994"/>
      <c r="C52" s="994"/>
      <c r="D52" s="994"/>
      <c r="E52" s="994"/>
      <c r="F52" s="994"/>
      <c r="G52" s="254"/>
    </row>
    <row r="53" spans="2:7" ht="12" customHeight="1" x14ac:dyDescent="0.2">
      <c r="B53" s="994"/>
      <c r="C53" s="994"/>
      <c r="D53" s="994"/>
      <c r="E53" s="994"/>
      <c r="F53" s="994"/>
      <c r="G53" s="254"/>
    </row>
    <row r="54" spans="2:7" ht="12" customHeight="1" x14ac:dyDescent="0.2">
      <c r="B54" s="994"/>
      <c r="C54" s="994"/>
      <c r="D54" s="994"/>
      <c r="E54" s="994"/>
      <c r="F54" s="994"/>
      <c r="G54" s="254"/>
    </row>
    <row r="55" spans="2:7" ht="12" customHeight="1" x14ac:dyDescent="0.2">
      <c r="B55" s="1065"/>
      <c r="C55" s="2023"/>
      <c r="D55" s="2023"/>
      <c r="E55" s="2023"/>
      <c r="F55" s="2023"/>
      <c r="G55" s="2023"/>
    </row>
    <row r="56" spans="2:7" ht="12" customHeight="1" x14ac:dyDescent="0.2">
      <c r="B56" s="994"/>
      <c r="C56" s="994"/>
      <c r="D56" s="994"/>
      <c r="E56" s="994"/>
      <c r="F56" s="994"/>
      <c r="G56" s="254"/>
    </row>
    <row r="57" spans="2:7" ht="12" customHeight="1" thickBot="1" x14ac:dyDescent="0.25">
      <c r="B57" s="72"/>
      <c r="C57" s="254"/>
      <c r="D57" s="254"/>
      <c r="E57" s="254"/>
      <c r="F57" s="254"/>
      <c r="G57" s="254"/>
    </row>
    <row r="58" spans="2:7" ht="12" customHeight="1" x14ac:dyDescent="0.2">
      <c r="B58" s="292" t="s">
        <v>390</v>
      </c>
      <c r="C58" s="293"/>
      <c r="D58" s="293"/>
      <c r="E58" s="293"/>
      <c r="F58" s="293"/>
      <c r="G58" s="294"/>
    </row>
    <row r="59" spans="2:7" ht="12" customHeight="1" x14ac:dyDescent="0.2">
      <c r="B59" s="1066"/>
      <c r="C59" s="1067"/>
      <c r="D59" s="1067"/>
      <c r="E59" s="1067"/>
      <c r="F59" s="1067"/>
      <c r="G59" s="1068"/>
    </row>
    <row r="60" spans="2:7" ht="12" customHeight="1" x14ac:dyDescent="0.2">
      <c r="B60" s="1066"/>
      <c r="C60" s="1067"/>
      <c r="D60" s="1067"/>
      <c r="E60" s="1067"/>
      <c r="F60" s="1067"/>
      <c r="G60" s="1068"/>
    </row>
    <row r="61" spans="2:7" ht="12" customHeight="1" x14ac:dyDescent="0.2">
      <c r="B61" s="1066"/>
      <c r="C61" s="1067"/>
      <c r="D61" s="1067"/>
      <c r="E61" s="1067"/>
      <c r="F61" s="1067"/>
      <c r="G61" s="1068"/>
    </row>
    <row r="62" spans="2:7" ht="12" customHeight="1" x14ac:dyDescent="0.2">
      <c r="B62" s="295"/>
      <c r="C62" s="296"/>
      <c r="D62" s="296"/>
      <c r="E62" s="296"/>
      <c r="F62" s="296"/>
      <c r="G62" s="297"/>
    </row>
    <row r="63" spans="2:7" ht="12" customHeight="1" x14ac:dyDescent="0.2">
      <c r="B63" s="1000"/>
      <c r="C63" s="1001"/>
      <c r="D63" s="1001"/>
      <c r="E63" s="1001"/>
      <c r="F63" s="1001"/>
      <c r="G63" s="1002"/>
    </row>
    <row r="64" spans="2:7" ht="12" customHeight="1" x14ac:dyDescent="0.2">
      <c r="B64" s="1000"/>
      <c r="C64" s="1001"/>
      <c r="D64" s="1001"/>
      <c r="E64" s="1001"/>
      <c r="F64" s="1001"/>
      <c r="G64" s="1002"/>
    </row>
    <row r="65" spans="2:7" ht="12" customHeight="1" x14ac:dyDescent="0.2">
      <c r="B65" s="1062"/>
      <c r="C65" s="1063"/>
      <c r="D65" s="1063"/>
      <c r="E65" s="1063"/>
      <c r="F65" s="1063"/>
      <c r="G65" s="1064"/>
    </row>
    <row r="66" spans="2:7" ht="12" customHeight="1" thickBot="1" x14ac:dyDescent="0.25">
      <c r="B66" s="4477" t="s">
        <v>2200</v>
      </c>
      <c r="C66" s="4478"/>
      <c r="D66" s="4478"/>
      <c r="E66" s="4478"/>
      <c r="F66" s="4478"/>
      <c r="G66" s="4479"/>
    </row>
    <row r="67" spans="2:7" ht="12" customHeight="1" x14ac:dyDescent="0.2">
      <c r="B67" s="85"/>
      <c r="C67" s="85"/>
      <c r="D67" s="85"/>
      <c r="E67" s="85"/>
      <c r="F67" s="85"/>
      <c r="G67" s="247"/>
    </row>
  </sheetData>
  <mergeCells count="1">
    <mergeCell ref="B66:G66"/>
  </mergeCells>
  <dataValidations count="1">
    <dataValidation allowBlank="1" showInputMessage="1" showErrorMessage="1" sqref="B70:B65548 Q1:IX5 O1:O5 G45:G54 B1:H10 J24:O24 B35:B68 G56:G62 D11:G44 O6:IX6 M1:N7 C45:F49 H11:H24 I1:I16 P7:IX24 C57:F62 C65:G65 C67:G65548 H25:IX65535 B11:C34 C35:C44 J1:L15 O7:O15 M10:N1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7"/>
  <sheetViews>
    <sheetView showGridLines="0" zoomScale="80" zoomScaleNormal="80" workbookViewId="0">
      <pane xSplit="1" ySplit="9" topLeftCell="B10" activePane="bottomRight" state="frozen"/>
      <selection pane="topRight" activeCell="B1" sqref="B1"/>
      <selection pane="bottomLeft" activeCell="A10" sqref="A10"/>
      <selection pane="bottomRight" activeCell="B1" sqref="B1"/>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770</v>
      </c>
      <c r="J1" s="2"/>
      <c r="K1" s="14" t="s">
        <v>2521</v>
      </c>
    </row>
    <row r="2" spans="1:28" ht="17.25" customHeight="1" x14ac:dyDescent="0.2">
      <c r="B2" s="3" t="s">
        <v>771</v>
      </c>
      <c r="J2" s="2"/>
      <c r="K2" s="14" t="s">
        <v>2522</v>
      </c>
    </row>
    <row r="3" spans="1:28" ht="15.75" customHeight="1" x14ac:dyDescent="0.2">
      <c r="B3" s="3" t="s">
        <v>62</v>
      </c>
      <c r="J3" s="2"/>
      <c r="K3" s="14" t="s">
        <v>2144</v>
      </c>
    </row>
    <row r="4" spans="1:28" ht="12" customHeight="1" x14ac:dyDescent="0.2">
      <c r="B4" s="3"/>
      <c r="J4" s="2"/>
      <c r="K4" s="2"/>
    </row>
    <row r="5" spans="1:28" s="84" customFormat="1" ht="12" customHeight="1" thickBot="1" x14ac:dyDescent="0.25">
      <c r="B5" s="2446" t="s">
        <v>64</v>
      </c>
      <c r="C5" s="84" t="s">
        <v>389</v>
      </c>
      <c r="J5" s="10"/>
      <c r="K5" s="10"/>
      <c r="M5" s="23" t="s">
        <v>2025</v>
      </c>
      <c r="N5" s="23"/>
      <c r="O5" s="23"/>
      <c r="P5" s="23"/>
      <c r="Q5" s="23"/>
      <c r="R5" s="23"/>
      <c r="S5" s="23"/>
      <c r="T5" s="23"/>
      <c r="U5" s="23"/>
      <c r="V5" s="23"/>
      <c r="W5" s="23"/>
      <c r="X5" s="23"/>
      <c r="Y5" s="23"/>
      <c r="Z5" s="23"/>
      <c r="AA5" s="23"/>
      <c r="AB5" s="23"/>
    </row>
    <row r="6" spans="1:28" s="84" customFormat="1" ht="15.75" customHeight="1" x14ac:dyDescent="0.2">
      <c r="B6" s="1633" t="s">
        <v>772</v>
      </c>
      <c r="C6" s="202" t="s">
        <v>727</v>
      </c>
      <c r="D6" s="202"/>
      <c r="E6" s="202"/>
      <c r="F6" s="202"/>
      <c r="G6" s="202"/>
      <c r="H6" s="202"/>
      <c r="I6" s="202"/>
      <c r="J6" s="1648" t="s">
        <v>123</v>
      </c>
      <c r="K6" s="1649" t="s">
        <v>124</v>
      </c>
      <c r="M6" s="1652"/>
      <c r="N6" s="1653"/>
      <c r="O6" s="1689"/>
      <c r="P6" s="1666"/>
      <c r="Q6" s="822" t="s">
        <v>2024</v>
      </c>
      <c r="R6" s="823"/>
      <c r="S6" s="823"/>
      <c r="T6" s="823"/>
      <c r="U6" s="823"/>
      <c r="V6" s="823"/>
      <c r="W6" s="823"/>
      <c r="X6" s="823"/>
      <c r="Y6" s="823"/>
      <c r="Z6" s="823"/>
      <c r="AA6" s="823"/>
      <c r="AB6" s="1096"/>
    </row>
    <row r="7" spans="1:28" s="84" customFormat="1" ht="73.5" customHeight="1" x14ac:dyDescent="0.2">
      <c r="B7" s="1634" t="s">
        <v>422</v>
      </c>
      <c r="C7" s="1683" t="s">
        <v>773</v>
      </c>
      <c r="D7" s="1686" t="s">
        <v>774</v>
      </c>
      <c r="E7" s="1687"/>
      <c r="F7" s="1688"/>
      <c r="G7" s="1679" t="s">
        <v>775</v>
      </c>
      <c r="H7" s="1679" t="s">
        <v>776</v>
      </c>
      <c r="I7" s="1680" t="s">
        <v>2023</v>
      </c>
      <c r="J7" s="1650"/>
      <c r="K7" s="1651"/>
      <c r="M7" s="1654"/>
      <c r="N7" s="1655"/>
      <c r="O7" s="1699" t="s">
        <v>777</v>
      </c>
      <c r="P7" s="1700" t="s">
        <v>778</v>
      </c>
      <c r="Q7" s="1701" t="s">
        <v>779</v>
      </c>
      <c r="R7" s="1702" t="s">
        <v>780</v>
      </c>
      <c r="S7" s="1702" t="s">
        <v>781</v>
      </c>
      <c r="T7" s="1702" t="s">
        <v>782</v>
      </c>
      <c r="U7" s="1702" t="s">
        <v>783</v>
      </c>
      <c r="V7" s="1702" t="s">
        <v>784</v>
      </c>
      <c r="W7" s="1702" t="s">
        <v>785</v>
      </c>
      <c r="X7" s="1703" t="s">
        <v>786</v>
      </c>
      <c r="Y7" s="1703" t="s">
        <v>787</v>
      </c>
      <c r="Z7" s="1703" t="s">
        <v>788</v>
      </c>
      <c r="AA7" s="1703" t="s">
        <v>789</v>
      </c>
      <c r="AB7" s="1704" t="s">
        <v>790</v>
      </c>
    </row>
    <row r="8" spans="1:28" s="84" customFormat="1" ht="14.25" customHeight="1" x14ac:dyDescent="0.25">
      <c r="A8" s="83"/>
      <c r="B8" s="393"/>
      <c r="C8" s="1684"/>
      <c r="D8" s="81" t="s">
        <v>791</v>
      </c>
      <c r="E8" s="81" t="s">
        <v>792</v>
      </c>
      <c r="F8" s="61" t="s">
        <v>793</v>
      </c>
      <c r="G8" s="1681"/>
      <c r="H8" s="1681"/>
      <c r="I8" s="1682"/>
      <c r="J8" s="1635" t="s">
        <v>424</v>
      </c>
      <c r="K8" s="1636" t="s">
        <v>424</v>
      </c>
      <c r="M8" s="1654"/>
      <c r="N8" s="1655"/>
      <c r="O8" s="1669"/>
      <c r="P8" s="1667"/>
      <c r="Q8" s="1669"/>
      <c r="R8" s="1670"/>
      <c r="S8" s="1670"/>
      <c r="T8" s="1671"/>
      <c r="U8" s="1671"/>
      <c r="V8" s="1671"/>
      <c r="W8" s="1671"/>
      <c r="X8" s="1672"/>
      <c r="Y8" s="1672"/>
      <c r="Z8" s="1672"/>
      <c r="AA8" s="1672"/>
      <c r="AB8" s="1673"/>
    </row>
    <row r="9" spans="1:28" s="84" customFormat="1" ht="15.75" thickBot="1" x14ac:dyDescent="0.25">
      <c r="B9" s="2020"/>
      <c r="C9" s="342" t="s">
        <v>733</v>
      </c>
      <c r="D9" s="2021" t="s">
        <v>794</v>
      </c>
      <c r="E9" s="2022"/>
      <c r="F9" s="1685"/>
      <c r="G9" s="266" t="s">
        <v>739</v>
      </c>
      <c r="H9" s="266" t="s">
        <v>795</v>
      </c>
      <c r="I9" s="266" t="s">
        <v>796</v>
      </c>
      <c r="J9" s="1637" t="s">
        <v>797</v>
      </c>
      <c r="K9" s="1638" t="s">
        <v>73</v>
      </c>
      <c r="M9" s="1662" t="s">
        <v>798</v>
      </c>
      <c r="N9" s="1663"/>
      <c r="O9" s="1674"/>
      <c r="P9" s="1668"/>
      <c r="Q9" s="1674"/>
      <c r="R9" s="1675"/>
      <c r="S9" s="1675"/>
      <c r="T9" s="1676"/>
      <c r="U9" s="1676"/>
      <c r="V9" s="1676"/>
      <c r="W9" s="1676"/>
      <c r="X9" s="1677"/>
      <c r="Y9" s="1677"/>
      <c r="Z9" s="1677"/>
      <c r="AA9" s="1677"/>
      <c r="AB9" s="1678"/>
    </row>
    <row r="10" spans="1:28" s="84" customFormat="1" ht="18" customHeight="1" thickTop="1" x14ac:dyDescent="0.2">
      <c r="B10" s="1639" t="s">
        <v>799</v>
      </c>
      <c r="C10" s="4182">
        <f>C15</f>
        <v>28393.973999999998</v>
      </c>
      <c r="D10" s="2942"/>
      <c r="E10" s="2942"/>
      <c r="F10" s="2942"/>
      <c r="G10" s="2942"/>
      <c r="H10" s="2942"/>
      <c r="I10" s="3279"/>
      <c r="J10" s="3280">
        <f>IF(SUM(C10)=0,"NA",K10*1000/C10)</f>
        <v>5.6094601309606498</v>
      </c>
      <c r="K10" s="3281">
        <f>K15</f>
        <v>159.27486511253326</v>
      </c>
      <c r="M10" s="1594" t="s">
        <v>800</v>
      </c>
      <c r="N10" s="1594" t="s">
        <v>801</v>
      </c>
      <c r="O10" s="1690" t="s">
        <v>802</v>
      </c>
      <c r="P10" s="1691" t="s">
        <v>791</v>
      </c>
      <c r="Q10" s="299"/>
      <c r="R10" s="300"/>
      <c r="S10" s="300"/>
      <c r="T10" s="301"/>
      <c r="U10" s="301"/>
      <c r="V10" s="301"/>
      <c r="W10" s="301"/>
      <c r="X10" s="301"/>
      <c r="Y10" s="301"/>
      <c r="Z10" s="301"/>
      <c r="AA10" s="301"/>
      <c r="AB10" s="1306"/>
    </row>
    <row r="11" spans="1:28" s="84" customFormat="1" ht="18" customHeight="1" x14ac:dyDescent="0.2">
      <c r="B11" s="1640" t="s">
        <v>695</v>
      </c>
      <c r="C11" s="4183"/>
      <c r="D11" s="2942"/>
      <c r="E11" s="2942"/>
      <c r="F11" s="2942"/>
      <c r="G11" s="2942"/>
      <c r="H11" s="2942"/>
      <c r="I11" s="3279"/>
      <c r="J11" s="3282"/>
      <c r="K11" s="3283"/>
      <c r="M11" s="1664" t="s">
        <v>803</v>
      </c>
      <c r="N11" s="1664" t="s">
        <v>804</v>
      </c>
      <c r="O11" s="1692" t="s">
        <v>794</v>
      </c>
      <c r="P11" s="1693" t="s">
        <v>792</v>
      </c>
      <c r="Q11" s="302"/>
      <c r="R11" s="277"/>
      <c r="S11" s="277"/>
      <c r="T11" s="278"/>
      <c r="U11" s="278"/>
      <c r="V11" s="278"/>
      <c r="W11" s="278"/>
      <c r="X11" s="278"/>
      <c r="Y11" s="278"/>
      <c r="Z11" s="278"/>
      <c r="AA11" s="278"/>
      <c r="AB11" s="279"/>
    </row>
    <row r="12" spans="1:28" s="84" customFormat="1" ht="18" customHeight="1" thickBot="1" x14ac:dyDescent="0.25">
      <c r="B12" s="1641" t="s">
        <v>703</v>
      </c>
      <c r="C12" s="3324"/>
      <c r="D12" s="3324"/>
      <c r="E12" s="3324"/>
      <c r="F12" s="3324"/>
      <c r="G12" s="3284"/>
      <c r="H12" s="3285"/>
      <c r="I12" s="3286"/>
      <c r="J12" s="3287"/>
      <c r="K12" s="3277"/>
      <c r="M12" s="1656"/>
      <c r="N12" s="1657"/>
      <c r="O12" s="1694"/>
      <c r="P12" s="1693" t="s">
        <v>793</v>
      </c>
      <c r="Q12" s="309"/>
      <c r="R12" s="310"/>
      <c r="S12" s="310"/>
      <c r="T12" s="311"/>
      <c r="U12" s="311"/>
      <c r="V12" s="311"/>
      <c r="W12" s="311"/>
      <c r="X12" s="311"/>
      <c r="Y12" s="311"/>
      <c r="Z12" s="311"/>
      <c r="AA12" s="311"/>
      <c r="AB12" s="453"/>
    </row>
    <row r="13" spans="1:28" s="84" customFormat="1" ht="18" customHeight="1" x14ac:dyDescent="0.2">
      <c r="B13" s="1641" t="s">
        <v>704</v>
      </c>
      <c r="C13" s="3324"/>
      <c r="D13" s="3324"/>
      <c r="E13" s="3324"/>
      <c r="F13" s="3324"/>
      <c r="G13" s="3284"/>
      <c r="H13" s="3285"/>
      <c r="I13" s="3286"/>
      <c r="J13" s="3287"/>
      <c r="K13" s="3277"/>
      <c r="M13" s="1656"/>
      <c r="N13" s="1657"/>
      <c r="O13" s="1695" t="s">
        <v>2026</v>
      </c>
      <c r="P13" s="1691" t="s">
        <v>791</v>
      </c>
      <c r="Q13" s="299"/>
      <c r="R13" s="300"/>
      <c r="S13" s="300"/>
      <c r="T13" s="301"/>
      <c r="U13" s="301"/>
      <c r="V13" s="301"/>
      <c r="W13" s="301"/>
      <c r="X13" s="301"/>
      <c r="Y13" s="301"/>
      <c r="Z13" s="301"/>
      <c r="AA13" s="301"/>
      <c r="AB13" s="1306"/>
    </row>
    <row r="14" spans="1:28" s="84" customFormat="1" ht="18" customHeight="1" x14ac:dyDescent="0.2">
      <c r="B14" s="1640" t="s">
        <v>745</v>
      </c>
      <c r="C14" s="3293"/>
      <c r="D14" s="3293"/>
      <c r="E14" s="3293"/>
      <c r="F14" s="3293"/>
      <c r="G14" s="3288"/>
      <c r="H14" s="3289"/>
      <c r="I14" s="3290"/>
      <c r="J14" s="3291"/>
      <c r="K14" s="3292"/>
      <c r="M14" s="1656"/>
      <c r="N14" s="1657"/>
      <c r="O14" s="1696"/>
      <c r="P14" s="1693" t="s">
        <v>792</v>
      </c>
      <c r="Q14" s="302"/>
      <c r="R14" s="277"/>
      <c r="S14" s="277"/>
      <c r="T14" s="278"/>
      <c r="U14" s="278"/>
      <c r="V14" s="278"/>
      <c r="W14" s="278"/>
      <c r="X14" s="278"/>
      <c r="Y14" s="278"/>
      <c r="Z14" s="278"/>
      <c r="AA14" s="278"/>
      <c r="AB14" s="279"/>
    </row>
    <row r="15" spans="1:28" s="84" customFormat="1" ht="18" customHeight="1" thickBot="1" x14ac:dyDescent="0.25">
      <c r="B15" s="1641" t="s">
        <v>805</v>
      </c>
      <c r="C15" s="4184">
        <f>SUM(C17:C20)</f>
        <v>28393.973999999998</v>
      </c>
      <c r="D15" s="3293"/>
      <c r="E15" s="3293"/>
      <c r="F15" s="3293"/>
      <c r="G15" s="3293"/>
      <c r="H15" s="3293"/>
      <c r="I15" s="3288"/>
      <c r="J15" s="3287">
        <f>IF(SUM(C15)=0,"NA",K15*1000/C15)</f>
        <v>5.6094601309606498</v>
      </c>
      <c r="K15" s="3281">
        <f>SUM(K17:K20)</f>
        <v>159.27486511253326</v>
      </c>
      <c r="M15" s="1656"/>
      <c r="N15" s="1658"/>
      <c r="O15" s="1697"/>
      <c r="P15" s="1693" t="s">
        <v>793</v>
      </c>
      <c r="Q15" s="303"/>
      <c r="R15" s="304"/>
      <c r="S15" s="304"/>
      <c r="T15" s="305"/>
      <c r="U15" s="305"/>
      <c r="V15" s="305"/>
      <c r="W15" s="305"/>
      <c r="X15" s="305"/>
      <c r="Y15" s="305"/>
      <c r="Z15" s="305"/>
      <c r="AA15" s="305"/>
      <c r="AB15" s="442"/>
    </row>
    <row r="16" spans="1:28" s="84" customFormat="1" ht="18" customHeight="1" x14ac:dyDescent="0.2">
      <c r="B16" s="1738" t="s">
        <v>345</v>
      </c>
      <c r="C16" s="4185"/>
      <c r="D16" s="3294"/>
      <c r="E16" s="3294"/>
      <c r="F16" s="3294"/>
      <c r="G16" s="3294"/>
      <c r="H16" s="3294"/>
      <c r="I16" s="3295"/>
      <c r="J16" s="3296"/>
      <c r="K16" s="3297"/>
      <c r="M16" s="1656"/>
      <c r="N16" s="1594" t="s">
        <v>806</v>
      </c>
      <c r="O16" s="1690" t="s">
        <v>802</v>
      </c>
      <c r="P16" s="1691" t="s">
        <v>791</v>
      </c>
      <c r="Q16" s="299"/>
      <c r="R16" s="300"/>
      <c r="S16" s="300"/>
      <c r="T16" s="301"/>
      <c r="U16" s="301"/>
      <c r="V16" s="301"/>
      <c r="W16" s="301"/>
      <c r="X16" s="301"/>
      <c r="Y16" s="301"/>
      <c r="Z16" s="301"/>
      <c r="AA16" s="301"/>
      <c r="AB16" s="1306"/>
    </row>
    <row r="17" spans="2:28" s="84" customFormat="1" ht="18" customHeight="1" x14ac:dyDescent="0.2">
      <c r="B17" s="1735" t="s">
        <v>807</v>
      </c>
      <c r="C17" s="3325" t="s">
        <v>2147</v>
      </c>
      <c r="D17" s="3325" t="s">
        <v>2147</v>
      </c>
      <c r="E17" s="3325" t="s">
        <v>2147</v>
      </c>
      <c r="F17" s="3325" t="s">
        <v>2147</v>
      </c>
      <c r="G17" s="3298" t="s">
        <v>2147</v>
      </c>
      <c r="H17" s="3299" t="s">
        <v>2147</v>
      </c>
      <c r="I17" s="3300" t="s">
        <v>2147</v>
      </c>
      <c r="J17" s="3301" t="str">
        <f>IF(SUM(C17)=0,"NA",K17*1000/C17)</f>
        <v>NA</v>
      </c>
      <c r="K17" s="3302" t="s">
        <v>2147</v>
      </c>
      <c r="M17" s="1656"/>
      <c r="N17" s="1664" t="s">
        <v>804</v>
      </c>
      <c r="O17" s="1692" t="s">
        <v>794</v>
      </c>
      <c r="P17" s="1693" t="s">
        <v>792</v>
      </c>
      <c r="Q17" s="302"/>
      <c r="R17" s="277"/>
      <c r="S17" s="277"/>
      <c r="T17" s="278"/>
      <c r="U17" s="278"/>
      <c r="V17" s="278"/>
      <c r="W17" s="278"/>
      <c r="X17" s="278"/>
      <c r="Y17" s="278"/>
      <c r="Z17" s="278"/>
      <c r="AA17" s="278"/>
      <c r="AB17" s="279"/>
    </row>
    <row r="18" spans="2:28" s="84" customFormat="1" ht="18" customHeight="1" thickBot="1" x14ac:dyDescent="0.25">
      <c r="B18" s="1735" t="s">
        <v>808</v>
      </c>
      <c r="C18" s="3325" t="s">
        <v>2147</v>
      </c>
      <c r="D18" s="3325" t="s">
        <v>2147</v>
      </c>
      <c r="E18" s="3325" t="s">
        <v>2147</v>
      </c>
      <c r="F18" s="3325" t="s">
        <v>2147</v>
      </c>
      <c r="G18" s="3298" t="s">
        <v>2147</v>
      </c>
      <c r="H18" s="3299" t="s">
        <v>2147</v>
      </c>
      <c r="I18" s="3300" t="s">
        <v>2147</v>
      </c>
      <c r="J18" s="3301" t="str">
        <f>IF(SUM(C18)=0,"NA",K18*1000/C18)</f>
        <v>NA</v>
      </c>
      <c r="K18" s="3302" t="s">
        <v>2147</v>
      </c>
      <c r="M18" s="1656"/>
      <c r="N18" s="1659"/>
      <c r="O18" s="1694"/>
      <c r="P18" s="1693" t="s">
        <v>793</v>
      </c>
      <c r="Q18" s="303"/>
      <c r="R18" s="304"/>
      <c r="S18" s="304"/>
      <c r="T18" s="305"/>
      <c r="U18" s="305"/>
      <c r="V18" s="305"/>
      <c r="W18" s="305"/>
      <c r="X18" s="305"/>
      <c r="Y18" s="305"/>
      <c r="Z18" s="305"/>
      <c r="AA18" s="305"/>
      <c r="AB18" s="442"/>
    </row>
    <row r="19" spans="2:28" s="84" customFormat="1" ht="18" customHeight="1" x14ac:dyDescent="0.2">
      <c r="B19" s="1735" t="s">
        <v>809</v>
      </c>
      <c r="C19" s="3325" t="s">
        <v>2147</v>
      </c>
      <c r="D19" s="3325" t="s">
        <v>2147</v>
      </c>
      <c r="E19" s="3325" t="s">
        <v>2147</v>
      </c>
      <c r="F19" s="3325" t="s">
        <v>2147</v>
      </c>
      <c r="G19" s="3298" t="s">
        <v>2147</v>
      </c>
      <c r="H19" s="3299" t="s">
        <v>2147</v>
      </c>
      <c r="I19" s="3300" t="s">
        <v>2147</v>
      </c>
      <c r="J19" s="3301" t="str">
        <f>IF(SUM(C19)=0,"NA",K19*1000/C19)</f>
        <v>NA</v>
      </c>
      <c r="K19" s="3302" t="s">
        <v>2147</v>
      </c>
      <c r="M19" s="1656"/>
      <c r="N19" s="1659"/>
      <c r="O19" s="1695" t="s">
        <v>2026</v>
      </c>
      <c r="P19" s="1691" t="s">
        <v>791</v>
      </c>
      <c r="Q19" s="1307"/>
      <c r="R19" s="1308"/>
      <c r="S19" s="1308"/>
      <c r="T19" s="1309"/>
      <c r="U19" s="1309"/>
      <c r="V19" s="1309"/>
      <c r="W19" s="1309"/>
      <c r="X19" s="1309"/>
      <c r="Y19" s="1309"/>
      <c r="Z19" s="1309"/>
      <c r="AA19" s="1309"/>
      <c r="AB19" s="1310"/>
    </row>
    <row r="20" spans="2:28" s="84" customFormat="1" ht="18" customHeight="1" x14ac:dyDescent="0.2">
      <c r="B20" s="1736" t="s">
        <v>810</v>
      </c>
      <c r="C20" s="4184">
        <f>SUM(C21:C23)</f>
        <v>28393.973999999998</v>
      </c>
      <c r="D20" s="3293"/>
      <c r="E20" s="3293"/>
      <c r="F20" s="3293"/>
      <c r="G20" s="3293"/>
      <c r="H20" s="3293"/>
      <c r="I20" s="3288"/>
      <c r="J20" s="3301">
        <f>IF(SUM(C20)=0,"NA",K20*1000/C20)</f>
        <v>5.6094601309606498</v>
      </c>
      <c r="K20" s="3281">
        <f>SUM(K21:K23)</f>
        <v>159.27486511253326</v>
      </c>
      <c r="M20" s="1656"/>
      <c r="N20" s="1659"/>
      <c r="O20" s="1696"/>
      <c r="P20" s="1693" t="s">
        <v>792</v>
      </c>
      <c r="Q20" s="302"/>
      <c r="R20" s="277"/>
      <c r="S20" s="277"/>
      <c r="T20" s="278"/>
      <c r="U20" s="278"/>
      <c r="V20" s="278"/>
      <c r="W20" s="278"/>
      <c r="X20" s="278"/>
      <c r="Y20" s="278"/>
      <c r="Z20" s="278"/>
      <c r="AA20" s="278"/>
      <c r="AB20" s="279"/>
    </row>
    <row r="21" spans="2:28" s="84" customFormat="1" ht="18" customHeight="1" thickBot="1" x14ac:dyDescent="0.25">
      <c r="B21" s="2642" t="s">
        <v>2196</v>
      </c>
      <c r="C21" s="3325">
        <f>Table3.A!C21</f>
        <v>2788.4830000000002</v>
      </c>
      <c r="D21" s="3325">
        <v>7.2959556716628704</v>
      </c>
      <c r="E21" s="3325">
        <v>92.683302197958625</v>
      </c>
      <c r="F21" s="3325">
        <v>2.07421303785E-2</v>
      </c>
      <c r="G21" s="3298">
        <f>Table3.A!K10</f>
        <v>465.47205591202101</v>
      </c>
      <c r="H21" s="3299">
        <v>3.36399268920567</v>
      </c>
      <c r="I21" s="3300">
        <v>0.24</v>
      </c>
      <c r="J21" s="3301">
        <f>IF(SUM(C21)=0,"NA",K21*1000/C21)</f>
        <v>14.202663795312736</v>
      </c>
      <c r="K21" s="3277">
        <v>39.603886547945045</v>
      </c>
      <c r="M21" s="1656"/>
      <c r="N21" s="1661"/>
      <c r="O21" s="1696"/>
      <c r="P21" s="2645" t="s">
        <v>793</v>
      </c>
      <c r="Q21" s="309"/>
      <c r="R21" s="310"/>
      <c r="S21" s="310"/>
      <c r="T21" s="311"/>
      <c r="U21" s="311"/>
      <c r="V21" s="311"/>
      <c r="W21" s="311"/>
      <c r="X21" s="311"/>
      <c r="Y21" s="311"/>
      <c r="Z21" s="311"/>
      <c r="AA21" s="311"/>
      <c r="AB21" s="453"/>
    </row>
    <row r="22" spans="2:28" s="84" customFormat="1" ht="18" customHeight="1" x14ac:dyDescent="0.2">
      <c r="B22" s="2642" t="s">
        <v>2197</v>
      </c>
      <c r="C22" s="3325">
        <f>Table3.A!C22</f>
        <v>24746.763999999999</v>
      </c>
      <c r="D22" s="3325" t="s">
        <v>2146</v>
      </c>
      <c r="E22" s="3325">
        <v>83.639999474011404</v>
      </c>
      <c r="F22" s="3325">
        <v>16.3600005259886</v>
      </c>
      <c r="G22" s="3298">
        <f>Table3.A!L10</f>
        <v>362.45016100070097</v>
      </c>
      <c r="H22" s="3299" t="s">
        <v>2147</v>
      </c>
      <c r="I22" s="3300" t="s">
        <v>2147</v>
      </c>
      <c r="J22" s="3301">
        <f t="shared" ref="J22:J45" si="0">IF(SUM(C22)=0,"NA",K22*1000/C22)</f>
        <v>4.713954674743233</v>
      </c>
      <c r="K22" s="3277">
        <v>116.65512384256755</v>
      </c>
      <c r="M22" s="1594" t="s">
        <v>800</v>
      </c>
      <c r="N22" s="4486" t="s">
        <v>2196</v>
      </c>
      <c r="O22" s="1690" t="s">
        <v>802</v>
      </c>
      <c r="P22" s="1691" t="s">
        <v>791</v>
      </c>
      <c r="Q22" s="3774">
        <v>5.48876495834803</v>
      </c>
      <c r="R22" s="300" t="s">
        <v>2146</v>
      </c>
      <c r="S22" s="3772">
        <v>4.5710850126305296</v>
      </c>
      <c r="T22" s="3772">
        <v>0.72721807019122164</v>
      </c>
      <c r="U22" s="3772" t="s">
        <v>2146</v>
      </c>
      <c r="V22" s="3772" t="s">
        <v>2153</v>
      </c>
      <c r="W22" s="3772" t="s">
        <v>2146</v>
      </c>
      <c r="X22" s="3772">
        <v>89.212931958830197</v>
      </c>
      <c r="Y22" s="301" t="s">
        <v>2146</v>
      </c>
      <c r="Z22" s="301" t="s">
        <v>2146</v>
      </c>
      <c r="AA22" s="301" t="s">
        <v>2146</v>
      </c>
      <c r="AB22" s="1306" t="s">
        <v>2146</v>
      </c>
    </row>
    <row r="23" spans="2:28" s="84" customFormat="1" ht="18" customHeight="1" x14ac:dyDescent="0.2">
      <c r="B23" s="2642" t="s">
        <v>2198</v>
      </c>
      <c r="C23" s="3325">
        <f>Table3.A!C23</f>
        <v>858.72699999999998</v>
      </c>
      <c r="D23" s="3325" t="s">
        <v>2146</v>
      </c>
      <c r="E23" s="3325">
        <v>100</v>
      </c>
      <c r="F23" s="3325" t="s">
        <v>2146</v>
      </c>
      <c r="G23" s="3298">
        <f>Table3.A!M10</f>
        <v>530.79689268128595</v>
      </c>
      <c r="H23" s="3299">
        <v>1.75330227648623</v>
      </c>
      <c r="I23" s="3300">
        <v>0.19</v>
      </c>
      <c r="J23" s="3301">
        <f t="shared" si="0"/>
        <v>3.5120064025245181</v>
      </c>
      <c r="K23" s="3277">
        <v>3.0158547220206717</v>
      </c>
      <c r="M23" s="1664" t="s">
        <v>813</v>
      </c>
      <c r="N23" s="4487"/>
      <c r="O23" s="1692" t="s">
        <v>794</v>
      </c>
      <c r="P23" s="1693" t="s">
        <v>792</v>
      </c>
      <c r="Q23" s="3776">
        <v>8.2756211088391698</v>
      </c>
      <c r="R23" s="277" t="s">
        <v>2146</v>
      </c>
      <c r="S23" s="691">
        <v>2.4078364415528899</v>
      </c>
      <c r="T23" s="3147">
        <v>1.7507462880864177</v>
      </c>
      <c r="U23" s="3147" t="s">
        <v>2146</v>
      </c>
      <c r="V23" s="3147" t="s">
        <v>2153</v>
      </c>
      <c r="W23" s="3147" t="s">
        <v>2146</v>
      </c>
      <c r="X23" s="3147">
        <v>87.565796161521504</v>
      </c>
      <c r="Y23" s="278" t="s">
        <v>2146</v>
      </c>
      <c r="Z23" s="278" t="s">
        <v>2146</v>
      </c>
      <c r="AA23" s="278" t="s">
        <v>2146</v>
      </c>
      <c r="AB23" s="279" t="s">
        <v>2146</v>
      </c>
    </row>
    <row r="24" spans="2:28" s="84" customFormat="1" ht="18" customHeight="1" thickBot="1" x14ac:dyDescent="0.25">
      <c r="B24" s="1643" t="s">
        <v>811</v>
      </c>
      <c r="C24" s="4184">
        <f>C25</f>
        <v>91026</v>
      </c>
      <c r="D24" s="3303"/>
      <c r="E24" s="3303"/>
      <c r="F24" s="3303"/>
      <c r="G24" s="3303"/>
      <c r="H24" s="3303"/>
      <c r="I24" s="3304"/>
      <c r="J24" s="3301">
        <f t="shared" si="0"/>
        <v>0.34808600729714601</v>
      </c>
      <c r="K24" s="3281">
        <f>K25</f>
        <v>31.684876900230012</v>
      </c>
      <c r="M24" s="1656"/>
      <c r="N24" s="4487"/>
      <c r="O24" s="1694"/>
      <c r="P24" s="1693" t="s">
        <v>793</v>
      </c>
      <c r="Q24" s="4208">
        <v>7.1642501389343103</v>
      </c>
      <c r="R24" s="304" t="s">
        <v>2146</v>
      </c>
      <c r="S24" s="1559">
        <v>5.77417175376796</v>
      </c>
      <c r="T24" s="1560">
        <v>2.9842941555669396</v>
      </c>
      <c r="U24" s="1560" t="s">
        <v>2146</v>
      </c>
      <c r="V24" s="1560" t="s">
        <v>2153</v>
      </c>
      <c r="W24" s="1560" t="s">
        <v>2146</v>
      </c>
      <c r="X24" s="1560">
        <v>84.077283951730806</v>
      </c>
      <c r="Y24" s="305" t="s">
        <v>2146</v>
      </c>
      <c r="Z24" s="305" t="s">
        <v>2146</v>
      </c>
      <c r="AA24" s="305" t="s">
        <v>2146</v>
      </c>
      <c r="AB24" s="442" t="s">
        <v>2146</v>
      </c>
    </row>
    <row r="25" spans="2:28" s="84" customFormat="1" ht="18" customHeight="1" x14ac:dyDescent="0.2">
      <c r="B25" s="1644" t="s">
        <v>812</v>
      </c>
      <c r="C25" s="4184">
        <f>C26</f>
        <v>91026</v>
      </c>
      <c r="D25" s="3250"/>
      <c r="E25" s="3250"/>
      <c r="F25" s="3250"/>
      <c r="G25" s="3250"/>
      <c r="H25" s="3250"/>
      <c r="I25" s="3260"/>
      <c r="J25" s="3301">
        <f t="shared" si="0"/>
        <v>0.34808600729714601</v>
      </c>
      <c r="K25" s="3281">
        <f>K26</f>
        <v>31.684876900230012</v>
      </c>
      <c r="M25" s="1656"/>
      <c r="N25" s="4487"/>
      <c r="O25" s="1695" t="s">
        <v>2026</v>
      </c>
      <c r="P25" s="1691" t="s">
        <v>791</v>
      </c>
      <c r="Q25" s="4209">
        <v>0.7</v>
      </c>
      <c r="R25" s="1308" t="s">
        <v>2146</v>
      </c>
      <c r="S25" s="692">
        <v>4.66875E-2</v>
      </c>
      <c r="T25" s="3141">
        <v>2</v>
      </c>
      <c r="U25" s="3141" t="s">
        <v>2146</v>
      </c>
      <c r="V25" s="3141" t="s">
        <v>2153</v>
      </c>
      <c r="W25" s="3141" t="s">
        <v>2146</v>
      </c>
      <c r="X25" s="3141">
        <v>0.01</v>
      </c>
      <c r="Y25" s="1309" t="s">
        <v>2146</v>
      </c>
      <c r="Z25" s="1309" t="s">
        <v>2146</v>
      </c>
      <c r="AA25" s="1309" t="s">
        <v>2146</v>
      </c>
      <c r="AB25" s="1310" t="s">
        <v>2146</v>
      </c>
    </row>
    <row r="26" spans="2:28" s="84" customFormat="1" ht="18" customHeight="1" x14ac:dyDescent="0.2">
      <c r="B26" s="2643" t="s">
        <v>2201</v>
      </c>
      <c r="C26" s="3307">
        <f>Table3.A!C26</f>
        <v>91026</v>
      </c>
      <c r="D26" s="3325" t="s">
        <v>2146</v>
      </c>
      <c r="E26" s="3325">
        <v>100</v>
      </c>
      <c r="F26" s="3325" t="s">
        <v>2146</v>
      </c>
      <c r="G26" s="3305">
        <f>Table3.A!N10</f>
        <v>45.162588921229201</v>
      </c>
      <c r="H26" s="3033" t="s">
        <v>2147</v>
      </c>
      <c r="I26" s="3126" t="s">
        <v>2147</v>
      </c>
      <c r="J26" s="3301">
        <f t="shared" si="0"/>
        <v>0.34808600729714601</v>
      </c>
      <c r="K26" s="3277">
        <v>31.684876900230012</v>
      </c>
      <c r="M26" s="1656"/>
      <c r="N26" s="4487"/>
      <c r="O26" s="1696"/>
      <c r="P26" s="1693" t="s">
        <v>792</v>
      </c>
      <c r="Q26" s="3776">
        <v>0.74404625467942997</v>
      </c>
      <c r="R26" s="277" t="s">
        <v>2146</v>
      </c>
      <c r="S26" s="691">
        <v>7.4915978609200004E-2</v>
      </c>
      <c r="T26" s="3147">
        <v>2.0000000000000004</v>
      </c>
      <c r="U26" s="3147" t="s">
        <v>2146</v>
      </c>
      <c r="V26" s="3147" t="s">
        <v>2153</v>
      </c>
      <c r="W26" s="3147" t="s">
        <v>2146</v>
      </c>
      <c r="X26" s="3147">
        <v>0.01</v>
      </c>
      <c r="Y26" s="278" t="s">
        <v>2146</v>
      </c>
      <c r="Z26" s="278" t="s">
        <v>2146</v>
      </c>
      <c r="AA26" s="278" t="s">
        <v>2146</v>
      </c>
      <c r="AB26" s="279" t="s">
        <v>2146</v>
      </c>
    </row>
    <row r="27" spans="2:28" s="84" customFormat="1" ht="18" customHeight="1" thickBot="1" x14ac:dyDescent="0.25">
      <c r="B27" s="1643" t="s">
        <v>814</v>
      </c>
      <c r="C27" s="4184">
        <f>C28</f>
        <v>2732.9560000000001</v>
      </c>
      <c r="D27" s="3250"/>
      <c r="E27" s="3250"/>
      <c r="F27" s="3250"/>
      <c r="G27" s="3250"/>
      <c r="H27" s="3250"/>
      <c r="I27" s="3260"/>
      <c r="J27" s="3301">
        <f t="shared" si="0"/>
        <v>22.114189224276394</v>
      </c>
      <c r="K27" s="3281">
        <f>K28</f>
        <v>60.437106125621519</v>
      </c>
      <c r="M27" s="1656"/>
      <c r="N27" s="4488"/>
      <c r="O27" s="1697"/>
      <c r="P27" s="1693" t="s">
        <v>793</v>
      </c>
      <c r="Q27" s="4208">
        <v>0.8</v>
      </c>
      <c r="R27" s="304" t="s">
        <v>2146</v>
      </c>
      <c r="S27" s="1559">
        <v>0.27314814814815003</v>
      </c>
      <c r="T27" s="1560">
        <v>2</v>
      </c>
      <c r="U27" s="1560" t="s">
        <v>2146</v>
      </c>
      <c r="V27" s="1560" t="s">
        <v>2153</v>
      </c>
      <c r="W27" s="1560" t="s">
        <v>2146</v>
      </c>
      <c r="X27" s="1560">
        <v>0.02</v>
      </c>
      <c r="Y27" s="305" t="s">
        <v>2146</v>
      </c>
      <c r="Z27" s="305" t="s">
        <v>2146</v>
      </c>
      <c r="AA27" s="305" t="s">
        <v>2146</v>
      </c>
      <c r="AB27" s="442" t="s">
        <v>2146</v>
      </c>
    </row>
    <row r="28" spans="2:28" s="84" customFormat="1" ht="18" customHeight="1" x14ac:dyDescent="0.2">
      <c r="B28" s="1644" t="s">
        <v>815</v>
      </c>
      <c r="C28" s="4184">
        <f>C29</f>
        <v>2732.9560000000001</v>
      </c>
      <c r="D28" s="3250"/>
      <c r="E28" s="3250"/>
      <c r="F28" s="3250"/>
      <c r="G28" s="3250"/>
      <c r="H28" s="3250"/>
      <c r="I28" s="3260"/>
      <c r="J28" s="3301">
        <f t="shared" si="0"/>
        <v>22.114189224276394</v>
      </c>
      <c r="K28" s="3281">
        <f>K29</f>
        <v>60.437106125621519</v>
      </c>
      <c r="M28" s="1595"/>
      <c r="N28" s="4486" t="s">
        <v>2197</v>
      </c>
      <c r="O28" s="1690" t="s">
        <v>802</v>
      </c>
      <c r="P28" s="1691" t="s">
        <v>791</v>
      </c>
      <c r="Q28" s="299" t="s">
        <v>2146</v>
      </c>
      <c r="R28" s="300" t="s">
        <v>2146</v>
      </c>
      <c r="S28" s="300" t="s">
        <v>2146</v>
      </c>
      <c r="T28" s="301" t="s">
        <v>2146</v>
      </c>
      <c r="U28" s="301" t="s">
        <v>2146</v>
      </c>
      <c r="V28" s="301" t="s">
        <v>2146</v>
      </c>
      <c r="W28" s="301" t="s">
        <v>2146</v>
      </c>
      <c r="X28" s="301" t="s">
        <v>2146</v>
      </c>
      <c r="Y28" s="301" t="s">
        <v>2146</v>
      </c>
      <c r="Z28" s="301" t="s">
        <v>2146</v>
      </c>
      <c r="AA28" s="301" t="s">
        <v>2146</v>
      </c>
      <c r="AB28" s="1306" t="s">
        <v>2146</v>
      </c>
    </row>
    <row r="29" spans="2:28" s="84" customFormat="1" ht="18" customHeight="1" x14ac:dyDescent="0.2">
      <c r="B29" s="2643" t="s">
        <v>817</v>
      </c>
      <c r="C29" s="3307">
        <f>Table3.A!C29</f>
        <v>2732.9560000000001</v>
      </c>
      <c r="D29" s="3325">
        <v>0.60913524080449</v>
      </c>
      <c r="E29" s="3325">
        <v>99.390864759195509</v>
      </c>
      <c r="F29" s="3325" t="s">
        <v>2146</v>
      </c>
      <c r="G29" s="3305">
        <f>Table3.A!O10</f>
        <v>58.068154627762802</v>
      </c>
      <c r="H29" s="3033">
        <v>0.37219024208839002</v>
      </c>
      <c r="I29" s="3126">
        <v>0.45</v>
      </c>
      <c r="J29" s="3301">
        <f t="shared" si="0"/>
        <v>22.114189224276394</v>
      </c>
      <c r="K29" s="3277">
        <v>60.437106125621519</v>
      </c>
      <c r="M29" s="1664"/>
      <c r="N29" s="4487"/>
      <c r="O29" s="1692" t="s">
        <v>794</v>
      </c>
      <c r="P29" s="1693" t="s">
        <v>792</v>
      </c>
      <c r="Q29" s="302" t="s">
        <v>2146</v>
      </c>
      <c r="R29" s="277" t="s">
        <v>2146</v>
      </c>
      <c r="S29" s="277" t="s">
        <v>2146</v>
      </c>
      <c r="T29" s="278" t="s">
        <v>2146</v>
      </c>
      <c r="U29" s="278" t="s">
        <v>2146</v>
      </c>
      <c r="V29" s="278" t="s">
        <v>2146</v>
      </c>
      <c r="W29" s="278" t="s">
        <v>2146</v>
      </c>
      <c r="X29" s="3322">
        <v>1</v>
      </c>
      <c r="Y29" s="278" t="s">
        <v>2146</v>
      </c>
      <c r="Z29" s="278" t="s">
        <v>2146</v>
      </c>
      <c r="AA29" s="278" t="s">
        <v>2146</v>
      </c>
      <c r="AB29" s="279" t="s">
        <v>2146</v>
      </c>
    </row>
    <row r="30" spans="2:28" s="84" customFormat="1" ht="18" customHeight="1" thickBot="1" x14ac:dyDescent="0.25">
      <c r="B30" s="1643" t="s">
        <v>816</v>
      </c>
      <c r="C30" s="4184">
        <f>SUM(C32:C39)</f>
        <v>70240.277000000002</v>
      </c>
      <c r="D30" s="3250"/>
      <c r="E30" s="3250"/>
      <c r="F30" s="3250"/>
      <c r="G30" s="3250"/>
      <c r="H30" s="3250"/>
      <c r="I30" s="3260"/>
      <c r="J30" s="3301">
        <f t="shared" si="0"/>
        <v>5.279117007023558E-2</v>
      </c>
      <c r="K30" s="3281">
        <f>SUM(K32:K39)</f>
        <v>3.7080664088874569</v>
      </c>
      <c r="M30" s="1656"/>
      <c r="N30" s="4487"/>
      <c r="O30" s="1694"/>
      <c r="P30" s="1693" t="s">
        <v>793</v>
      </c>
      <c r="Q30" s="303" t="s">
        <v>2146</v>
      </c>
      <c r="R30" s="304" t="s">
        <v>2146</v>
      </c>
      <c r="S30" s="304" t="s">
        <v>2146</v>
      </c>
      <c r="T30" s="305" t="s">
        <v>2146</v>
      </c>
      <c r="U30" s="305" t="s">
        <v>2146</v>
      </c>
      <c r="V30" s="305" t="s">
        <v>2146</v>
      </c>
      <c r="W30" s="305" t="s">
        <v>2146</v>
      </c>
      <c r="X30" s="3323">
        <v>1</v>
      </c>
      <c r="Y30" s="305" t="s">
        <v>2146</v>
      </c>
      <c r="Z30" s="305" t="s">
        <v>2146</v>
      </c>
      <c r="AA30" s="305" t="s">
        <v>2146</v>
      </c>
      <c r="AB30" s="442" t="s">
        <v>2146</v>
      </c>
    </row>
    <row r="31" spans="2:28" s="84" customFormat="1" ht="18" customHeight="1" x14ac:dyDescent="0.2">
      <c r="B31" s="1642" t="s">
        <v>200</v>
      </c>
      <c r="C31" s="3261"/>
      <c r="D31" s="3261"/>
      <c r="E31" s="3261"/>
      <c r="F31" s="3261"/>
      <c r="G31" s="3261"/>
      <c r="H31" s="3261"/>
      <c r="I31" s="3261"/>
      <c r="J31" s="3306"/>
      <c r="K31" s="3262"/>
      <c r="M31" s="1656"/>
      <c r="N31" s="4487"/>
      <c r="O31" s="1695" t="s">
        <v>2026</v>
      </c>
      <c r="P31" s="1691" t="s">
        <v>791</v>
      </c>
      <c r="Q31" s="1307" t="s">
        <v>2146</v>
      </c>
      <c r="R31" s="1308" t="s">
        <v>2146</v>
      </c>
      <c r="S31" s="1308" t="s">
        <v>2146</v>
      </c>
      <c r="T31" s="1309" t="s">
        <v>2146</v>
      </c>
      <c r="U31" s="1309" t="s">
        <v>2146</v>
      </c>
      <c r="V31" s="1309" t="s">
        <v>2146</v>
      </c>
      <c r="W31" s="1309" t="s">
        <v>2146</v>
      </c>
      <c r="X31" s="1309" t="s">
        <v>2146</v>
      </c>
      <c r="Y31" s="1309" t="s">
        <v>2146</v>
      </c>
      <c r="Z31" s="1309" t="s">
        <v>2146</v>
      </c>
      <c r="AA31" s="1309" t="s">
        <v>2146</v>
      </c>
      <c r="AB31" s="1310" t="s">
        <v>2146</v>
      </c>
    </row>
    <row r="32" spans="2:28" s="84" customFormat="1" ht="18" customHeight="1" x14ac:dyDescent="0.2">
      <c r="B32" s="1644" t="s">
        <v>818</v>
      </c>
      <c r="C32" s="3307">
        <f>Table3.A!C32</f>
        <v>3.2469999999999999</v>
      </c>
      <c r="D32" s="3325" t="s">
        <v>2146</v>
      </c>
      <c r="E32" s="3325" t="s">
        <v>2146</v>
      </c>
      <c r="F32" s="3325">
        <v>100</v>
      </c>
      <c r="G32" s="3307" t="s">
        <v>2147</v>
      </c>
      <c r="H32" s="3307" t="s">
        <v>2147</v>
      </c>
      <c r="I32" s="3307" t="s">
        <v>2147</v>
      </c>
      <c r="J32" s="3301">
        <f t="shared" si="0"/>
        <v>11.569105860357441</v>
      </c>
      <c r="K32" s="3277">
        <v>3.7564886728580611E-2</v>
      </c>
      <c r="M32" s="1656"/>
      <c r="N32" s="4487"/>
      <c r="O32" s="1696"/>
      <c r="P32" s="1693" t="s">
        <v>792</v>
      </c>
      <c r="Q32" s="302" t="s">
        <v>2146</v>
      </c>
      <c r="R32" s="277" t="s">
        <v>2146</v>
      </c>
      <c r="S32" s="277" t="s">
        <v>2146</v>
      </c>
      <c r="T32" s="278" t="s">
        <v>2146</v>
      </c>
      <c r="U32" s="278" t="s">
        <v>2146</v>
      </c>
      <c r="V32" s="278" t="s">
        <v>2146</v>
      </c>
      <c r="W32" s="278" t="s">
        <v>2146</v>
      </c>
      <c r="X32" s="278" t="s">
        <v>2147</v>
      </c>
      <c r="Y32" s="278" t="s">
        <v>2146</v>
      </c>
      <c r="Z32" s="278" t="s">
        <v>2146</v>
      </c>
      <c r="AA32" s="278" t="s">
        <v>2146</v>
      </c>
      <c r="AB32" s="279" t="s">
        <v>2146</v>
      </c>
    </row>
    <row r="33" spans="2:28" s="84" customFormat="1" ht="18" customHeight="1" thickBot="1" x14ac:dyDescent="0.25">
      <c r="B33" s="1644" t="s">
        <v>819</v>
      </c>
      <c r="C33" s="3307">
        <f>Table3.A!C33</f>
        <v>1.8129999999999999</v>
      </c>
      <c r="D33" s="3325" t="s">
        <v>2146</v>
      </c>
      <c r="E33" s="3325">
        <v>17.689182900616601</v>
      </c>
      <c r="F33" s="3325">
        <v>82.310817099383399</v>
      </c>
      <c r="G33" s="3307" t="s">
        <v>2147</v>
      </c>
      <c r="H33" s="3307" t="s">
        <v>2147</v>
      </c>
      <c r="I33" s="3307" t="s">
        <v>2147</v>
      </c>
      <c r="J33" s="3287">
        <f t="shared" si="0"/>
        <v>10.055955348322723</v>
      </c>
      <c r="K33" s="3277">
        <v>1.8231447046509097E-2</v>
      </c>
      <c r="M33" s="1656"/>
      <c r="N33" s="4488"/>
      <c r="O33" s="1697"/>
      <c r="P33" s="1693" t="s">
        <v>793</v>
      </c>
      <c r="Q33" s="303" t="s">
        <v>2146</v>
      </c>
      <c r="R33" s="304" t="s">
        <v>2146</v>
      </c>
      <c r="S33" s="304" t="s">
        <v>2146</v>
      </c>
      <c r="T33" s="305" t="s">
        <v>2146</v>
      </c>
      <c r="U33" s="305" t="s">
        <v>2146</v>
      </c>
      <c r="V33" s="305" t="s">
        <v>2146</v>
      </c>
      <c r="W33" s="305" t="s">
        <v>2146</v>
      </c>
      <c r="X33" s="305" t="s">
        <v>2147</v>
      </c>
      <c r="Y33" s="305" t="s">
        <v>2146</v>
      </c>
      <c r="Z33" s="305" t="s">
        <v>2146</v>
      </c>
      <c r="AA33" s="305" t="s">
        <v>2146</v>
      </c>
      <c r="AB33" s="442" t="s">
        <v>2146</v>
      </c>
    </row>
    <row r="34" spans="2:28" s="84" customFormat="1" ht="18" customHeight="1" x14ac:dyDescent="0.2">
      <c r="B34" s="1644" t="s">
        <v>820</v>
      </c>
      <c r="C34" s="3307">
        <f>Table3.A!C34</f>
        <v>68.662000000000006</v>
      </c>
      <c r="D34" s="3325" t="s">
        <v>2146</v>
      </c>
      <c r="E34" s="3325">
        <v>100</v>
      </c>
      <c r="F34" s="3325" t="e">
        <v>#VALUE!</v>
      </c>
      <c r="G34" s="3307" t="s">
        <v>2147</v>
      </c>
      <c r="H34" s="3307" t="s">
        <v>2147</v>
      </c>
      <c r="I34" s="3307" t="s">
        <v>2147</v>
      </c>
      <c r="J34" s="3287">
        <f t="shared" si="0"/>
        <v>0.99987960583136826</v>
      </c>
      <c r="K34" s="3277">
        <v>6.8653733495593408E-2</v>
      </c>
      <c r="M34" s="1595"/>
      <c r="N34" s="4486" t="s">
        <v>2198</v>
      </c>
      <c r="O34" s="1690" t="s">
        <v>802</v>
      </c>
      <c r="P34" s="1691" t="s">
        <v>791</v>
      </c>
      <c r="Q34" s="3774" t="s">
        <v>2146</v>
      </c>
      <c r="R34" s="300" t="s">
        <v>2146</v>
      </c>
      <c r="S34" s="300" t="s">
        <v>2146</v>
      </c>
      <c r="T34" s="3773" t="s">
        <v>2146</v>
      </c>
      <c r="U34" s="3773" t="s">
        <v>2146</v>
      </c>
      <c r="V34" s="3773" t="s">
        <v>2146</v>
      </c>
      <c r="W34" s="3773" t="s">
        <v>2146</v>
      </c>
      <c r="X34" s="301" t="s">
        <v>2146</v>
      </c>
      <c r="Y34" s="3773" t="s">
        <v>2146</v>
      </c>
      <c r="Z34" s="301" t="s">
        <v>2146</v>
      </c>
      <c r="AA34" s="301" t="s">
        <v>2146</v>
      </c>
      <c r="AB34" s="1306" t="s">
        <v>2146</v>
      </c>
    </row>
    <row r="35" spans="2:28" s="84" customFormat="1" ht="18" customHeight="1" x14ac:dyDescent="0.2">
      <c r="B35" s="1644" t="s">
        <v>821</v>
      </c>
      <c r="C35" s="3307">
        <f>Table3.A!C35</f>
        <v>517.66800000000001</v>
      </c>
      <c r="D35" s="3325" t="s">
        <v>2146</v>
      </c>
      <c r="E35" s="3325">
        <v>99.913678338204278</v>
      </c>
      <c r="F35" s="3325">
        <v>8.6321661795719998E-2</v>
      </c>
      <c r="G35" s="3307" t="s">
        <v>2147</v>
      </c>
      <c r="H35" s="3307" t="s">
        <v>2147</v>
      </c>
      <c r="I35" s="3307" t="s">
        <v>2147</v>
      </c>
      <c r="J35" s="3287">
        <f t="shared" si="0"/>
        <v>0.35820413027154679</v>
      </c>
      <c r="K35" s="3277">
        <v>0.18543081570941108</v>
      </c>
      <c r="M35" s="1664"/>
      <c r="N35" s="4487"/>
      <c r="O35" s="1692" t="s">
        <v>794</v>
      </c>
      <c r="P35" s="1693" t="s">
        <v>792</v>
      </c>
      <c r="Q35" s="3776">
        <v>1.8</v>
      </c>
      <c r="R35" s="277" t="s">
        <v>2146</v>
      </c>
      <c r="S35" s="277" t="s">
        <v>2146</v>
      </c>
      <c r="T35" s="3147" t="s">
        <v>2153</v>
      </c>
      <c r="U35" s="3147" t="s">
        <v>2146</v>
      </c>
      <c r="V35" s="3147">
        <v>100</v>
      </c>
      <c r="W35" s="3147" t="s">
        <v>2146</v>
      </c>
      <c r="X35" s="278" t="s">
        <v>2146</v>
      </c>
      <c r="Y35" s="3147">
        <v>19</v>
      </c>
      <c r="Z35" s="278" t="s">
        <v>2146</v>
      </c>
      <c r="AA35" s="278" t="s">
        <v>2146</v>
      </c>
      <c r="AB35" s="279" t="s">
        <v>2146</v>
      </c>
    </row>
    <row r="36" spans="2:28" s="84" customFormat="1" ht="18" customHeight="1" thickBot="1" x14ac:dyDescent="0.25">
      <c r="B36" s="1644" t="s">
        <v>822</v>
      </c>
      <c r="C36" s="3307">
        <f>Table3.A!C36</f>
        <v>257.12299999999999</v>
      </c>
      <c r="D36" s="3325" t="s">
        <v>2146</v>
      </c>
      <c r="E36" s="3325">
        <v>98.335131694149226</v>
      </c>
      <c r="F36" s="3325">
        <v>1.6648683058507701</v>
      </c>
      <c r="G36" s="3307" t="s">
        <v>2147</v>
      </c>
      <c r="H36" s="3307" t="s">
        <v>2147</v>
      </c>
      <c r="I36" s="3307" t="s">
        <v>2147</v>
      </c>
      <c r="J36" s="3287">
        <f t="shared" si="0"/>
        <v>3.1423145974296363</v>
      </c>
      <c r="K36" s="3277">
        <v>0.80796135623490029</v>
      </c>
      <c r="M36" s="1656"/>
      <c r="N36" s="4487"/>
      <c r="O36" s="1694"/>
      <c r="P36" s="1693" t="s">
        <v>793</v>
      </c>
      <c r="Q36" s="4208" t="s">
        <v>2146</v>
      </c>
      <c r="R36" s="304" t="s">
        <v>2146</v>
      </c>
      <c r="S36" s="304" t="s">
        <v>2146</v>
      </c>
      <c r="T36" s="1560" t="s">
        <v>2146</v>
      </c>
      <c r="U36" s="1560" t="s">
        <v>2146</v>
      </c>
      <c r="V36" s="1560" t="s">
        <v>2146</v>
      </c>
      <c r="W36" s="1560" t="s">
        <v>2146</v>
      </c>
      <c r="X36" s="305" t="s">
        <v>2146</v>
      </c>
      <c r="Y36" s="1560" t="s">
        <v>2146</v>
      </c>
      <c r="Z36" s="305" t="s">
        <v>2146</v>
      </c>
      <c r="AA36" s="305" t="s">
        <v>2146</v>
      </c>
      <c r="AB36" s="442" t="s">
        <v>2146</v>
      </c>
    </row>
    <row r="37" spans="2:28" s="84" customFormat="1" ht="18" customHeight="1" x14ac:dyDescent="0.2">
      <c r="B37" s="1644" t="s">
        <v>823</v>
      </c>
      <c r="C37" s="3307">
        <f>Table3.A!C37</f>
        <v>0.35099999999999998</v>
      </c>
      <c r="D37" s="3325" t="s">
        <v>2146</v>
      </c>
      <c r="E37" s="3325">
        <v>93.159704075169699</v>
      </c>
      <c r="F37" s="3325">
        <v>6.8402959248302997</v>
      </c>
      <c r="G37" s="3307" t="s">
        <v>2147</v>
      </c>
      <c r="H37" s="3307" t="s">
        <v>2147</v>
      </c>
      <c r="I37" s="3307" t="s">
        <v>2147</v>
      </c>
      <c r="J37" s="3287">
        <f t="shared" si="0"/>
        <v>1.1948192015579666</v>
      </c>
      <c r="K37" s="3277">
        <v>4.1938153974684626E-4</v>
      </c>
      <c r="M37" s="1656"/>
      <c r="N37" s="4487"/>
      <c r="O37" s="1695" t="s">
        <v>2026</v>
      </c>
      <c r="P37" s="1691" t="s">
        <v>791</v>
      </c>
      <c r="Q37" s="4209" t="s">
        <v>2146</v>
      </c>
      <c r="R37" s="1308" t="s">
        <v>2146</v>
      </c>
      <c r="S37" s="1308" t="s">
        <v>2146</v>
      </c>
      <c r="T37" s="3141" t="s">
        <v>2146</v>
      </c>
      <c r="U37" s="3141" t="s">
        <v>2146</v>
      </c>
      <c r="V37" s="3141" t="s">
        <v>2146</v>
      </c>
      <c r="W37" s="3141" t="s">
        <v>2146</v>
      </c>
      <c r="X37" s="1309" t="s">
        <v>2146</v>
      </c>
      <c r="Y37" s="3141" t="s">
        <v>2146</v>
      </c>
      <c r="Z37" s="1309" t="s">
        <v>2146</v>
      </c>
      <c r="AA37" s="1309" t="s">
        <v>2146</v>
      </c>
      <c r="AB37" s="1310" t="s">
        <v>2146</v>
      </c>
    </row>
    <row r="38" spans="2:28" s="84" customFormat="1" ht="18" customHeight="1" x14ac:dyDescent="0.2">
      <c r="B38" s="1644" t="s">
        <v>824</v>
      </c>
      <c r="C38" s="3307">
        <f>Table3.A!C38</f>
        <v>69284.820000000007</v>
      </c>
      <c r="D38" s="3325">
        <v>1.5559239760696</v>
      </c>
      <c r="E38" s="3325">
        <v>98.444076023930407</v>
      </c>
      <c r="F38" s="3325" t="s">
        <v>2146</v>
      </c>
      <c r="G38" s="3307" t="s">
        <v>2147</v>
      </c>
      <c r="H38" s="3307" t="s">
        <v>2147</v>
      </c>
      <c r="I38" s="3307" t="s">
        <v>2147</v>
      </c>
      <c r="J38" s="3287">
        <f t="shared" si="0"/>
        <v>3.6829372927766113E-2</v>
      </c>
      <c r="K38" s="3277">
        <v>2.5517164740131486</v>
      </c>
      <c r="M38" s="1656"/>
      <c r="N38" s="4487"/>
      <c r="O38" s="1696"/>
      <c r="P38" s="1693" t="s">
        <v>792</v>
      </c>
      <c r="Q38" s="3776">
        <v>0.76252478038140004</v>
      </c>
      <c r="R38" s="277" t="s">
        <v>2146</v>
      </c>
      <c r="S38" s="277" t="s">
        <v>2146</v>
      </c>
      <c r="T38" s="3147" t="s">
        <v>2153</v>
      </c>
      <c r="U38" s="3147" t="s">
        <v>2146</v>
      </c>
      <c r="V38" s="3147">
        <v>2.122099651092875E-2</v>
      </c>
      <c r="W38" s="3147" t="s">
        <v>2146</v>
      </c>
      <c r="X38" s="278" t="s">
        <v>2146</v>
      </c>
      <c r="Y38" s="3147">
        <v>0.01</v>
      </c>
      <c r="Z38" s="278" t="s">
        <v>2146</v>
      </c>
      <c r="AA38" s="278" t="s">
        <v>2146</v>
      </c>
      <c r="AB38" s="279" t="s">
        <v>2146</v>
      </c>
    </row>
    <row r="39" spans="2:28" s="84" customFormat="1" ht="18" customHeight="1" thickBot="1" x14ac:dyDescent="0.25">
      <c r="B39" s="1644" t="s">
        <v>825</v>
      </c>
      <c r="C39" s="4184">
        <f>SUM(C40:C44)</f>
        <v>106.593</v>
      </c>
      <c r="D39" s="3294"/>
      <c r="E39" s="3294"/>
      <c r="F39" s="3294"/>
      <c r="G39" s="3294"/>
      <c r="H39" s="3294"/>
      <c r="I39" s="3295"/>
      <c r="J39" s="3287">
        <f t="shared" si="0"/>
        <v>0.35732472225724915</v>
      </c>
      <c r="K39" s="3281">
        <f>SUM(K40:K44)</f>
        <v>3.8088314119566959E-2</v>
      </c>
      <c r="M39" s="1660"/>
      <c r="N39" s="4488"/>
      <c r="O39" s="1697"/>
      <c r="P39" s="1693" t="s">
        <v>793</v>
      </c>
      <c r="Q39" s="4208" t="s">
        <v>2146</v>
      </c>
      <c r="R39" s="304" t="s">
        <v>2146</v>
      </c>
      <c r="S39" s="304" t="s">
        <v>2146</v>
      </c>
      <c r="T39" s="1560" t="s">
        <v>2146</v>
      </c>
      <c r="U39" s="1560" t="s">
        <v>2146</v>
      </c>
      <c r="V39" s="1560" t="s">
        <v>2146</v>
      </c>
      <c r="W39" s="1560" t="s">
        <v>2146</v>
      </c>
      <c r="X39" s="305" t="s">
        <v>2146</v>
      </c>
      <c r="Y39" s="1560" t="s">
        <v>2146</v>
      </c>
      <c r="Z39" s="305" t="s">
        <v>2146</v>
      </c>
      <c r="AA39" s="305" t="s">
        <v>2146</v>
      </c>
      <c r="AB39" s="442" t="s">
        <v>2146</v>
      </c>
    </row>
    <row r="40" spans="2:28" s="84" customFormat="1" ht="18" customHeight="1" x14ac:dyDescent="0.2">
      <c r="B40" s="350" t="s">
        <v>826</v>
      </c>
      <c r="C40" s="3307" t="str">
        <f>Table3.A!C40</f>
        <v>NO</v>
      </c>
      <c r="D40" s="3307" t="s">
        <v>2147</v>
      </c>
      <c r="E40" s="3307" t="s">
        <v>2147</v>
      </c>
      <c r="F40" s="3307" t="s">
        <v>2147</v>
      </c>
      <c r="G40" s="3307" t="s">
        <v>2147</v>
      </c>
      <c r="H40" s="3307" t="s">
        <v>2147</v>
      </c>
      <c r="I40" s="3307" t="s">
        <v>2147</v>
      </c>
      <c r="J40" s="3287" t="str">
        <f t="shared" si="0"/>
        <v>NA</v>
      </c>
      <c r="K40" s="3277" t="s">
        <v>2146</v>
      </c>
      <c r="M40" s="4489" t="s">
        <v>817</v>
      </c>
      <c r="N40" s="4490"/>
      <c r="O40" s="1690" t="s">
        <v>802</v>
      </c>
      <c r="P40" s="1691" t="s">
        <v>791</v>
      </c>
      <c r="Q40" s="3774">
        <v>59.9</v>
      </c>
      <c r="R40" s="300" t="s">
        <v>2146</v>
      </c>
      <c r="S40" s="300" t="s">
        <v>2146</v>
      </c>
      <c r="T40" s="3773" t="s">
        <v>2153</v>
      </c>
      <c r="U40" s="3773" t="s">
        <v>2153</v>
      </c>
      <c r="V40" s="3773">
        <v>36.1</v>
      </c>
      <c r="W40" s="3773" t="s">
        <v>2153</v>
      </c>
      <c r="X40" s="301" t="s">
        <v>2146</v>
      </c>
      <c r="Y40" s="301" t="s">
        <v>2146</v>
      </c>
      <c r="Z40" s="3773" t="s">
        <v>2146</v>
      </c>
      <c r="AA40" s="301" t="s">
        <v>2146</v>
      </c>
      <c r="AB40" s="3775">
        <v>32.5</v>
      </c>
    </row>
    <row r="41" spans="2:28" s="84" customFormat="1" ht="18" customHeight="1" x14ac:dyDescent="0.2">
      <c r="B41" s="350" t="s">
        <v>827</v>
      </c>
      <c r="C41" s="3307" t="str">
        <f>Table3.A!C41</f>
        <v>NO</v>
      </c>
      <c r="D41" s="3307" t="s">
        <v>2147</v>
      </c>
      <c r="E41" s="3307" t="s">
        <v>2147</v>
      </c>
      <c r="F41" s="3307" t="s">
        <v>2147</v>
      </c>
      <c r="G41" s="3307" t="s">
        <v>2147</v>
      </c>
      <c r="H41" s="3307" t="s">
        <v>2147</v>
      </c>
      <c r="I41" s="3307" t="s">
        <v>2147</v>
      </c>
      <c r="J41" s="3287" t="str">
        <f t="shared" si="0"/>
        <v>NA</v>
      </c>
      <c r="K41" s="3277" t="s">
        <v>2146</v>
      </c>
      <c r="M41" s="4491"/>
      <c r="N41" s="4492"/>
      <c r="O41" s="1692" t="s">
        <v>794</v>
      </c>
      <c r="P41" s="1693" t="s">
        <v>792</v>
      </c>
      <c r="Q41" s="3776">
        <v>68.163162943135404</v>
      </c>
      <c r="R41" s="277" t="s">
        <v>2146</v>
      </c>
      <c r="S41" s="277" t="s">
        <v>2146</v>
      </c>
      <c r="T41" s="3147" t="s">
        <v>2153</v>
      </c>
      <c r="U41" s="3147" t="s">
        <v>2153</v>
      </c>
      <c r="V41" s="3147">
        <v>28.20124024704954</v>
      </c>
      <c r="W41" s="3147" t="s">
        <v>2153</v>
      </c>
      <c r="X41" s="278" t="s">
        <v>2146</v>
      </c>
      <c r="Y41" s="278" t="s">
        <v>2146</v>
      </c>
      <c r="Z41" s="3147">
        <v>0.83156523932868998</v>
      </c>
      <c r="AA41" s="278" t="s">
        <v>2146</v>
      </c>
      <c r="AB41" s="2911">
        <v>23.863433168457799</v>
      </c>
    </row>
    <row r="42" spans="2:28" s="84" customFormat="1" ht="18" customHeight="1" thickBot="1" x14ac:dyDescent="0.25">
      <c r="B42" s="350" t="s">
        <v>828</v>
      </c>
      <c r="C42" s="3307">
        <f>Table3.A!C42</f>
        <v>32.935000000000002</v>
      </c>
      <c r="D42" s="3325" t="s">
        <v>2146</v>
      </c>
      <c r="E42" s="3325">
        <v>100</v>
      </c>
      <c r="F42" s="3325" t="s">
        <v>2146</v>
      </c>
      <c r="G42" s="3307" t="s">
        <v>2147</v>
      </c>
      <c r="H42" s="3307" t="s">
        <v>2147</v>
      </c>
      <c r="I42" s="3307" t="s">
        <v>2147</v>
      </c>
      <c r="J42" s="3287">
        <f t="shared" si="0"/>
        <v>0.35732447695746489</v>
      </c>
      <c r="K42" s="3277">
        <v>1.1768481648594108E-2</v>
      </c>
      <c r="M42" s="4491"/>
      <c r="N42" s="4492"/>
      <c r="O42" s="1694"/>
      <c r="P42" s="1693" t="s">
        <v>793</v>
      </c>
      <c r="Q42" s="4210" t="s">
        <v>2146</v>
      </c>
      <c r="R42" s="310" t="s">
        <v>2146</v>
      </c>
      <c r="S42" s="310" t="s">
        <v>2146</v>
      </c>
      <c r="T42" s="3150" t="s">
        <v>2146</v>
      </c>
      <c r="U42" s="3150" t="s">
        <v>2146</v>
      </c>
      <c r="V42" s="3150" t="s">
        <v>2146</v>
      </c>
      <c r="W42" s="3150" t="s">
        <v>2146</v>
      </c>
      <c r="X42" s="311" t="s">
        <v>2146</v>
      </c>
      <c r="Y42" s="311" t="s">
        <v>2146</v>
      </c>
      <c r="Z42" s="3150" t="s">
        <v>2146</v>
      </c>
      <c r="AA42" s="311" t="s">
        <v>2146</v>
      </c>
      <c r="AB42" s="3331" t="s">
        <v>2146</v>
      </c>
    </row>
    <row r="43" spans="2:28" s="84" customFormat="1" ht="18" customHeight="1" x14ac:dyDescent="0.2">
      <c r="B43" s="350" t="s">
        <v>829</v>
      </c>
      <c r="C43" s="3307" t="str">
        <f>Table3.A!C43</f>
        <v>NO</v>
      </c>
      <c r="D43" s="3307" t="s">
        <v>2147</v>
      </c>
      <c r="E43" s="3307" t="s">
        <v>2147</v>
      </c>
      <c r="F43" s="3307" t="s">
        <v>2147</v>
      </c>
      <c r="G43" s="3307" t="s">
        <v>2147</v>
      </c>
      <c r="H43" s="3307" t="s">
        <v>2147</v>
      </c>
      <c r="I43" s="3307" t="s">
        <v>2147</v>
      </c>
      <c r="J43" s="3287" t="str">
        <f t="shared" si="0"/>
        <v>NA</v>
      </c>
      <c r="K43" s="3277" t="s">
        <v>2146</v>
      </c>
      <c r="M43" s="4491"/>
      <c r="N43" s="4492"/>
      <c r="O43" s="1695" t="s">
        <v>2026</v>
      </c>
      <c r="P43" s="1691" t="s">
        <v>791</v>
      </c>
      <c r="Q43" s="3774">
        <v>0.7</v>
      </c>
      <c r="R43" s="300" t="s">
        <v>2146</v>
      </c>
      <c r="S43" s="300" t="s">
        <v>2146</v>
      </c>
      <c r="T43" s="3773" t="s">
        <v>2153</v>
      </c>
      <c r="U43" s="3773" t="s">
        <v>2153</v>
      </c>
      <c r="V43" s="3773">
        <v>1.8337950138504155</v>
      </c>
      <c r="W43" s="3773" t="s">
        <v>2153</v>
      </c>
      <c r="X43" s="301" t="s">
        <v>2146</v>
      </c>
      <c r="Y43" s="301" t="s">
        <v>2146</v>
      </c>
      <c r="Z43" s="3773" t="s">
        <v>2146</v>
      </c>
      <c r="AA43" s="301" t="s">
        <v>2146</v>
      </c>
      <c r="AB43" s="3775">
        <v>3.9230769230769999E-2</v>
      </c>
    </row>
    <row r="44" spans="2:28" s="84" customFormat="1" ht="18" customHeight="1" x14ac:dyDescent="0.2">
      <c r="B44" s="2644" t="s">
        <v>2091</v>
      </c>
      <c r="C44" s="4184">
        <f>C45</f>
        <v>73.658000000000001</v>
      </c>
      <c r="D44" s="3294"/>
      <c r="E44" s="3294"/>
      <c r="F44" s="3294"/>
      <c r="G44" s="3294"/>
      <c r="H44" s="3294"/>
      <c r="I44" s="3295"/>
      <c r="J44" s="3287">
        <f t="shared" si="0"/>
        <v>0.35732483193913561</v>
      </c>
      <c r="K44" s="3281">
        <f>K45</f>
        <v>2.6319832470972852E-2</v>
      </c>
      <c r="M44" s="4491"/>
      <c r="N44" s="4492"/>
      <c r="O44" s="1696"/>
      <c r="P44" s="1693" t="s">
        <v>792</v>
      </c>
      <c r="Q44" s="3776">
        <v>0.75482346052460003</v>
      </c>
      <c r="R44" s="277" t="s">
        <v>2146</v>
      </c>
      <c r="S44" s="277" t="s">
        <v>2146</v>
      </c>
      <c r="T44" s="3147" t="s">
        <v>2153</v>
      </c>
      <c r="U44" s="3147" t="s">
        <v>2153</v>
      </c>
      <c r="V44" s="3147">
        <v>1.8974618936925185</v>
      </c>
      <c r="W44" s="3147" t="s">
        <v>2153</v>
      </c>
      <c r="X44" s="278" t="s">
        <v>2146</v>
      </c>
      <c r="Y44" s="278" t="s">
        <v>2146</v>
      </c>
      <c r="Z44" s="3147">
        <v>0.1</v>
      </c>
      <c r="AA44" s="278" t="s">
        <v>2146</v>
      </c>
      <c r="AB44" s="2911">
        <v>3.9444718932689998E-2</v>
      </c>
    </row>
    <row r="45" spans="2:28" s="84" customFormat="1" ht="18" customHeight="1" thickBot="1" x14ac:dyDescent="0.25">
      <c r="B45" s="2648" t="s">
        <v>2199</v>
      </c>
      <c r="C45" s="4186">
        <f>Table3.A!C45</f>
        <v>73.658000000000001</v>
      </c>
      <c r="D45" s="3040" t="s">
        <v>2146</v>
      </c>
      <c r="E45" s="3040">
        <v>100</v>
      </c>
      <c r="F45" s="3040" t="s">
        <v>2146</v>
      </c>
      <c r="G45" s="3040" t="s">
        <v>2147</v>
      </c>
      <c r="H45" s="3040" t="s">
        <v>2147</v>
      </c>
      <c r="I45" s="3308" t="s">
        <v>2147</v>
      </c>
      <c r="J45" s="3309">
        <f t="shared" si="0"/>
        <v>0.35732483193913561</v>
      </c>
      <c r="K45" s="3278">
        <v>2.6319832470972852E-2</v>
      </c>
      <c r="M45" s="4493"/>
      <c r="N45" s="4494"/>
      <c r="O45" s="1697"/>
      <c r="P45" s="1693" t="s">
        <v>793</v>
      </c>
      <c r="Q45" s="4208" t="s">
        <v>2146</v>
      </c>
      <c r="R45" s="304" t="s">
        <v>2146</v>
      </c>
      <c r="S45" s="304" t="s">
        <v>2146</v>
      </c>
      <c r="T45" s="1560" t="s">
        <v>2146</v>
      </c>
      <c r="U45" s="1560" t="s">
        <v>2146</v>
      </c>
      <c r="V45" s="1560" t="s">
        <v>2146</v>
      </c>
      <c r="W45" s="1560" t="s">
        <v>2146</v>
      </c>
      <c r="X45" s="305" t="s">
        <v>2146</v>
      </c>
      <c r="Y45" s="305" t="s">
        <v>2146</v>
      </c>
      <c r="Z45" s="1560" t="s">
        <v>2146</v>
      </c>
      <c r="AA45" s="305" t="s">
        <v>2146</v>
      </c>
      <c r="AB45" s="1561" t="s">
        <v>2146</v>
      </c>
    </row>
    <row r="46" spans="2:28" s="84" customFormat="1" ht="17.25" customHeight="1" x14ac:dyDescent="0.2">
      <c r="B46" s="514" t="s">
        <v>389</v>
      </c>
      <c r="C46" s="514" t="s">
        <v>389</v>
      </c>
      <c r="D46" s="514"/>
      <c r="E46" s="514"/>
      <c r="F46" s="514"/>
      <c r="G46" s="514"/>
      <c r="H46" s="514"/>
      <c r="I46" s="514"/>
      <c r="J46" s="514"/>
      <c r="K46" s="514"/>
      <c r="M46" s="4489" t="s">
        <v>2206</v>
      </c>
      <c r="N46" s="4490"/>
      <c r="O46" s="1690" t="s">
        <v>802</v>
      </c>
      <c r="P46" s="1691" t="s">
        <v>791</v>
      </c>
      <c r="Q46" s="299" t="s">
        <v>2146</v>
      </c>
      <c r="R46" s="300" t="s">
        <v>2146</v>
      </c>
      <c r="S46" s="300" t="s">
        <v>2146</v>
      </c>
      <c r="T46" s="3773">
        <v>47.316739823856366</v>
      </c>
      <c r="U46" s="3773" t="s">
        <v>2146</v>
      </c>
      <c r="V46" s="3773" t="s">
        <v>2146</v>
      </c>
      <c r="W46" s="3773" t="s">
        <v>2153</v>
      </c>
      <c r="X46" s="3773">
        <v>0.94141401520497003</v>
      </c>
      <c r="Y46" s="3773">
        <v>18.279798902316699</v>
      </c>
      <c r="Z46" s="3773">
        <v>0.39998116469185002</v>
      </c>
      <c r="AA46" s="301" t="s">
        <v>2146</v>
      </c>
      <c r="AB46" s="3775">
        <v>99.058585984795002</v>
      </c>
    </row>
    <row r="47" spans="2:28" s="84" customFormat="1" ht="13.5" x14ac:dyDescent="0.2">
      <c r="B47" s="313"/>
      <c r="C47" s="1645"/>
      <c r="D47" s="1645"/>
      <c r="E47" s="1645"/>
      <c r="F47" s="1645"/>
      <c r="G47" s="1645"/>
      <c r="H47" s="1645"/>
      <c r="I47" s="1645"/>
      <c r="J47" s="1645"/>
      <c r="K47" s="1645"/>
      <c r="M47" s="4491"/>
      <c r="N47" s="4492"/>
      <c r="O47" s="1692" t="s">
        <v>794</v>
      </c>
      <c r="P47" s="1693" t="s">
        <v>792</v>
      </c>
      <c r="Q47" s="302" t="s">
        <v>2146</v>
      </c>
      <c r="R47" s="277" t="s">
        <v>2146</v>
      </c>
      <c r="S47" s="277" t="s">
        <v>2146</v>
      </c>
      <c r="T47" s="3147">
        <v>45.29965629362853</v>
      </c>
      <c r="U47" s="3147" t="s">
        <v>2146</v>
      </c>
      <c r="V47" s="3147" t="s">
        <v>2146</v>
      </c>
      <c r="W47" s="3147" t="s">
        <v>2153</v>
      </c>
      <c r="X47" s="3147">
        <v>0.95419824216071003</v>
      </c>
      <c r="Y47" s="3147">
        <v>18.697939005471401</v>
      </c>
      <c r="Z47" s="3147">
        <v>0.31270005120828998</v>
      </c>
      <c r="AA47" s="278" t="s">
        <v>2146</v>
      </c>
      <c r="AB47" s="2911">
        <v>99.0458017578393</v>
      </c>
    </row>
    <row r="48" spans="2:28" s="84" customFormat="1" ht="14.25" thickBot="1" x14ac:dyDescent="0.25">
      <c r="B48" s="1020"/>
      <c r="C48" s="1646"/>
      <c r="D48" s="1646"/>
      <c r="E48" s="1646"/>
      <c r="F48" s="1646"/>
      <c r="G48" s="1646"/>
      <c r="H48" s="1646"/>
      <c r="I48" s="1646"/>
      <c r="J48" s="1646"/>
      <c r="K48" s="1646"/>
      <c r="M48" s="4491"/>
      <c r="N48" s="4492"/>
      <c r="O48" s="1694"/>
      <c r="P48" s="1693" t="s">
        <v>793</v>
      </c>
      <c r="Q48" s="303" t="s">
        <v>2146</v>
      </c>
      <c r="R48" s="304" t="s">
        <v>2146</v>
      </c>
      <c r="S48" s="304" t="s">
        <v>2146</v>
      </c>
      <c r="T48" s="1560" t="s">
        <v>2146</v>
      </c>
      <c r="U48" s="1560" t="s">
        <v>2146</v>
      </c>
      <c r="V48" s="1560" t="s">
        <v>2146</v>
      </c>
      <c r="W48" s="1560" t="s">
        <v>2146</v>
      </c>
      <c r="X48" s="1560" t="s">
        <v>2146</v>
      </c>
      <c r="Y48" s="1560" t="s">
        <v>2146</v>
      </c>
      <c r="Z48" s="1560" t="s">
        <v>2146</v>
      </c>
      <c r="AA48" s="305" t="s">
        <v>2146</v>
      </c>
      <c r="AB48" s="1561" t="s">
        <v>2146</v>
      </c>
    </row>
    <row r="49" spans="2:28" s="84" customFormat="1" ht="13.5" x14ac:dyDescent="0.2">
      <c r="B49" s="312"/>
      <c r="C49" s="312"/>
      <c r="D49" s="312"/>
      <c r="E49" s="312"/>
      <c r="F49" s="312"/>
      <c r="G49" s="312"/>
      <c r="H49" s="312"/>
      <c r="I49" s="312"/>
      <c r="J49" s="312"/>
      <c r="K49" s="312"/>
      <c r="M49" s="4491"/>
      <c r="N49" s="4492"/>
      <c r="O49" s="1695" t="s">
        <v>2026</v>
      </c>
      <c r="P49" s="1691" t="s">
        <v>791</v>
      </c>
      <c r="Q49" s="1307" t="s">
        <v>2146</v>
      </c>
      <c r="R49" s="1308" t="s">
        <v>2146</v>
      </c>
      <c r="S49" s="1308" t="s">
        <v>2146</v>
      </c>
      <c r="T49" s="3141">
        <v>0.02</v>
      </c>
      <c r="U49" s="3141" t="s">
        <v>2146</v>
      </c>
      <c r="V49" s="3141" t="s">
        <v>2146</v>
      </c>
      <c r="W49" s="3141" t="s">
        <v>2153</v>
      </c>
      <c r="X49" s="3141">
        <v>0.01</v>
      </c>
      <c r="Y49" s="3141">
        <v>5.0000000000000001E-3</v>
      </c>
      <c r="Z49" s="3141">
        <v>0.1</v>
      </c>
      <c r="AA49" s="1309" t="s">
        <v>2146</v>
      </c>
      <c r="AB49" s="2919">
        <v>1.4999999999999999E-2</v>
      </c>
    </row>
    <row r="50" spans="2:28" s="84" customFormat="1" ht="13.5" x14ac:dyDescent="0.2">
      <c r="B50" s="72"/>
      <c r="C50" s="313"/>
      <c r="D50" s="313"/>
      <c r="E50" s="313"/>
      <c r="F50" s="313"/>
      <c r="G50" s="313"/>
      <c r="H50" s="313"/>
      <c r="I50" s="313"/>
      <c r="J50" s="313"/>
      <c r="K50" s="313"/>
      <c r="M50" s="4491"/>
      <c r="N50" s="4492"/>
      <c r="O50" s="1696"/>
      <c r="P50" s="1693" t="s">
        <v>792</v>
      </c>
      <c r="Q50" s="302" t="s">
        <v>2146</v>
      </c>
      <c r="R50" s="277" t="s">
        <v>2146</v>
      </c>
      <c r="S50" s="277" t="s">
        <v>2146</v>
      </c>
      <c r="T50" s="3147">
        <v>1.9999999999999997E-2</v>
      </c>
      <c r="U50" s="3147" t="s">
        <v>2146</v>
      </c>
      <c r="V50" s="3147" t="s">
        <v>2146</v>
      </c>
      <c r="W50" s="3147" t="s">
        <v>2153</v>
      </c>
      <c r="X50" s="3147">
        <v>1.293556918721E-2</v>
      </c>
      <c r="Y50" s="3147">
        <v>0.01</v>
      </c>
      <c r="Z50" s="3147">
        <v>0.1</v>
      </c>
      <c r="AA50" s="278" t="s">
        <v>2146</v>
      </c>
      <c r="AB50" s="2911">
        <v>1.4999999999999999E-2</v>
      </c>
    </row>
    <row r="51" spans="2:28" s="84" customFormat="1" ht="14.25" thickBot="1" x14ac:dyDescent="0.25">
      <c r="B51" s="1058"/>
      <c r="C51" s="1646"/>
      <c r="D51" s="1646"/>
      <c r="E51" s="1646"/>
      <c r="F51" s="1646"/>
      <c r="G51" s="1646"/>
      <c r="H51" s="1646"/>
      <c r="I51" s="1646"/>
      <c r="J51" s="1646"/>
      <c r="K51" s="1646"/>
      <c r="M51" s="4493"/>
      <c r="N51" s="4494"/>
      <c r="O51" s="1697"/>
      <c r="P51" s="1698" t="s">
        <v>793</v>
      </c>
      <c r="Q51" s="303" t="s">
        <v>2146</v>
      </c>
      <c r="R51" s="304" t="s">
        <v>2146</v>
      </c>
      <c r="S51" s="304" t="s">
        <v>2146</v>
      </c>
      <c r="T51" s="1560" t="s">
        <v>2146</v>
      </c>
      <c r="U51" s="1560" t="s">
        <v>2146</v>
      </c>
      <c r="V51" s="1560" t="s">
        <v>2146</v>
      </c>
      <c r="W51" s="1560" t="s">
        <v>2146</v>
      </c>
      <c r="X51" s="1560" t="s">
        <v>2146</v>
      </c>
      <c r="Y51" s="1560" t="s">
        <v>2146</v>
      </c>
      <c r="Z51" s="1560" t="s">
        <v>2146</v>
      </c>
      <c r="AA51" s="305" t="s">
        <v>2146</v>
      </c>
      <c r="AB51" s="1561" t="s">
        <v>2146</v>
      </c>
    </row>
    <row r="52" spans="2:28" s="84" customFormat="1" ht="15.75" customHeight="1" x14ac:dyDescent="0.2">
      <c r="B52" s="1058"/>
      <c r="C52" s="1646"/>
      <c r="D52" s="1646"/>
      <c r="E52" s="1646"/>
      <c r="F52" s="1646"/>
      <c r="G52" s="1646"/>
      <c r="H52" s="1646"/>
      <c r="I52" s="1646"/>
      <c r="J52" s="1646"/>
      <c r="K52" s="1646"/>
      <c r="M52" s="4489" t="s">
        <v>2204</v>
      </c>
      <c r="N52" s="4490"/>
      <c r="O52" s="1690" t="s">
        <v>802</v>
      </c>
      <c r="P52" s="1691" t="s">
        <v>791</v>
      </c>
      <c r="Q52" s="299" t="s">
        <v>2146</v>
      </c>
      <c r="R52" s="300" t="s">
        <v>2146</v>
      </c>
      <c r="S52" s="300" t="s">
        <v>2146</v>
      </c>
      <c r="T52" s="301" t="s">
        <v>2146</v>
      </c>
      <c r="U52" s="301" t="s">
        <v>2146</v>
      </c>
      <c r="V52" s="301" t="s">
        <v>2146</v>
      </c>
      <c r="W52" s="301" t="s">
        <v>2146</v>
      </c>
      <c r="X52" s="301" t="s">
        <v>2146</v>
      </c>
      <c r="Y52" s="301" t="s">
        <v>2146</v>
      </c>
      <c r="Z52" s="301" t="s">
        <v>2146</v>
      </c>
      <c r="AA52" s="301" t="s">
        <v>2146</v>
      </c>
      <c r="AB52" s="1306" t="s">
        <v>2146</v>
      </c>
    </row>
    <row r="53" spans="2:28" s="84" customFormat="1" ht="13.5" x14ac:dyDescent="0.2">
      <c r="B53" s="1058"/>
      <c r="C53" s="1646"/>
      <c r="D53" s="1646"/>
      <c r="E53" s="1646"/>
      <c r="F53" s="1646"/>
      <c r="G53" s="1646"/>
      <c r="H53" s="1646"/>
      <c r="I53" s="1646"/>
      <c r="J53" s="1646"/>
      <c r="K53" s="1646"/>
      <c r="M53" s="4491"/>
      <c r="N53" s="4492"/>
      <c r="O53" s="1692" t="s">
        <v>794</v>
      </c>
      <c r="P53" s="1693" t="s">
        <v>792</v>
      </c>
      <c r="Q53" s="302" t="s">
        <v>2146</v>
      </c>
      <c r="R53" s="277" t="s">
        <v>2146</v>
      </c>
      <c r="S53" s="277" t="s">
        <v>2146</v>
      </c>
      <c r="T53" s="278" t="s">
        <v>2146</v>
      </c>
      <c r="U53" s="278" t="s">
        <v>2146</v>
      </c>
      <c r="V53" s="278" t="s">
        <v>2146</v>
      </c>
      <c r="W53" s="278" t="s">
        <v>2146</v>
      </c>
      <c r="X53" s="278">
        <v>100</v>
      </c>
      <c r="Y53" s="278" t="s">
        <v>2146</v>
      </c>
      <c r="Z53" s="278" t="s">
        <v>2146</v>
      </c>
      <c r="AA53" s="278" t="s">
        <v>2146</v>
      </c>
      <c r="AB53" s="279" t="s">
        <v>2146</v>
      </c>
    </row>
    <row r="54" spans="2:28" s="84" customFormat="1" ht="14.25" thickBot="1" x14ac:dyDescent="0.25">
      <c r="B54" s="1058"/>
      <c r="C54" s="1646"/>
      <c r="D54" s="1646"/>
      <c r="E54" s="1646"/>
      <c r="F54" s="1646"/>
      <c r="G54" s="1646"/>
      <c r="H54" s="1646"/>
      <c r="I54" s="1646"/>
      <c r="J54" s="1646"/>
      <c r="K54" s="1646"/>
      <c r="M54" s="4491"/>
      <c r="N54" s="4492"/>
      <c r="O54" s="1694"/>
      <c r="P54" s="1693" t="s">
        <v>793</v>
      </c>
      <c r="Q54" s="303" t="s">
        <v>2146</v>
      </c>
      <c r="R54" s="304" t="s">
        <v>2146</v>
      </c>
      <c r="S54" s="304" t="s">
        <v>2146</v>
      </c>
      <c r="T54" s="305" t="s">
        <v>2146</v>
      </c>
      <c r="U54" s="305" t="s">
        <v>2146</v>
      </c>
      <c r="V54" s="305" t="s">
        <v>2146</v>
      </c>
      <c r="W54" s="305" t="s">
        <v>2146</v>
      </c>
      <c r="X54" s="305" t="s">
        <v>2146</v>
      </c>
      <c r="Y54" s="305" t="s">
        <v>2146</v>
      </c>
      <c r="Z54" s="305" t="s">
        <v>2146</v>
      </c>
      <c r="AA54" s="305" t="s">
        <v>2146</v>
      </c>
      <c r="AB54" s="442" t="s">
        <v>2146</v>
      </c>
    </row>
    <row r="55" spans="2:28" s="84" customFormat="1" ht="14.25" thickBot="1" x14ac:dyDescent="0.25">
      <c r="B55" s="1647"/>
      <c r="C55" s="989"/>
      <c r="D55" s="989"/>
      <c r="E55" s="989"/>
      <c r="F55" s="989"/>
      <c r="G55" s="989"/>
      <c r="H55" s="989"/>
      <c r="I55" s="989"/>
      <c r="J55" s="989"/>
      <c r="K55" s="989"/>
      <c r="M55" s="4491"/>
      <c r="N55" s="4492"/>
      <c r="O55" s="1695" t="s">
        <v>2026</v>
      </c>
      <c r="P55" s="1691" t="s">
        <v>791</v>
      </c>
      <c r="Q55" s="1307" t="s">
        <v>2146</v>
      </c>
      <c r="R55" s="1308" t="s">
        <v>2146</v>
      </c>
      <c r="S55" s="1308" t="s">
        <v>2146</v>
      </c>
      <c r="T55" s="1309" t="s">
        <v>2146</v>
      </c>
      <c r="U55" s="1309" t="s">
        <v>2146</v>
      </c>
      <c r="V55" s="1309" t="s">
        <v>2146</v>
      </c>
      <c r="W55" s="1309" t="s">
        <v>2146</v>
      </c>
      <c r="X55" s="1309" t="s">
        <v>2146</v>
      </c>
      <c r="Y55" s="1309" t="s">
        <v>2146</v>
      </c>
      <c r="Z55" s="1309" t="s">
        <v>2146</v>
      </c>
      <c r="AA55" s="1309" t="s">
        <v>2146</v>
      </c>
      <c r="AB55" s="1310" t="s">
        <v>2146</v>
      </c>
    </row>
    <row r="56" spans="2:28" s="84" customFormat="1" ht="12" x14ac:dyDescent="0.2">
      <c r="B56" s="223" t="s">
        <v>352</v>
      </c>
      <c r="C56" s="314"/>
      <c r="D56" s="314"/>
      <c r="E56" s="314"/>
      <c r="F56" s="314"/>
      <c r="G56" s="314"/>
      <c r="H56" s="314"/>
      <c r="I56" s="314"/>
      <c r="J56" s="314"/>
      <c r="K56" s="315"/>
      <c r="M56" s="4491"/>
      <c r="N56" s="4492"/>
      <c r="O56" s="1696"/>
      <c r="P56" s="1693" t="s">
        <v>792</v>
      </c>
      <c r="Q56" s="302" t="s">
        <v>2146</v>
      </c>
      <c r="R56" s="277" t="s">
        <v>2146</v>
      </c>
      <c r="S56" s="277" t="s">
        <v>2146</v>
      </c>
      <c r="T56" s="278" t="s">
        <v>2146</v>
      </c>
      <c r="U56" s="278" t="s">
        <v>2146</v>
      </c>
      <c r="V56" s="278" t="s">
        <v>2146</v>
      </c>
      <c r="W56" s="278" t="s">
        <v>2146</v>
      </c>
      <c r="X56" s="278" t="s">
        <v>2147</v>
      </c>
      <c r="Y56" s="278" t="s">
        <v>2146</v>
      </c>
      <c r="Z56" s="278" t="s">
        <v>2146</v>
      </c>
      <c r="AA56" s="278" t="s">
        <v>2146</v>
      </c>
      <c r="AB56" s="279" t="s">
        <v>2146</v>
      </c>
    </row>
    <row r="57" spans="2:28" s="84" customFormat="1" thickBot="1" x14ac:dyDescent="0.25">
      <c r="B57" s="1073"/>
      <c r="C57" s="1074"/>
      <c r="D57" s="1074"/>
      <c r="E57" s="1074"/>
      <c r="F57" s="1074"/>
      <c r="G57" s="1074"/>
      <c r="H57" s="1074"/>
      <c r="I57" s="1074"/>
      <c r="J57" s="1074"/>
      <c r="K57" s="1075"/>
      <c r="M57" s="4493"/>
      <c r="N57" s="4494"/>
      <c r="O57" s="1697"/>
      <c r="P57" s="1698" t="s">
        <v>793</v>
      </c>
      <c r="Q57" s="303" t="s">
        <v>2146</v>
      </c>
      <c r="R57" s="304" t="s">
        <v>2146</v>
      </c>
      <c r="S57" s="304" t="s">
        <v>2146</v>
      </c>
      <c r="T57" s="305" t="s">
        <v>2146</v>
      </c>
      <c r="U57" s="305" t="s">
        <v>2146</v>
      </c>
      <c r="V57" s="305" t="s">
        <v>2146</v>
      </c>
      <c r="W57" s="305" t="s">
        <v>2146</v>
      </c>
      <c r="X57" s="305" t="s">
        <v>2146</v>
      </c>
      <c r="Y57" s="305" t="s">
        <v>2146</v>
      </c>
      <c r="Z57" s="305" t="s">
        <v>2146</v>
      </c>
      <c r="AA57" s="305" t="s">
        <v>2146</v>
      </c>
      <c r="AB57" s="442" t="s">
        <v>2146</v>
      </c>
    </row>
    <row r="58" spans="2:28" s="84" customFormat="1" ht="12" x14ac:dyDescent="0.2">
      <c r="B58" s="366"/>
      <c r="C58" s="367"/>
      <c r="D58" s="367"/>
      <c r="E58" s="367"/>
      <c r="F58" s="367"/>
      <c r="G58" s="367"/>
      <c r="H58" s="367"/>
      <c r="I58" s="367"/>
      <c r="J58" s="367"/>
      <c r="K58" s="368"/>
      <c r="M58" s="4489" t="s">
        <v>2205</v>
      </c>
      <c r="N58" s="4490"/>
      <c r="O58" s="1690" t="s">
        <v>802</v>
      </c>
      <c r="P58" s="1691" t="s">
        <v>791</v>
      </c>
      <c r="Q58" s="299" t="s">
        <v>2146</v>
      </c>
      <c r="R58" s="300" t="s">
        <v>2146</v>
      </c>
      <c r="S58" s="300" t="s">
        <v>2146</v>
      </c>
      <c r="T58" s="301" t="s">
        <v>2146</v>
      </c>
      <c r="U58" s="301" t="s">
        <v>2146</v>
      </c>
      <c r="V58" s="301" t="s">
        <v>2146</v>
      </c>
      <c r="W58" s="301" t="s">
        <v>2146</v>
      </c>
      <c r="X58" s="301" t="s">
        <v>2146</v>
      </c>
      <c r="Y58" s="301" t="s">
        <v>2146</v>
      </c>
      <c r="Z58" s="301" t="s">
        <v>2146</v>
      </c>
      <c r="AA58" s="301" t="s">
        <v>2146</v>
      </c>
      <c r="AB58" s="1306" t="s">
        <v>2146</v>
      </c>
    </row>
    <row r="59" spans="2:28" s="84" customFormat="1" ht="12" x14ac:dyDescent="0.2">
      <c r="B59" s="1000"/>
      <c r="C59" s="1001"/>
      <c r="D59" s="1001"/>
      <c r="E59" s="1001"/>
      <c r="F59" s="1001"/>
      <c r="G59" s="1001"/>
      <c r="H59" s="1001"/>
      <c r="I59" s="1001"/>
      <c r="J59" s="1001"/>
      <c r="K59" s="1002"/>
      <c r="M59" s="4491"/>
      <c r="N59" s="4492"/>
      <c r="O59" s="1692" t="s">
        <v>794</v>
      </c>
      <c r="P59" s="1693" t="s">
        <v>792</v>
      </c>
      <c r="Q59" s="302" t="s">
        <v>2146</v>
      </c>
      <c r="R59" s="277" t="s">
        <v>2146</v>
      </c>
      <c r="S59" s="277" t="s">
        <v>2146</v>
      </c>
      <c r="T59" s="278" t="s">
        <v>2146</v>
      </c>
      <c r="U59" s="278" t="s">
        <v>2146</v>
      </c>
      <c r="V59" s="278" t="s">
        <v>2146</v>
      </c>
      <c r="W59" s="278" t="s">
        <v>2146</v>
      </c>
      <c r="X59" s="278">
        <v>100</v>
      </c>
      <c r="Y59" s="278" t="s">
        <v>2146</v>
      </c>
      <c r="Z59" s="278" t="s">
        <v>2146</v>
      </c>
      <c r="AA59" s="278" t="s">
        <v>2146</v>
      </c>
      <c r="AB59" s="279" t="s">
        <v>2146</v>
      </c>
    </row>
    <row r="60" spans="2:28" s="84" customFormat="1" thickBot="1" x14ac:dyDescent="0.25">
      <c r="B60" s="1000"/>
      <c r="C60" s="1001"/>
      <c r="D60" s="1001"/>
      <c r="E60" s="1001"/>
      <c r="F60" s="1001"/>
      <c r="G60" s="1001"/>
      <c r="H60" s="1001"/>
      <c r="I60" s="1001"/>
      <c r="J60" s="1001"/>
      <c r="K60" s="1002"/>
      <c r="M60" s="4491"/>
      <c r="N60" s="4492"/>
      <c r="O60" s="1694"/>
      <c r="P60" s="1693" t="s">
        <v>793</v>
      </c>
      <c r="Q60" s="303" t="s">
        <v>2146</v>
      </c>
      <c r="R60" s="304" t="s">
        <v>2146</v>
      </c>
      <c r="S60" s="304" t="s">
        <v>2146</v>
      </c>
      <c r="T60" s="305" t="s">
        <v>2146</v>
      </c>
      <c r="U60" s="305" t="s">
        <v>2146</v>
      </c>
      <c r="V60" s="305" t="s">
        <v>2146</v>
      </c>
      <c r="W60" s="305" t="s">
        <v>2146</v>
      </c>
      <c r="X60" s="305">
        <v>100</v>
      </c>
      <c r="Y60" s="305" t="s">
        <v>2146</v>
      </c>
      <c r="Z60" s="305" t="s">
        <v>2146</v>
      </c>
      <c r="AA60" s="305" t="s">
        <v>2146</v>
      </c>
      <c r="AB60" s="442" t="s">
        <v>2146</v>
      </c>
    </row>
    <row r="61" spans="2:28" s="84" customFormat="1" ht="13.5" x14ac:dyDescent="0.2">
      <c r="B61" s="1000"/>
      <c r="C61" s="1001"/>
      <c r="D61" s="1001"/>
      <c r="E61" s="1001"/>
      <c r="F61" s="1001"/>
      <c r="G61" s="1001"/>
      <c r="H61" s="1001"/>
      <c r="I61" s="1001"/>
      <c r="J61" s="1001"/>
      <c r="K61" s="1002"/>
      <c r="M61" s="4491"/>
      <c r="N61" s="4492"/>
      <c r="O61" s="1695" t="s">
        <v>2026</v>
      </c>
      <c r="P61" s="1691" t="s">
        <v>791</v>
      </c>
      <c r="Q61" s="1307" t="s">
        <v>2146</v>
      </c>
      <c r="R61" s="1308" t="s">
        <v>2146</v>
      </c>
      <c r="S61" s="1308" t="s">
        <v>2146</v>
      </c>
      <c r="T61" s="1309" t="s">
        <v>2146</v>
      </c>
      <c r="U61" s="1309" t="s">
        <v>2146</v>
      </c>
      <c r="V61" s="1309" t="s">
        <v>2146</v>
      </c>
      <c r="W61" s="1309" t="s">
        <v>2146</v>
      </c>
      <c r="X61" s="1309" t="s">
        <v>2146</v>
      </c>
      <c r="Y61" s="1309" t="s">
        <v>2146</v>
      </c>
      <c r="Z61" s="1309" t="s">
        <v>2146</v>
      </c>
      <c r="AA61" s="1309" t="s">
        <v>2146</v>
      </c>
      <c r="AB61" s="1310" t="s">
        <v>2146</v>
      </c>
    </row>
    <row r="62" spans="2:28" s="84" customFormat="1" ht="12" x14ac:dyDescent="0.2">
      <c r="B62" s="1003"/>
      <c r="C62" s="1004"/>
      <c r="D62" s="1004"/>
      <c r="E62" s="1004"/>
      <c r="F62" s="1004"/>
      <c r="G62" s="1004"/>
      <c r="H62" s="1004"/>
      <c r="I62" s="1004"/>
      <c r="J62" s="1004"/>
      <c r="K62" s="1005"/>
      <c r="M62" s="4491"/>
      <c r="N62" s="4492"/>
      <c r="O62" s="1696"/>
      <c r="P62" s="1693" t="s">
        <v>792</v>
      </c>
      <c r="Q62" s="302" t="s">
        <v>2146</v>
      </c>
      <c r="R62" s="277" t="s">
        <v>2146</v>
      </c>
      <c r="S62" s="277" t="s">
        <v>2146</v>
      </c>
      <c r="T62" s="278" t="s">
        <v>2146</v>
      </c>
      <c r="U62" s="278" t="s">
        <v>2146</v>
      </c>
      <c r="V62" s="278" t="s">
        <v>2146</v>
      </c>
      <c r="W62" s="278" t="s">
        <v>2146</v>
      </c>
      <c r="X62" s="278" t="s">
        <v>2147</v>
      </c>
      <c r="Y62" s="278" t="s">
        <v>2146</v>
      </c>
      <c r="Z62" s="278" t="s">
        <v>2146</v>
      </c>
      <c r="AA62" s="278" t="s">
        <v>2146</v>
      </c>
      <c r="AB62" s="279" t="s">
        <v>2146</v>
      </c>
    </row>
    <row r="63" spans="2:28" s="84" customFormat="1" thickBot="1" x14ac:dyDescent="0.25">
      <c r="B63" s="1006"/>
      <c r="C63" s="1007"/>
      <c r="D63" s="1007"/>
      <c r="E63" s="1007"/>
      <c r="F63" s="1007"/>
      <c r="G63" s="1007"/>
      <c r="H63" s="1007"/>
      <c r="I63" s="1007"/>
      <c r="J63" s="1007"/>
      <c r="K63" s="1008"/>
      <c r="M63" s="4493"/>
      <c r="N63" s="4494"/>
      <c r="O63" s="1697"/>
      <c r="P63" s="1698" t="s">
        <v>793</v>
      </c>
      <c r="Q63" s="303" t="s">
        <v>2146</v>
      </c>
      <c r="R63" s="304" t="s">
        <v>2146</v>
      </c>
      <c r="S63" s="304" t="s">
        <v>2146</v>
      </c>
      <c r="T63" s="305" t="s">
        <v>2146</v>
      </c>
      <c r="U63" s="305" t="s">
        <v>2146</v>
      </c>
      <c r="V63" s="305" t="s">
        <v>2146</v>
      </c>
      <c r="W63" s="305" t="s">
        <v>2146</v>
      </c>
      <c r="X63" s="305" t="s">
        <v>2146</v>
      </c>
      <c r="Y63" s="305" t="s">
        <v>2146</v>
      </c>
      <c r="Z63" s="305" t="s">
        <v>2146</v>
      </c>
      <c r="AA63" s="305" t="s">
        <v>2146</v>
      </c>
      <c r="AB63" s="442" t="s">
        <v>2146</v>
      </c>
    </row>
    <row r="64" spans="2:28" s="84" customFormat="1" ht="39" customHeight="1" thickBot="1" x14ac:dyDescent="0.25">
      <c r="B64" s="4483" t="s">
        <v>2207</v>
      </c>
      <c r="C64" s="4484"/>
      <c r="D64" s="4484"/>
      <c r="E64" s="4484"/>
      <c r="F64" s="4484"/>
      <c r="G64" s="4484"/>
      <c r="H64" s="4484"/>
      <c r="I64" s="4484"/>
      <c r="J64" s="4484"/>
      <c r="K64" s="4485"/>
      <c r="M64" s="83"/>
      <c r="N64" s="83"/>
      <c r="O64" s="83"/>
      <c r="P64" s="83"/>
      <c r="Q64" s="83"/>
      <c r="R64" s="83"/>
      <c r="S64" s="83"/>
      <c r="T64" s="83"/>
      <c r="U64" s="83"/>
      <c r="V64" s="83"/>
      <c r="W64" s="83"/>
      <c r="X64" s="83"/>
      <c r="Y64" s="83"/>
      <c r="Z64" s="83"/>
      <c r="AA64" s="83"/>
      <c r="AB64" s="83"/>
    </row>
    <row r="65" spans="2:28" s="84" customFormat="1" x14ac:dyDescent="0.2">
      <c r="B65" s="514"/>
      <c r="C65" s="514"/>
      <c r="D65" s="514"/>
      <c r="E65" s="514"/>
      <c r="F65" s="514"/>
      <c r="G65" s="514"/>
      <c r="H65" s="514"/>
      <c r="I65" s="514"/>
      <c r="J65" s="514"/>
      <c r="K65" s="514"/>
      <c r="M65" s="83"/>
      <c r="N65" s="83"/>
      <c r="O65" s="83"/>
      <c r="P65" s="83"/>
      <c r="Q65" s="83"/>
      <c r="R65" s="83"/>
      <c r="S65" s="83"/>
      <c r="T65" s="83"/>
      <c r="U65" s="83"/>
      <c r="V65" s="83"/>
      <c r="W65" s="83"/>
      <c r="X65" s="83"/>
      <c r="Y65" s="83"/>
      <c r="Z65" s="83"/>
      <c r="AA65" s="83"/>
      <c r="AB65" s="83"/>
    </row>
    <row r="66" spans="2:28" s="84" customFormat="1" x14ac:dyDescent="0.2">
      <c r="M66" s="83"/>
      <c r="N66" s="83"/>
      <c r="O66" s="83"/>
      <c r="P66" s="83"/>
      <c r="Q66" s="83"/>
      <c r="R66" s="83"/>
      <c r="S66" s="83"/>
      <c r="T66" s="83"/>
      <c r="U66" s="83"/>
      <c r="V66" s="83"/>
      <c r="W66" s="83"/>
      <c r="X66" s="83"/>
      <c r="Y66" s="83"/>
      <c r="Z66" s="83"/>
      <c r="AA66" s="83"/>
      <c r="AB66" s="83"/>
    </row>
    <row r="67" spans="2:28" x14ac:dyDescent="0.2">
      <c r="B67" s="84"/>
      <c r="C67" s="84"/>
      <c r="D67" s="84"/>
      <c r="E67" s="84"/>
      <c r="F67" s="84"/>
      <c r="G67" s="84"/>
      <c r="H67" s="84"/>
      <c r="I67" s="84"/>
      <c r="J67" s="84"/>
      <c r="K67" s="84"/>
    </row>
    <row r="68" spans="2:28" x14ac:dyDescent="0.2">
      <c r="B68" s="84"/>
      <c r="C68" s="84"/>
      <c r="D68" s="84"/>
      <c r="E68" s="84"/>
      <c r="F68" s="84"/>
      <c r="G68" s="84"/>
      <c r="H68" s="84"/>
      <c r="I68" s="84"/>
      <c r="J68" s="84"/>
      <c r="K68" s="84"/>
    </row>
    <row r="77" spans="2:28" ht="12.75" customHeight="1" x14ac:dyDescent="0.2"/>
  </sheetData>
  <mergeCells count="8">
    <mergeCell ref="B64:K64"/>
    <mergeCell ref="N28:N33"/>
    <mergeCell ref="N22:N27"/>
    <mergeCell ref="N34:N39"/>
    <mergeCell ref="M40:N45"/>
    <mergeCell ref="M46:N51"/>
    <mergeCell ref="M52:N57"/>
    <mergeCell ref="M58:N63"/>
  </mergeCells>
  <dataValidations count="1">
    <dataValidation allowBlank="1" showInputMessage="1" showErrorMessage="1" sqref="C55:F56 G55:K55 M34:O34 M40 C65:K65545 N10 M6 M9:M10 O13:O15 O46 O19:O21 M22:O22 O25 O40 O43 C49:K50 C1:K46 W6:AB6 M16:O16 O6:O10 L1:L1048576 AC6:JB65541 O49 M46 M1:JB5 P40:AB63 O31 M52 O37 M28:O28 O61 O52 O55 M64:AB65523 M58 O58 B1:B65545 T6:V21 T22:X39 W7:X21 P6:S39 Y10:AB39"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38.5703125" style="83" bestFit="1" customWidth="1"/>
    <col min="3" max="12" width="10.85546875" style="83" customWidth="1"/>
    <col min="13" max="13" width="12.7109375" style="83" customWidth="1"/>
    <col min="14" max="17" width="10.85546875" style="83" customWidth="1"/>
    <col min="18" max="18" width="12.7109375" style="83" customWidth="1"/>
    <col min="19" max="20" width="10.85546875" style="83"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830</v>
      </c>
      <c r="R1" s="2"/>
      <c r="X1" s="2"/>
      <c r="Y1" s="2"/>
      <c r="Z1" s="14" t="s">
        <v>2521</v>
      </c>
    </row>
    <row r="2" spans="1:26" ht="17.25" customHeight="1" x14ac:dyDescent="0.2">
      <c r="B2" s="3" t="s">
        <v>831</v>
      </c>
      <c r="R2" s="2"/>
      <c r="X2" s="2"/>
      <c r="Y2" s="2"/>
      <c r="Z2" s="14" t="s">
        <v>2522</v>
      </c>
    </row>
    <row r="3" spans="1:26" ht="15.75" customHeight="1" x14ac:dyDescent="0.2">
      <c r="B3" s="3" t="s">
        <v>62</v>
      </c>
      <c r="R3" s="2"/>
      <c r="X3" s="2"/>
      <c r="Y3" s="2"/>
      <c r="Z3" s="14" t="s">
        <v>2144</v>
      </c>
    </row>
    <row r="4" spans="1:26" ht="15.75" customHeight="1" thickBot="1" x14ac:dyDescent="0.25">
      <c r="B4" s="2452" t="s">
        <v>64</v>
      </c>
      <c r="R4" s="2"/>
    </row>
    <row r="5" spans="1:26" ht="24" x14ac:dyDescent="0.2">
      <c r="B5" s="316" t="s">
        <v>418</v>
      </c>
      <c r="C5" s="202" t="s">
        <v>832</v>
      </c>
      <c r="D5" s="202"/>
      <c r="E5" s="202"/>
      <c r="F5" s="317"/>
      <c r="G5" s="202"/>
      <c r="H5" s="202"/>
      <c r="I5" s="202"/>
      <c r="J5" s="202"/>
      <c r="K5" s="202"/>
      <c r="L5" s="202"/>
      <c r="M5" s="202"/>
      <c r="N5" s="202"/>
      <c r="O5" s="202"/>
      <c r="P5" s="202"/>
      <c r="Q5" s="202"/>
      <c r="R5" s="202"/>
      <c r="S5" s="202"/>
      <c r="T5" s="202"/>
      <c r="U5" s="318" t="s">
        <v>2092</v>
      </c>
      <c r="V5" s="202"/>
      <c r="W5" s="181"/>
      <c r="X5" s="319" t="s">
        <v>124</v>
      </c>
      <c r="Y5" s="202"/>
      <c r="Z5" s="181"/>
    </row>
    <row r="6" spans="1:26" s="84" customFormat="1" ht="48" x14ac:dyDescent="0.2">
      <c r="B6" s="320" t="s">
        <v>422</v>
      </c>
      <c r="C6" s="321" t="s">
        <v>833</v>
      </c>
      <c r="D6" s="322" t="s">
        <v>834</v>
      </c>
      <c r="E6" s="322" t="s">
        <v>835</v>
      </c>
      <c r="F6" s="323" t="s">
        <v>836</v>
      </c>
      <c r="G6" s="324"/>
      <c r="H6" s="324"/>
      <c r="I6" s="324"/>
      <c r="J6" s="324"/>
      <c r="K6" s="324"/>
      <c r="L6" s="324"/>
      <c r="M6" s="324"/>
      <c r="N6" s="324"/>
      <c r="O6" s="324"/>
      <c r="P6" s="324"/>
      <c r="Q6" s="324"/>
      <c r="R6" s="433" t="s">
        <v>837</v>
      </c>
      <c r="S6" s="325" t="s">
        <v>838</v>
      </c>
      <c r="T6" s="325" t="s">
        <v>839</v>
      </c>
      <c r="U6" s="326" t="s">
        <v>840</v>
      </c>
      <c r="V6" s="327"/>
      <c r="W6" s="328"/>
      <c r="X6" s="329" t="s">
        <v>68</v>
      </c>
      <c r="Y6" s="330"/>
      <c r="Z6" s="331"/>
    </row>
    <row r="7" spans="1:26" s="84" customFormat="1" ht="12.75" customHeight="1" x14ac:dyDescent="0.2">
      <c r="B7" s="332"/>
      <c r="C7" s="321"/>
      <c r="D7" s="321"/>
      <c r="E7" s="321"/>
      <c r="F7" s="1579"/>
      <c r="G7" s="1579"/>
      <c r="H7" s="1579"/>
      <c r="I7" s="1583"/>
      <c r="J7" s="1583"/>
      <c r="K7" s="1583"/>
      <c r="L7" s="1583"/>
      <c r="M7" s="1581"/>
      <c r="N7" s="1628"/>
      <c r="O7" s="1628"/>
      <c r="P7" s="1628"/>
      <c r="Q7" s="1577"/>
      <c r="R7" s="333"/>
      <c r="S7" s="260" t="s">
        <v>841</v>
      </c>
      <c r="T7" s="260" t="s">
        <v>842</v>
      </c>
      <c r="U7" s="334" t="s">
        <v>843</v>
      </c>
      <c r="V7" s="327" t="s">
        <v>844</v>
      </c>
      <c r="W7" s="328"/>
      <c r="X7" s="334" t="s">
        <v>843</v>
      </c>
      <c r="Y7" s="335" t="s">
        <v>844</v>
      </c>
      <c r="Z7" s="331"/>
    </row>
    <row r="8" spans="1:26" s="84" customFormat="1" ht="84.95" customHeight="1" x14ac:dyDescent="0.2">
      <c r="B8" s="336"/>
      <c r="C8" s="221" t="s">
        <v>845</v>
      </c>
      <c r="D8" s="9" t="s">
        <v>846</v>
      </c>
      <c r="E8" s="9" t="s">
        <v>847</v>
      </c>
      <c r="F8" s="1630" t="s">
        <v>779</v>
      </c>
      <c r="G8" s="1630" t="s">
        <v>848</v>
      </c>
      <c r="H8" s="1630" t="s">
        <v>781</v>
      </c>
      <c r="I8" s="1815" t="s">
        <v>782</v>
      </c>
      <c r="J8" s="1815" t="s">
        <v>783</v>
      </c>
      <c r="K8" s="1815" t="s">
        <v>784</v>
      </c>
      <c r="L8" s="1815" t="s">
        <v>785</v>
      </c>
      <c r="M8" s="1631" t="s">
        <v>849</v>
      </c>
      <c r="N8" s="1632" t="s">
        <v>787</v>
      </c>
      <c r="O8" s="1632" t="s">
        <v>788</v>
      </c>
      <c r="P8" s="1632" t="s">
        <v>850</v>
      </c>
      <c r="Q8" s="1631" t="s">
        <v>851</v>
      </c>
      <c r="R8" s="321"/>
      <c r="S8" s="337" t="s">
        <v>852</v>
      </c>
      <c r="T8" s="338" t="s">
        <v>853</v>
      </c>
      <c r="U8" s="339"/>
      <c r="V8" s="1626" t="s">
        <v>854</v>
      </c>
      <c r="W8" s="1627" t="s">
        <v>855</v>
      </c>
      <c r="X8" s="339"/>
      <c r="Y8" s="1626" t="s">
        <v>854</v>
      </c>
      <c r="Z8" s="1627" t="s">
        <v>855</v>
      </c>
    </row>
    <row r="9" spans="1:26" s="84" customFormat="1" ht="26.25" thickBot="1" x14ac:dyDescent="0.25">
      <c r="A9" s="83"/>
      <c r="B9" s="340"/>
      <c r="C9" s="222"/>
      <c r="D9" s="341"/>
      <c r="E9" s="341"/>
      <c r="F9" s="1580"/>
      <c r="G9" s="1580"/>
      <c r="H9" s="1580"/>
      <c r="I9" s="1584"/>
      <c r="J9" s="1584"/>
      <c r="K9" s="1584"/>
      <c r="L9" s="1584"/>
      <c r="M9" s="1582"/>
      <c r="N9" s="1629"/>
      <c r="O9" s="1629"/>
      <c r="P9" s="1629"/>
      <c r="Q9" s="1578"/>
      <c r="R9" s="342" t="s">
        <v>856</v>
      </c>
      <c r="S9" s="266" t="s">
        <v>856</v>
      </c>
      <c r="T9" s="266" t="s">
        <v>856</v>
      </c>
      <c r="U9" s="343" t="s">
        <v>857</v>
      </c>
      <c r="V9" s="344" t="s">
        <v>858</v>
      </c>
      <c r="W9" s="345"/>
      <c r="X9" s="346" t="s">
        <v>73</v>
      </c>
      <c r="Y9" s="344"/>
      <c r="Z9" s="345"/>
    </row>
    <row r="10" spans="1:26" ht="18" customHeight="1" thickTop="1" x14ac:dyDescent="0.2">
      <c r="B10" s="347" t="s">
        <v>799</v>
      </c>
      <c r="C10" s="3489">
        <f>C15</f>
        <v>28393.973999999998</v>
      </c>
      <c r="D10" s="3490"/>
      <c r="E10" s="3491"/>
      <c r="F10" s="3478">
        <f>F15</f>
        <v>29546066.481926888</v>
      </c>
      <c r="G10" s="3478" t="str">
        <f t="shared" ref="G10:R10" si="0">G15</f>
        <v>NO</v>
      </c>
      <c r="H10" s="3478">
        <f t="shared" si="0"/>
        <v>8902821.4220214505</v>
      </c>
      <c r="I10" s="3478">
        <f t="shared" si="0"/>
        <v>5857542.5269131744</v>
      </c>
      <c r="J10" s="3478" t="str">
        <f t="shared" si="0"/>
        <v>NO</v>
      </c>
      <c r="K10" s="3478">
        <f t="shared" si="0"/>
        <v>75580446.192940608</v>
      </c>
      <c r="L10" s="3478">
        <f t="shared" si="0"/>
        <v>8988274.947380295</v>
      </c>
      <c r="M10" s="3478">
        <f t="shared" si="0"/>
        <v>1197649109.927628</v>
      </c>
      <c r="N10" s="3478">
        <f t="shared" si="0"/>
        <v>8988274.947380295</v>
      </c>
      <c r="O10" s="3478" t="str">
        <f t="shared" si="0"/>
        <v>NO</v>
      </c>
      <c r="P10" s="3478" t="str">
        <f t="shared" si="0"/>
        <v>NO</v>
      </c>
      <c r="Q10" s="3478" t="str">
        <f t="shared" si="0"/>
        <v>NO</v>
      </c>
      <c r="R10" s="3478">
        <f t="shared" si="0"/>
        <v>1335512536.4461908</v>
      </c>
      <c r="S10" s="2651"/>
      <c r="T10" s="2652"/>
      <c r="U10" s="3456">
        <f>IF(SUM(X10)=0,"NA",X10*1000/C10)</f>
        <v>2.8900263008907044E-2</v>
      </c>
      <c r="V10" s="3448"/>
      <c r="W10" s="3449"/>
      <c r="X10" s="3311">
        <f t="shared" ref="X10" si="1">X15</f>
        <v>0.82059331646806832</v>
      </c>
      <c r="Y10" s="3363"/>
      <c r="Z10" s="3450"/>
    </row>
    <row r="11" spans="1:26" ht="18" customHeight="1" x14ac:dyDescent="0.2">
      <c r="B11" s="1741" t="s">
        <v>695</v>
      </c>
      <c r="C11" s="3492"/>
      <c r="D11" s="3492"/>
      <c r="E11" s="3492"/>
      <c r="F11" s="2653"/>
      <c r="G11" s="2653"/>
      <c r="H11" s="2653"/>
      <c r="I11" s="2653"/>
      <c r="J11" s="2653"/>
      <c r="K11" s="2653"/>
      <c r="L11" s="2653"/>
      <c r="M11" s="2653"/>
      <c r="N11" s="2653"/>
      <c r="O11" s="2653"/>
      <c r="P11" s="2653"/>
      <c r="Q11" s="2653"/>
      <c r="R11" s="2654"/>
      <c r="S11" s="2655"/>
      <c r="T11" s="2656"/>
      <c r="U11" s="3451"/>
      <c r="V11" s="3452"/>
      <c r="W11" s="3453"/>
      <c r="X11" s="3312"/>
      <c r="Y11" s="3454"/>
      <c r="Z11" s="3455"/>
    </row>
    <row r="12" spans="1:26" ht="18" customHeight="1" x14ac:dyDescent="0.2">
      <c r="B12" s="1736" t="s">
        <v>703</v>
      </c>
      <c r="C12" s="3307"/>
      <c r="D12" s="3307"/>
      <c r="E12" s="3314"/>
      <c r="F12" s="3479"/>
      <c r="G12" s="3479"/>
      <c r="H12" s="3479"/>
      <c r="I12" s="3479"/>
      <c r="J12" s="3479"/>
      <c r="K12" s="3479"/>
      <c r="L12" s="3479"/>
      <c r="M12" s="3479"/>
      <c r="N12" s="3479"/>
      <c r="O12" s="3479"/>
      <c r="P12" s="3479"/>
      <c r="Q12" s="3479"/>
      <c r="R12" s="2649"/>
      <c r="S12" s="2657"/>
      <c r="T12" s="2658"/>
      <c r="U12" s="3456"/>
      <c r="V12" s="3454"/>
      <c r="W12" s="3455"/>
      <c r="X12" s="3310"/>
      <c r="Y12" s="3173"/>
      <c r="Z12" s="3457"/>
    </row>
    <row r="13" spans="1:26" ht="18" customHeight="1" x14ac:dyDescent="0.2">
      <c r="B13" s="1736" t="s">
        <v>704</v>
      </c>
      <c r="C13" s="3307"/>
      <c r="D13" s="3307"/>
      <c r="E13" s="3314"/>
      <c r="F13" s="3479"/>
      <c r="G13" s="3479"/>
      <c r="H13" s="3479"/>
      <c r="I13" s="3479"/>
      <c r="J13" s="3479"/>
      <c r="K13" s="3479"/>
      <c r="L13" s="3479"/>
      <c r="M13" s="3479"/>
      <c r="N13" s="3479"/>
      <c r="O13" s="3479"/>
      <c r="P13" s="3479"/>
      <c r="Q13" s="3479"/>
      <c r="R13" s="2649"/>
      <c r="S13" s="2657"/>
      <c r="T13" s="2658"/>
      <c r="U13" s="3456"/>
      <c r="V13" s="3454"/>
      <c r="W13" s="3455"/>
      <c r="X13" s="3310"/>
      <c r="Y13" s="3173"/>
      <c r="Z13" s="3457"/>
    </row>
    <row r="14" spans="1:26" ht="18" customHeight="1" x14ac:dyDescent="0.2">
      <c r="B14" s="1741" t="s">
        <v>859</v>
      </c>
      <c r="C14" s="3493"/>
      <c r="D14" s="3493"/>
      <c r="E14" s="3493"/>
      <c r="F14" s="3269"/>
      <c r="G14" s="3269"/>
      <c r="H14" s="3269"/>
      <c r="I14" s="3269"/>
      <c r="J14" s="3269"/>
      <c r="K14" s="3269"/>
      <c r="L14" s="3269"/>
      <c r="M14" s="3269"/>
      <c r="N14" s="3269"/>
      <c r="O14" s="3269"/>
      <c r="P14" s="3269"/>
      <c r="Q14" s="3269"/>
      <c r="R14" s="3480"/>
      <c r="S14" s="2657"/>
      <c r="T14" s="2658"/>
      <c r="U14" s="3312"/>
      <c r="V14" s="3454"/>
      <c r="W14" s="3455"/>
      <c r="X14" s="3313"/>
      <c r="Y14" s="3173"/>
      <c r="Z14" s="3457"/>
    </row>
    <row r="15" spans="1:26" ht="18" customHeight="1" x14ac:dyDescent="0.2">
      <c r="B15" s="350" t="s">
        <v>805</v>
      </c>
      <c r="C15" s="3314">
        <f>C20</f>
        <v>28393.973999999998</v>
      </c>
      <c r="D15" s="3493"/>
      <c r="E15" s="3493"/>
      <c r="F15" s="2649">
        <f>F20</f>
        <v>29546066.481926888</v>
      </c>
      <c r="G15" s="2649" t="str">
        <f t="shared" ref="G15:R15" si="2">G20</f>
        <v>NO</v>
      </c>
      <c r="H15" s="2649">
        <f t="shared" si="2"/>
        <v>8902821.4220214505</v>
      </c>
      <c r="I15" s="2649">
        <f t="shared" si="2"/>
        <v>5857542.5269131744</v>
      </c>
      <c r="J15" s="2649" t="str">
        <f t="shared" si="2"/>
        <v>NO</v>
      </c>
      <c r="K15" s="2649">
        <f t="shared" si="2"/>
        <v>75580446.192940608</v>
      </c>
      <c r="L15" s="2649">
        <f t="shared" si="2"/>
        <v>8988274.947380295</v>
      </c>
      <c r="M15" s="2649">
        <f t="shared" si="2"/>
        <v>1197649109.927628</v>
      </c>
      <c r="N15" s="2649">
        <f t="shared" si="2"/>
        <v>8988274.947380295</v>
      </c>
      <c r="O15" s="2649" t="str">
        <f t="shared" si="2"/>
        <v>NO</v>
      </c>
      <c r="P15" s="2649" t="str">
        <f t="shared" si="2"/>
        <v>NO</v>
      </c>
      <c r="Q15" s="2649" t="str">
        <f t="shared" si="2"/>
        <v>NO</v>
      </c>
      <c r="R15" s="2649">
        <f t="shared" si="2"/>
        <v>1335512536.4461908</v>
      </c>
      <c r="S15" s="2657"/>
      <c r="T15" s="2658"/>
      <c r="U15" s="3456">
        <f>IF(SUM(X15)=0,"NA",X15*1000/C15)</f>
        <v>2.8900263008907044E-2</v>
      </c>
      <c r="V15" s="3454"/>
      <c r="W15" s="3455"/>
      <c r="X15" s="3314">
        <f t="shared" ref="X15" si="3">X20</f>
        <v>0.82059331646806832</v>
      </c>
      <c r="Y15" s="3173"/>
      <c r="Z15" s="3457"/>
    </row>
    <row r="16" spans="1:26" ht="18" customHeight="1" x14ac:dyDescent="0.2">
      <c r="B16" s="1739" t="s">
        <v>860</v>
      </c>
      <c r="C16" s="3493"/>
      <c r="D16" s="3493"/>
      <c r="E16" s="3493"/>
      <c r="F16" s="3269"/>
      <c r="G16" s="3269"/>
      <c r="H16" s="3269"/>
      <c r="I16" s="3269"/>
      <c r="J16" s="3269"/>
      <c r="K16" s="3269"/>
      <c r="L16" s="3269"/>
      <c r="M16" s="3269"/>
      <c r="N16" s="3269"/>
      <c r="O16" s="3269"/>
      <c r="P16" s="3269"/>
      <c r="Q16" s="3269"/>
      <c r="R16" s="3480"/>
      <c r="S16" s="2657"/>
      <c r="T16" s="2658"/>
      <c r="U16" s="3312"/>
      <c r="V16" s="3454"/>
      <c r="W16" s="3455"/>
      <c r="X16" s="3313"/>
      <c r="Y16" s="3173"/>
      <c r="Z16" s="3457"/>
    </row>
    <row r="17" spans="2:26" ht="18" customHeight="1" x14ac:dyDescent="0.2">
      <c r="B17" s="1742" t="s">
        <v>807</v>
      </c>
      <c r="C17" s="3325" t="s">
        <v>2147</v>
      </c>
      <c r="D17" s="3325" t="s">
        <v>2147</v>
      </c>
      <c r="E17" s="3494" t="str">
        <f>'Table3.B(a)'!G17</f>
        <v>NA</v>
      </c>
      <c r="F17" s="3481" t="s">
        <v>2147</v>
      </c>
      <c r="G17" s="3481" t="s">
        <v>2147</v>
      </c>
      <c r="H17" s="3481" t="s">
        <v>2147</v>
      </c>
      <c r="I17" s="3481" t="s">
        <v>2147</v>
      </c>
      <c r="J17" s="3481" t="s">
        <v>2147</v>
      </c>
      <c r="K17" s="3481" t="s">
        <v>2147</v>
      </c>
      <c r="L17" s="3481" t="s">
        <v>2147</v>
      </c>
      <c r="M17" s="3481" t="s">
        <v>2147</v>
      </c>
      <c r="N17" s="3481" t="s">
        <v>2147</v>
      </c>
      <c r="O17" s="3481" t="s">
        <v>2147</v>
      </c>
      <c r="P17" s="3481" t="s">
        <v>2147</v>
      </c>
      <c r="Q17" s="3481" t="s">
        <v>2147</v>
      </c>
      <c r="R17" s="3482" t="str">
        <f>IF(SUM(F17:Q17)=0,"NA",SUM(F17:Q17))</f>
        <v>NA</v>
      </c>
      <c r="S17" s="2659"/>
      <c r="T17" s="2660"/>
      <c r="U17" s="3456" t="str">
        <f t="shared" ref="U17:U21" si="4">IF(SUM(X17)=0,"NA",X17*1000/C17)</f>
        <v>NA</v>
      </c>
      <c r="V17" s="3458"/>
      <c r="W17" s="3459"/>
      <c r="X17" s="3315" t="s">
        <v>2147</v>
      </c>
      <c r="Y17" s="3460"/>
      <c r="Z17" s="3461"/>
    </row>
    <row r="18" spans="2:26" ht="18" customHeight="1" x14ac:dyDescent="0.2">
      <c r="B18" s="1742" t="s">
        <v>808</v>
      </c>
      <c r="C18" s="3325" t="s">
        <v>2147</v>
      </c>
      <c r="D18" s="3325" t="s">
        <v>2147</v>
      </c>
      <c r="E18" s="3494" t="str">
        <f>'Table3.B(a)'!G18</f>
        <v>NA</v>
      </c>
      <c r="F18" s="3481" t="s">
        <v>2147</v>
      </c>
      <c r="G18" s="3481" t="s">
        <v>2147</v>
      </c>
      <c r="H18" s="3481" t="s">
        <v>2147</v>
      </c>
      <c r="I18" s="3481" t="s">
        <v>2147</v>
      </c>
      <c r="J18" s="3481" t="s">
        <v>2147</v>
      </c>
      <c r="K18" s="3481" t="s">
        <v>2147</v>
      </c>
      <c r="L18" s="3481" t="s">
        <v>2147</v>
      </c>
      <c r="M18" s="3481" t="s">
        <v>2147</v>
      </c>
      <c r="N18" s="3481" t="s">
        <v>2147</v>
      </c>
      <c r="O18" s="3481" t="s">
        <v>2147</v>
      </c>
      <c r="P18" s="3481" t="s">
        <v>2147</v>
      </c>
      <c r="Q18" s="3481" t="s">
        <v>2147</v>
      </c>
      <c r="R18" s="3482" t="str">
        <f t="shared" ref="R18:R19" si="5">IF(SUM(F18:Q18)=0,"NA",SUM(F18:Q18))</f>
        <v>NA</v>
      </c>
      <c r="S18" s="2659"/>
      <c r="T18" s="2660"/>
      <c r="U18" s="3456" t="str">
        <f t="shared" si="4"/>
        <v>NA</v>
      </c>
      <c r="V18" s="3458"/>
      <c r="W18" s="3459"/>
      <c r="X18" s="3315" t="s">
        <v>2147</v>
      </c>
      <c r="Y18" s="3460"/>
      <c r="Z18" s="3461"/>
    </row>
    <row r="19" spans="2:26" ht="18" customHeight="1" x14ac:dyDescent="0.2">
      <c r="B19" s="1742" t="s">
        <v>809</v>
      </c>
      <c r="C19" s="3325" t="s">
        <v>2147</v>
      </c>
      <c r="D19" s="3325" t="s">
        <v>2147</v>
      </c>
      <c r="E19" s="3494" t="str">
        <f>'Table3.B(a)'!G19</f>
        <v>NA</v>
      </c>
      <c r="F19" s="3481" t="s">
        <v>2147</v>
      </c>
      <c r="G19" s="3481" t="s">
        <v>2147</v>
      </c>
      <c r="H19" s="3481" t="s">
        <v>2147</v>
      </c>
      <c r="I19" s="3481" t="s">
        <v>2147</v>
      </c>
      <c r="J19" s="3481" t="s">
        <v>2147</v>
      </c>
      <c r="K19" s="3481" t="s">
        <v>2147</v>
      </c>
      <c r="L19" s="3481" t="s">
        <v>2147</v>
      </c>
      <c r="M19" s="3481" t="s">
        <v>2147</v>
      </c>
      <c r="N19" s="3481" t="s">
        <v>2147</v>
      </c>
      <c r="O19" s="3481" t="s">
        <v>2147</v>
      </c>
      <c r="P19" s="3481" t="s">
        <v>2147</v>
      </c>
      <c r="Q19" s="3481" t="s">
        <v>2147</v>
      </c>
      <c r="R19" s="3482" t="str">
        <f t="shared" si="5"/>
        <v>NA</v>
      </c>
      <c r="S19" s="2659"/>
      <c r="T19" s="2660"/>
      <c r="U19" s="3456" t="str">
        <f t="shared" si="4"/>
        <v>NA</v>
      </c>
      <c r="V19" s="3458"/>
      <c r="W19" s="3459"/>
      <c r="X19" s="3315" t="s">
        <v>2147</v>
      </c>
      <c r="Y19" s="3460"/>
      <c r="Z19" s="3461"/>
    </row>
    <row r="20" spans="2:26" ht="18" customHeight="1" x14ac:dyDescent="0.2">
      <c r="B20" s="1740" t="s">
        <v>810</v>
      </c>
      <c r="C20" s="3314">
        <f>IF(SUM(C21:C23)=0,"NO",SUM(C21:C23))</f>
        <v>28393.973999999998</v>
      </c>
      <c r="D20" s="3492"/>
      <c r="E20" s="3492"/>
      <c r="F20" s="2649">
        <f>IF(SUM(F21:F23)=0,"NO",SUM(F21:F23))</f>
        <v>29546066.481926888</v>
      </c>
      <c r="G20" s="2649" t="str">
        <f t="shared" ref="G20:Q20" si="6">IF(SUM(G21:G23)=0,"NO",SUM(G21:G23))</f>
        <v>NO</v>
      </c>
      <c r="H20" s="2649">
        <f t="shared" si="6"/>
        <v>8902821.4220214505</v>
      </c>
      <c r="I20" s="2649">
        <f t="shared" si="6"/>
        <v>5857542.5269131744</v>
      </c>
      <c r="J20" s="2649" t="str">
        <f t="shared" si="6"/>
        <v>NO</v>
      </c>
      <c r="K20" s="2649">
        <f t="shared" si="6"/>
        <v>75580446.192940608</v>
      </c>
      <c r="L20" s="2649">
        <f t="shared" si="6"/>
        <v>8988274.947380295</v>
      </c>
      <c r="M20" s="2649">
        <f t="shared" si="6"/>
        <v>1197649109.927628</v>
      </c>
      <c r="N20" s="2649">
        <f t="shared" si="6"/>
        <v>8988274.947380295</v>
      </c>
      <c r="O20" s="2649" t="str">
        <f t="shared" si="6"/>
        <v>NO</v>
      </c>
      <c r="P20" s="2649" t="str">
        <f t="shared" si="6"/>
        <v>NO</v>
      </c>
      <c r="Q20" s="2649" t="str">
        <f t="shared" si="6"/>
        <v>NO</v>
      </c>
      <c r="R20" s="3482">
        <f>IF(SUM(F20:Q20)=0,"NO",SUM(F20:Q20))</f>
        <v>1335512536.4461908</v>
      </c>
      <c r="S20" s="2657"/>
      <c r="T20" s="2658"/>
      <c r="U20" s="3456">
        <f t="shared" si="4"/>
        <v>2.8900263008907044E-2</v>
      </c>
      <c r="V20" s="3454"/>
      <c r="W20" s="3455"/>
      <c r="X20" s="3314">
        <f t="shared" ref="X20" si="7">IF(SUM(X21:X23)=0,"NO",SUM(X21:X23))</f>
        <v>0.82059331646806832</v>
      </c>
      <c r="Y20" s="3173"/>
      <c r="Z20" s="3457"/>
    </row>
    <row r="21" spans="2:26" ht="18" customHeight="1" x14ac:dyDescent="0.2">
      <c r="B21" s="2647" t="s">
        <v>2196</v>
      </c>
      <c r="C21" s="3495">
        <f>Table3.A!C21</f>
        <v>2788.4830000000002</v>
      </c>
      <c r="D21" s="3307">
        <v>127.42236752965211</v>
      </c>
      <c r="E21" s="3494">
        <f>'Table3.B(a)'!G21</f>
        <v>465.47205591202101</v>
      </c>
      <c r="F21" s="3479">
        <v>28415529.062265899</v>
      </c>
      <c r="G21" s="3479" t="s">
        <v>2146</v>
      </c>
      <c r="H21" s="3479">
        <v>8902821.4220214505</v>
      </c>
      <c r="I21" s="3479">
        <v>5857542.5269131744</v>
      </c>
      <c r="J21" s="3479" t="s">
        <v>2146</v>
      </c>
      <c r="K21" s="3479" t="s">
        <v>2153</v>
      </c>
      <c r="L21" s="3479" t="s">
        <v>2146</v>
      </c>
      <c r="M21" s="3479">
        <v>312139206.39188498</v>
      </c>
      <c r="N21" s="3479" t="s">
        <v>2146</v>
      </c>
      <c r="O21" s="3479" t="s">
        <v>2146</v>
      </c>
      <c r="P21" s="3479" t="s">
        <v>2146</v>
      </c>
      <c r="Q21" s="3479" t="s">
        <v>2146</v>
      </c>
      <c r="R21" s="3482">
        <f t="shared" ref="R21:R45" si="8">IF(SUM(F21:Q21)=0,"NO",SUM(F21:Q21))</f>
        <v>355315099.40308553</v>
      </c>
      <c r="S21" s="2657"/>
      <c r="T21" s="2658"/>
      <c r="U21" s="3456">
        <f t="shared" si="4"/>
        <v>1.6504869646236452E-2</v>
      </c>
      <c r="V21" s="3454"/>
      <c r="W21" s="3455"/>
      <c r="X21" s="3315">
        <v>4.6023548425746359E-2</v>
      </c>
      <c r="Y21" s="3173"/>
      <c r="Z21" s="3457"/>
    </row>
    <row r="22" spans="2:26" ht="18" customHeight="1" x14ac:dyDescent="0.2">
      <c r="B22" s="2647" t="s">
        <v>2197</v>
      </c>
      <c r="C22" s="3495">
        <f>Table3.A!C22</f>
        <v>24746.763999999999</v>
      </c>
      <c r="D22" s="3307">
        <v>35.782855799622467</v>
      </c>
      <c r="E22" s="3494">
        <f>'Table3.B(a)'!G22</f>
        <v>362.45016100070097</v>
      </c>
      <c r="F22" s="3483" t="s">
        <v>2146</v>
      </c>
      <c r="G22" s="3479" t="s">
        <v>2146</v>
      </c>
      <c r="H22" s="3483" t="s">
        <v>2146</v>
      </c>
      <c r="I22" s="3483" t="s">
        <v>2146</v>
      </c>
      <c r="J22" s="3483" t="s">
        <v>2146</v>
      </c>
      <c r="K22" s="3483" t="s">
        <v>2146</v>
      </c>
      <c r="L22" s="3483" t="s">
        <v>2146</v>
      </c>
      <c r="M22" s="3483">
        <v>885509903.535743</v>
      </c>
      <c r="N22" s="3483" t="s">
        <v>2146</v>
      </c>
      <c r="O22" s="3483" t="s">
        <v>2146</v>
      </c>
      <c r="P22" s="3483" t="s">
        <v>2146</v>
      </c>
      <c r="Q22" s="3483" t="s">
        <v>2146</v>
      </c>
      <c r="R22" s="3482">
        <f t="shared" si="8"/>
        <v>885509903.535743</v>
      </c>
      <c r="S22" s="2657"/>
      <c r="T22" s="2658"/>
      <c r="U22" s="3456" t="str">
        <f>IF(SUM(X22)=0,"NA",X22*1000/C22)</f>
        <v>NA</v>
      </c>
      <c r="V22" s="3454"/>
      <c r="W22" s="3455"/>
      <c r="X22" s="3315" t="s">
        <v>2147</v>
      </c>
      <c r="Y22" s="3173"/>
      <c r="Z22" s="3457"/>
    </row>
    <row r="23" spans="2:26" ht="18" customHeight="1" x14ac:dyDescent="0.2">
      <c r="B23" s="2647" t="s">
        <v>2198</v>
      </c>
      <c r="C23" s="3495">
        <f>Table3.A!C23</f>
        <v>858.72699999999998</v>
      </c>
      <c r="D23" s="3307">
        <v>73.140363852051294</v>
      </c>
      <c r="E23" s="3494">
        <f>'Table3.B(a)'!G23</f>
        <v>530.79689268128595</v>
      </c>
      <c r="F23" s="3483">
        <v>1130537.4196609899</v>
      </c>
      <c r="G23" s="3479" t="s">
        <v>2146</v>
      </c>
      <c r="H23" s="3483" t="s">
        <v>2146</v>
      </c>
      <c r="I23" s="3483" t="s">
        <v>2153</v>
      </c>
      <c r="J23" s="3483" t="s">
        <v>2153</v>
      </c>
      <c r="K23" s="3483">
        <v>75580446.192940608</v>
      </c>
      <c r="L23" s="3483">
        <v>8988274.947380295</v>
      </c>
      <c r="M23" s="3483" t="s">
        <v>2146</v>
      </c>
      <c r="N23" s="3483">
        <v>8988274.947380295</v>
      </c>
      <c r="O23" s="3483" t="s">
        <v>2146</v>
      </c>
      <c r="P23" s="3483" t="s">
        <v>2146</v>
      </c>
      <c r="Q23" s="3483" t="s">
        <v>2146</v>
      </c>
      <c r="R23" s="3482">
        <f t="shared" si="8"/>
        <v>94687533.507362172</v>
      </c>
      <c r="S23" s="2657"/>
      <c r="T23" s="2658"/>
      <c r="U23" s="3456">
        <f t="shared" ref="U23:U30" si="9">IF(SUM(X23)=0,"NA",X23*1000/C23)</f>
        <v>0.90199768732358709</v>
      </c>
      <c r="V23" s="3454"/>
      <c r="W23" s="3455"/>
      <c r="X23" s="3315">
        <v>0.77456976804232192</v>
      </c>
      <c r="Y23" s="3173"/>
      <c r="Z23" s="3457"/>
    </row>
    <row r="24" spans="2:26" ht="18" customHeight="1" x14ac:dyDescent="0.2">
      <c r="B24" s="351" t="s">
        <v>811</v>
      </c>
      <c r="C24" s="3314">
        <f>C25</f>
        <v>91026</v>
      </c>
      <c r="D24" s="3492"/>
      <c r="E24" s="3492"/>
      <c r="F24" s="2649" t="str">
        <f>F25</f>
        <v>NO</v>
      </c>
      <c r="G24" s="2649" t="str">
        <f t="shared" ref="G24:Q25" si="10">G25</f>
        <v>NO</v>
      </c>
      <c r="H24" s="2649" t="str">
        <f t="shared" si="10"/>
        <v>NO</v>
      </c>
      <c r="I24" s="2649" t="str">
        <f t="shared" si="10"/>
        <v>NO</v>
      </c>
      <c r="J24" s="2649" t="str">
        <f t="shared" si="10"/>
        <v>NO</v>
      </c>
      <c r="K24" s="2649" t="str">
        <f t="shared" si="10"/>
        <v>NO</v>
      </c>
      <c r="L24" s="2649" t="str">
        <f t="shared" si="10"/>
        <v>NO</v>
      </c>
      <c r="M24" s="2649">
        <f t="shared" si="10"/>
        <v>645503242.62876296</v>
      </c>
      <c r="N24" s="2649" t="str">
        <f t="shared" si="10"/>
        <v>NO</v>
      </c>
      <c r="O24" s="2649" t="str">
        <f t="shared" si="10"/>
        <v>NO</v>
      </c>
      <c r="P24" s="2649" t="str">
        <f t="shared" si="10"/>
        <v>NO</v>
      </c>
      <c r="Q24" s="2649" t="str">
        <f t="shared" si="10"/>
        <v>NO</v>
      </c>
      <c r="R24" s="3482">
        <f t="shared" si="8"/>
        <v>645503242.62876296</v>
      </c>
      <c r="S24" s="2657"/>
      <c r="T24" s="2658"/>
      <c r="U24" s="3456" t="str">
        <f t="shared" si="9"/>
        <v>NA</v>
      </c>
      <c r="V24" s="3454"/>
      <c r="W24" s="3455"/>
      <c r="X24" s="3314" t="str">
        <f t="shared" ref="X24:X25" si="11">X25</f>
        <v>NA</v>
      </c>
      <c r="Y24" s="3173"/>
      <c r="Z24" s="3457"/>
    </row>
    <row r="25" spans="2:26" ht="18" customHeight="1" x14ac:dyDescent="0.2">
      <c r="B25" s="350" t="s">
        <v>812</v>
      </c>
      <c r="C25" s="3314">
        <f>C26</f>
        <v>91026</v>
      </c>
      <c r="D25" s="3492"/>
      <c r="E25" s="3492"/>
      <c r="F25" s="2649" t="str">
        <f>F26</f>
        <v>NO</v>
      </c>
      <c r="G25" s="2649" t="str">
        <f t="shared" si="10"/>
        <v>NO</v>
      </c>
      <c r="H25" s="2649" t="str">
        <f t="shared" si="10"/>
        <v>NO</v>
      </c>
      <c r="I25" s="2649" t="str">
        <f t="shared" si="10"/>
        <v>NO</v>
      </c>
      <c r="J25" s="2649" t="str">
        <f t="shared" si="10"/>
        <v>NO</v>
      </c>
      <c r="K25" s="2649" t="str">
        <f t="shared" si="10"/>
        <v>NO</v>
      </c>
      <c r="L25" s="2649" t="str">
        <f t="shared" si="10"/>
        <v>NO</v>
      </c>
      <c r="M25" s="2649">
        <f t="shared" si="10"/>
        <v>645503242.62876296</v>
      </c>
      <c r="N25" s="2649" t="str">
        <f t="shared" si="10"/>
        <v>NO</v>
      </c>
      <c r="O25" s="2649" t="str">
        <f t="shared" si="10"/>
        <v>NO</v>
      </c>
      <c r="P25" s="2649" t="str">
        <f t="shared" si="10"/>
        <v>NO</v>
      </c>
      <c r="Q25" s="2649" t="str">
        <f t="shared" si="10"/>
        <v>NO</v>
      </c>
      <c r="R25" s="3482">
        <f t="shared" si="8"/>
        <v>645503242.62876296</v>
      </c>
      <c r="S25" s="2657"/>
      <c r="T25" s="2658"/>
      <c r="U25" s="3456" t="str">
        <f t="shared" si="9"/>
        <v>NA</v>
      </c>
      <c r="V25" s="3454"/>
      <c r="W25" s="3455"/>
      <c r="X25" s="3314" t="str">
        <f t="shared" si="11"/>
        <v>NA</v>
      </c>
      <c r="Y25" s="3173"/>
      <c r="Z25" s="3457"/>
    </row>
    <row r="26" spans="2:26" ht="18" customHeight="1" x14ac:dyDescent="0.2">
      <c r="B26" s="2642" t="s">
        <v>2201</v>
      </c>
      <c r="C26" s="3495">
        <f>Table3.A!C26</f>
        <v>91026</v>
      </c>
      <c r="D26" s="3307">
        <v>7.0914161078017566</v>
      </c>
      <c r="E26" s="3494">
        <f>'Table3.B(a)'!G26</f>
        <v>45.162588921229201</v>
      </c>
      <c r="F26" s="3483" t="s">
        <v>2146</v>
      </c>
      <c r="G26" s="3479" t="s">
        <v>2146</v>
      </c>
      <c r="H26" s="3483" t="s">
        <v>2146</v>
      </c>
      <c r="I26" s="3483" t="s">
        <v>2146</v>
      </c>
      <c r="J26" s="3483" t="s">
        <v>2146</v>
      </c>
      <c r="K26" s="3483" t="s">
        <v>2146</v>
      </c>
      <c r="L26" s="3483" t="s">
        <v>2146</v>
      </c>
      <c r="M26" s="3479">
        <v>645503242.62876296</v>
      </c>
      <c r="N26" s="3483" t="s">
        <v>2146</v>
      </c>
      <c r="O26" s="3483" t="s">
        <v>2146</v>
      </c>
      <c r="P26" s="3483" t="s">
        <v>2146</v>
      </c>
      <c r="Q26" s="3483" t="s">
        <v>2146</v>
      </c>
      <c r="R26" s="3482">
        <f t="shared" si="8"/>
        <v>645503242.62876296</v>
      </c>
      <c r="S26" s="2657"/>
      <c r="T26" s="2658"/>
      <c r="U26" s="3456" t="str">
        <f t="shared" si="9"/>
        <v>NA</v>
      </c>
      <c r="V26" s="3454"/>
      <c r="W26" s="3455"/>
      <c r="X26" s="3315" t="s">
        <v>2147</v>
      </c>
      <c r="Y26" s="3173"/>
      <c r="Z26" s="3457"/>
    </row>
    <row r="27" spans="2:26" ht="18" customHeight="1" x14ac:dyDescent="0.2">
      <c r="B27" s="351" t="s">
        <v>814</v>
      </c>
      <c r="C27" s="3314">
        <f>C28</f>
        <v>2732.9560000000001</v>
      </c>
      <c r="D27" s="3492"/>
      <c r="E27" s="3492"/>
      <c r="F27" s="2649">
        <f>F28</f>
        <v>28097404.623587102</v>
      </c>
      <c r="G27" s="2649" t="str">
        <f t="shared" ref="G27:G28" si="12">G28</f>
        <v>NO</v>
      </c>
      <c r="H27" s="2649" t="str">
        <f t="shared" ref="H27:H28" si="13">H28</f>
        <v>NO</v>
      </c>
      <c r="I27" s="2649" t="str">
        <f t="shared" ref="I27:I28" si="14">I28</f>
        <v>IE</v>
      </c>
      <c r="J27" s="2649" t="str">
        <f t="shared" ref="J27:J28" si="15">J28</f>
        <v>IE</v>
      </c>
      <c r="K27" s="2649">
        <f t="shared" ref="K27:K28" si="16">K28</f>
        <v>10771990.159540609</v>
      </c>
      <c r="L27" s="2649" t="str">
        <f t="shared" ref="L27:L28" si="17">L28</f>
        <v>IE</v>
      </c>
      <c r="M27" s="2649" t="str">
        <f t="shared" ref="M27:M28" si="18">M28</f>
        <v>NO</v>
      </c>
      <c r="N27" s="2649" t="str">
        <f t="shared" ref="N27:N28" si="19">N28</f>
        <v>NO</v>
      </c>
      <c r="O27" s="2649">
        <f t="shared" ref="O27:O28" si="20">O28</f>
        <v>337928.28503119998</v>
      </c>
      <c r="P27" s="2649" t="str">
        <f t="shared" ref="P27:P28" si="21">P28</f>
        <v>NO</v>
      </c>
      <c r="Q27" s="2649">
        <f t="shared" ref="Q27:Q28" si="22">Q28</f>
        <v>9786599.6883652993</v>
      </c>
      <c r="R27" s="3482">
        <f t="shared" si="8"/>
        <v>48993922.756524205</v>
      </c>
      <c r="S27" s="2657"/>
      <c r="T27" s="2658"/>
      <c r="U27" s="3456">
        <f t="shared" si="9"/>
        <v>0.10223979477522646</v>
      </c>
      <c r="V27" s="3454"/>
      <c r="W27" s="3455"/>
      <c r="X27" s="3314">
        <f t="shared" ref="X27:X28" si="23">X28</f>
        <v>0.27941686056972381</v>
      </c>
      <c r="Y27" s="3173"/>
      <c r="Z27" s="3457"/>
    </row>
    <row r="28" spans="2:26" ht="18" customHeight="1" x14ac:dyDescent="0.2">
      <c r="B28" s="350" t="s">
        <v>815</v>
      </c>
      <c r="C28" s="3314">
        <f>C29</f>
        <v>2732.9560000000001</v>
      </c>
      <c r="D28" s="3492"/>
      <c r="E28" s="3492"/>
      <c r="F28" s="2649">
        <f>F29</f>
        <v>28097404.623587102</v>
      </c>
      <c r="G28" s="2649" t="str">
        <f t="shared" si="12"/>
        <v>NO</v>
      </c>
      <c r="H28" s="2649" t="str">
        <f t="shared" si="13"/>
        <v>NO</v>
      </c>
      <c r="I28" s="2649" t="str">
        <f t="shared" si="14"/>
        <v>IE</v>
      </c>
      <c r="J28" s="2649" t="str">
        <f t="shared" si="15"/>
        <v>IE</v>
      </c>
      <c r="K28" s="2649">
        <f t="shared" si="16"/>
        <v>10771990.159540609</v>
      </c>
      <c r="L28" s="2649" t="str">
        <f t="shared" si="17"/>
        <v>IE</v>
      </c>
      <c r="M28" s="2649" t="str">
        <f t="shared" si="18"/>
        <v>NO</v>
      </c>
      <c r="N28" s="2649" t="str">
        <f t="shared" si="19"/>
        <v>NO</v>
      </c>
      <c r="O28" s="2649">
        <f t="shared" si="20"/>
        <v>337928.28503119998</v>
      </c>
      <c r="P28" s="2649" t="str">
        <f t="shared" si="21"/>
        <v>NO</v>
      </c>
      <c r="Q28" s="2649">
        <f t="shared" si="22"/>
        <v>9786599.6883652993</v>
      </c>
      <c r="R28" s="3482">
        <f t="shared" si="8"/>
        <v>48993922.756524205</v>
      </c>
      <c r="S28" s="2657"/>
      <c r="T28" s="2658"/>
      <c r="U28" s="3456">
        <f t="shared" si="9"/>
        <v>0.10223979477522646</v>
      </c>
      <c r="V28" s="3454"/>
      <c r="W28" s="3455"/>
      <c r="X28" s="3314">
        <f t="shared" si="23"/>
        <v>0.27941686056972381</v>
      </c>
      <c r="Y28" s="3173"/>
      <c r="Z28" s="3457"/>
    </row>
    <row r="29" spans="2:26" ht="18" customHeight="1" x14ac:dyDescent="0.2">
      <c r="B29" s="2642" t="s">
        <v>817</v>
      </c>
      <c r="C29" s="3495">
        <f>Table3.A!C29</f>
        <v>2732.9560000000001</v>
      </c>
      <c r="D29" s="3307">
        <v>14.871718083045389</v>
      </c>
      <c r="E29" s="3494">
        <f>'Table3.B(a)'!G29</f>
        <v>58.068154627762802</v>
      </c>
      <c r="F29" s="3479">
        <v>28097404.623587102</v>
      </c>
      <c r="G29" s="3479" t="s">
        <v>2146</v>
      </c>
      <c r="H29" s="3479" t="s">
        <v>2146</v>
      </c>
      <c r="I29" s="3479" t="s">
        <v>2153</v>
      </c>
      <c r="J29" s="3479" t="s">
        <v>2153</v>
      </c>
      <c r="K29" s="3479">
        <v>10771990.159540609</v>
      </c>
      <c r="L29" s="3479" t="s">
        <v>2153</v>
      </c>
      <c r="M29" s="3479" t="s">
        <v>2146</v>
      </c>
      <c r="N29" s="3479" t="s">
        <v>2146</v>
      </c>
      <c r="O29" s="3479">
        <v>337928.28503119998</v>
      </c>
      <c r="P29" s="3479" t="s">
        <v>2146</v>
      </c>
      <c r="Q29" s="3479">
        <v>9786599.6883652993</v>
      </c>
      <c r="R29" s="3482">
        <f t="shared" si="8"/>
        <v>48993922.756524205</v>
      </c>
      <c r="S29" s="2657"/>
      <c r="T29" s="2658"/>
      <c r="U29" s="3456">
        <f t="shared" si="9"/>
        <v>0.10223979477522646</v>
      </c>
      <c r="V29" s="3454"/>
      <c r="W29" s="3455"/>
      <c r="X29" s="3315">
        <v>0.27941686056972381</v>
      </c>
      <c r="Y29" s="3173"/>
      <c r="Z29" s="3457"/>
    </row>
    <row r="30" spans="2:26" ht="18" customHeight="1" x14ac:dyDescent="0.2">
      <c r="B30" s="351" t="s">
        <v>861</v>
      </c>
      <c r="C30" s="3314">
        <f>IF(SUM(C32:C39)=0,"NO",SUM(C32:C39))</f>
        <v>70240.277000000002</v>
      </c>
      <c r="D30" s="3492"/>
      <c r="E30" s="3492"/>
      <c r="F30" s="2649" t="str">
        <f>IF(SUM(F32:F39)=0,"NO",SUM(F32:F39))</f>
        <v>NO</v>
      </c>
      <c r="G30" s="2649" t="str">
        <f t="shared" ref="G30:Q30" si="24">IF(SUM(G32:G39)=0,"NO",SUM(G32:G39))</f>
        <v>NO</v>
      </c>
      <c r="H30" s="2649" t="str">
        <f t="shared" si="24"/>
        <v>NO</v>
      </c>
      <c r="I30" s="2649">
        <f t="shared" si="24"/>
        <v>17377391.155548207</v>
      </c>
      <c r="J30" s="2649" t="str">
        <f t="shared" si="24"/>
        <v>NO</v>
      </c>
      <c r="K30" s="2649" t="str">
        <f t="shared" si="24"/>
        <v>NO</v>
      </c>
      <c r="L30" s="2649" t="str">
        <f t="shared" si="24"/>
        <v>NO</v>
      </c>
      <c r="M30" s="2649">
        <f t="shared" si="24"/>
        <v>16073295.411164539</v>
      </c>
      <c r="N30" s="2649">
        <f t="shared" si="24"/>
        <v>7117799.9743453097</v>
      </c>
      <c r="O30" s="2649">
        <f t="shared" si="24"/>
        <v>118569.562054593</v>
      </c>
      <c r="P30" s="2649" t="str">
        <f t="shared" si="24"/>
        <v>NO</v>
      </c>
      <c r="Q30" s="2649">
        <f t="shared" si="24"/>
        <v>45165989.600350998</v>
      </c>
      <c r="R30" s="3482">
        <f t="shared" si="8"/>
        <v>85853045.703463644</v>
      </c>
      <c r="S30" s="2657"/>
      <c r="T30" s="2658"/>
      <c r="U30" s="3456">
        <f t="shared" si="9"/>
        <v>4.5467205911279094E-3</v>
      </c>
      <c r="V30" s="3454"/>
      <c r="W30" s="3455"/>
      <c r="X30" s="3314">
        <f t="shared" ref="X30" si="25">IF(SUM(X32:X39)=0,"NO",SUM(X32:X39))</f>
        <v>0.31936291376242809</v>
      </c>
      <c r="Y30" s="3173"/>
      <c r="Z30" s="3457"/>
    </row>
    <row r="31" spans="2:26" ht="18" customHeight="1" x14ac:dyDescent="0.2">
      <c r="B31" s="350" t="s">
        <v>860</v>
      </c>
      <c r="C31" s="3496"/>
      <c r="D31" s="3261"/>
      <c r="E31" s="3261"/>
      <c r="F31" s="3484"/>
      <c r="G31" s="3484"/>
      <c r="H31" s="3484"/>
      <c r="I31" s="3484"/>
      <c r="J31" s="3484"/>
      <c r="K31" s="3484"/>
      <c r="L31" s="3484"/>
      <c r="M31" s="3484"/>
      <c r="N31" s="3484"/>
      <c r="O31" s="3484"/>
      <c r="P31" s="3484"/>
      <c r="Q31" s="3484"/>
      <c r="R31" s="3484"/>
      <c r="S31" s="2661"/>
      <c r="T31" s="2661"/>
      <c r="U31" s="3261"/>
      <c r="V31" s="3261"/>
      <c r="W31" s="3261"/>
      <c r="X31" s="3261"/>
      <c r="Y31" s="3261"/>
      <c r="Z31" s="3262"/>
    </row>
    <row r="32" spans="2:26" ht="18" customHeight="1" x14ac:dyDescent="0.2">
      <c r="B32" s="350" t="s">
        <v>818</v>
      </c>
      <c r="C32" s="3495">
        <f>Table3.A!C32</f>
        <v>3.2469999999999999</v>
      </c>
      <c r="D32" s="3307">
        <v>39.5</v>
      </c>
      <c r="E32" s="3494" t="str">
        <f>'Table3.B(a)'!G32</f>
        <v>NA</v>
      </c>
      <c r="F32" s="3479" t="s">
        <v>2146</v>
      </c>
      <c r="G32" s="3479" t="s">
        <v>2146</v>
      </c>
      <c r="H32" s="3479" t="s">
        <v>2146</v>
      </c>
      <c r="I32" s="3479" t="s">
        <v>2146</v>
      </c>
      <c r="J32" s="3479" t="s">
        <v>2146</v>
      </c>
      <c r="K32" s="3479" t="s">
        <v>2146</v>
      </c>
      <c r="L32" s="3479" t="s">
        <v>2146</v>
      </c>
      <c r="M32" s="3479">
        <v>128246.625</v>
      </c>
      <c r="N32" s="3479" t="s">
        <v>2146</v>
      </c>
      <c r="O32" s="3479" t="s">
        <v>2146</v>
      </c>
      <c r="P32" s="3479" t="s">
        <v>2146</v>
      </c>
      <c r="Q32" s="3479" t="s">
        <v>2146</v>
      </c>
      <c r="R32" s="3482">
        <f t="shared" si="8"/>
        <v>128246.625</v>
      </c>
      <c r="S32" s="2657"/>
      <c r="T32" s="2658"/>
      <c r="U32" s="3456" t="str">
        <f>IF(SUM(X32)=0,"NA",X32*1000/C32)</f>
        <v>NA</v>
      </c>
      <c r="V32" s="3454"/>
      <c r="W32" s="3455"/>
      <c r="X32" s="3315" t="s">
        <v>2147</v>
      </c>
      <c r="Y32" s="3173"/>
      <c r="Z32" s="3457"/>
    </row>
    <row r="33" spans="2:26" ht="18" customHeight="1" x14ac:dyDescent="0.2">
      <c r="B33" s="350" t="s">
        <v>819</v>
      </c>
      <c r="C33" s="3495">
        <f>Table3.A!C33</f>
        <v>1.8129999999999999</v>
      </c>
      <c r="D33" s="3307">
        <v>39.5</v>
      </c>
      <c r="E33" s="3494" t="str">
        <f>'Table3.B(a)'!G33</f>
        <v>NA</v>
      </c>
      <c r="F33" s="3479" t="s">
        <v>2146</v>
      </c>
      <c r="G33" s="3479" t="s">
        <v>2146</v>
      </c>
      <c r="H33" s="3479" t="s">
        <v>2146</v>
      </c>
      <c r="I33" s="3479" t="s">
        <v>2146</v>
      </c>
      <c r="J33" s="3479" t="s">
        <v>2146</v>
      </c>
      <c r="K33" s="3479" t="s">
        <v>2146</v>
      </c>
      <c r="L33" s="3479" t="s">
        <v>2146</v>
      </c>
      <c r="M33" s="3479">
        <v>71627.651234240533</v>
      </c>
      <c r="N33" s="3479" t="s">
        <v>2146</v>
      </c>
      <c r="O33" s="3479" t="s">
        <v>2146</v>
      </c>
      <c r="P33" s="3479" t="s">
        <v>2146</v>
      </c>
      <c r="Q33" s="3479" t="s">
        <v>2146</v>
      </c>
      <c r="R33" s="3482">
        <f t="shared" si="8"/>
        <v>71627.651234240533</v>
      </c>
      <c r="S33" s="2657"/>
      <c r="T33" s="2658"/>
      <c r="U33" s="3456" t="str">
        <f t="shared" ref="U33:U45" si="26">IF(SUM(X33)=0,"NA",X33*1000/C33)</f>
        <v>NA</v>
      </c>
      <c r="V33" s="3454"/>
      <c r="W33" s="3455"/>
      <c r="X33" s="3315" t="s">
        <v>2147</v>
      </c>
      <c r="Y33" s="3173"/>
      <c r="Z33" s="3457"/>
    </row>
    <row r="34" spans="2:26" ht="18" customHeight="1" x14ac:dyDescent="0.2">
      <c r="B34" s="350" t="s">
        <v>820</v>
      </c>
      <c r="C34" s="3495">
        <f>Table3.A!C34</f>
        <v>68.662000000000006</v>
      </c>
      <c r="D34" s="3307">
        <v>13.2</v>
      </c>
      <c r="E34" s="3494" t="str">
        <f>'Table3.B(a)'!G34</f>
        <v>NA</v>
      </c>
      <c r="F34" s="3479" t="s">
        <v>2146</v>
      </c>
      <c r="G34" s="3479" t="s">
        <v>2146</v>
      </c>
      <c r="H34" s="3479" t="s">
        <v>2146</v>
      </c>
      <c r="I34" s="3479" t="s">
        <v>2146</v>
      </c>
      <c r="J34" s="3479" t="s">
        <v>2146</v>
      </c>
      <c r="K34" s="3479" t="s">
        <v>2146</v>
      </c>
      <c r="L34" s="3479" t="s">
        <v>2146</v>
      </c>
      <c r="M34" s="3479">
        <v>906341.43599999999</v>
      </c>
      <c r="N34" s="3479" t="s">
        <v>2146</v>
      </c>
      <c r="O34" s="3479" t="s">
        <v>2146</v>
      </c>
      <c r="P34" s="3479" t="s">
        <v>2146</v>
      </c>
      <c r="Q34" s="3479" t="s">
        <v>2146</v>
      </c>
      <c r="R34" s="3482">
        <f t="shared" si="8"/>
        <v>906341.43599999999</v>
      </c>
      <c r="S34" s="2657"/>
      <c r="T34" s="2658"/>
      <c r="U34" s="3456" t="str">
        <f t="shared" si="26"/>
        <v>NA</v>
      </c>
      <c r="V34" s="3454"/>
      <c r="W34" s="3455"/>
      <c r="X34" s="3315" t="s">
        <v>2147</v>
      </c>
      <c r="Y34" s="3173"/>
      <c r="Z34" s="3457"/>
    </row>
    <row r="35" spans="2:26" ht="18" customHeight="1" x14ac:dyDescent="0.2">
      <c r="B35" s="350" t="s">
        <v>821</v>
      </c>
      <c r="C35" s="3495">
        <f>Table3.A!C35</f>
        <v>517.66800000000001</v>
      </c>
      <c r="D35" s="3307">
        <v>7</v>
      </c>
      <c r="E35" s="3494" t="str">
        <f>'Table3.B(a)'!G35</f>
        <v>NA</v>
      </c>
      <c r="F35" s="3479" t="s">
        <v>2146</v>
      </c>
      <c r="G35" s="3479" t="s">
        <v>2146</v>
      </c>
      <c r="H35" s="3479" t="s">
        <v>2146</v>
      </c>
      <c r="I35" s="3479" t="s">
        <v>2146</v>
      </c>
      <c r="J35" s="3479" t="s">
        <v>2146</v>
      </c>
      <c r="K35" s="3479" t="s">
        <v>2146</v>
      </c>
      <c r="L35" s="3479" t="s">
        <v>2146</v>
      </c>
      <c r="M35" s="3479">
        <v>3623679.0800000005</v>
      </c>
      <c r="N35" s="3479" t="s">
        <v>2146</v>
      </c>
      <c r="O35" s="3479" t="s">
        <v>2146</v>
      </c>
      <c r="P35" s="3479" t="s">
        <v>2146</v>
      </c>
      <c r="Q35" s="3479" t="s">
        <v>2146</v>
      </c>
      <c r="R35" s="3482">
        <f t="shared" si="8"/>
        <v>3623679.0800000005</v>
      </c>
      <c r="S35" s="2657"/>
      <c r="T35" s="2658"/>
      <c r="U35" s="3456" t="str">
        <f t="shared" si="26"/>
        <v>NA</v>
      </c>
      <c r="V35" s="3454"/>
      <c r="W35" s="3455"/>
      <c r="X35" s="3315" t="s">
        <v>2147</v>
      </c>
      <c r="Y35" s="3173"/>
      <c r="Z35" s="3457"/>
    </row>
    <row r="36" spans="2:26" ht="18" customHeight="1" x14ac:dyDescent="0.2">
      <c r="B36" s="350" t="s">
        <v>822</v>
      </c>
      <c r="C36" s="3495">
        <f>Table3.A!C36</f>
        <v>257.12299999999999</v>
      </c>
      <c r="D36" s="3307">
        <v>39.5</v>
      </c>
      <c r="E36" s="3494" t="str">
        <f>'Table3.B(a)'!G36</f>
        <v>NA</v>
      </c>
      <c r="F36" s="3479" t="s">
        <v>2146</v>
      </c>
      <c r="G36" s="3479" t="s">
        <v>2146</v>
      </c>
      <c r="H36" s="3479" t="s">
        <v>2146</v>
      </c>
      <c r="I36" s="3479" t="s">
        <v>2146</v>
      </c>
      <c r="J36" s="3479" t="s">
        <v>2146</v>
      </c>
      <c r="K36" s="3479" t="s">
        <v>2146</v>
      </c>
      <c r="L36" s="3479" t="s">
        <v>2146</v>
      </c>
      <c r="M36" s="3479">
        <v>10156360.079999998</v>
      </c>
      <c r="N36" s="3479" t="s">
        <v>2146</v>
      </c>
      <c r="O36" s="3479" t="s">
        <v>2146</v>
      </c>
      <c r="P36" s="3479" t="s">
        <v>2146</v>
      </c>
      <c r="Q36" s="3479" t="s">
        <v>2146</v>
      </c>
      <c r="R36" s="3482">
        <f t="shared" si="8"/>
        <v>10156360.079999998</v>
      </c>
      <c r="S36" s="2657"/>
      <c r="T36" s="2658"/>
      <c r="U36" s="3456" t="str">
        <f t="shared" si="26"/>
        <v>NA</v>
      </c>
      <c r="V36" s="3454"/>
      <c r="W36" s="3455"/>
      <c r="X36" s="3315" t="s">
        <v>2147</v>
      </c>
      <c r="Y36" s="3173"/>
      <c r="Z36" s="3457"/>
    </row>
    <row r="37" spans="2:26" ht="18" customHeight="1" x14ac:dyDescent="0.2">
      <c r="B37" s="350" t="s">
        <v>862</v>
      </c>
      <c r="C37" s="3495">
        <f>Table3.A!C37</f>
        <v>0.35099999999999998</v>
      </c>
      <c r="D37" s="3307">
        <v>13.2</v>
      </c>
      <c r="E37" s="3494" t="str">
        <f>'Table3.B(a)'!G37</f>
        <v>NA</v>
      </c>
      <c r="F37" s="3479" t="s">
        <v>2146</v>
      </c>
      <c r="G37" s="3479" t="s">
        <v>2146</v>
      </c>
      <c r="H37" s="3479" t="s">
        <v>2146</v>
      </c>
      <c r="I37" s="3479" t="s">
        <v>2146</v>
      </c>
      <c r="J37" s="3479" t="s">
        <v>2146</v>
      </c>
      <c r="K37" s="3479" t="s">
        <v>2146</v>
      </c>
      <c r="L37" s="3479" t="s">
        <v>2146</v>
      </c>
      <c r="M37" s="3479">
        <v>4631.3785760352066</v>
      </c>
      <c r="N37" s="3479" t="s">
        <v>2146</v>
      </c>
      <c r="O37" s="3479" t="s">
        <v>2146</v>
      </c>
      <c r="P37" s="3479" t="s">
        <v>2146</v>
      </c>
      <c r="Q37" s="3479" t="s">
        <v>2146</v>
      </c>
      <c r="R37" s="3482">
        <f t="shared" si="8"/>
        <v>4631.3785760352066</v>
      </c>
      <c r="S37" s="2657"/>
      <c r="T37" s="2658"/>
      <c r="U37" s="3456" t="str">
        <f t="shared" si="26"/>
        <v>NA</v>
      </c>
      <c r="V37" s="3454"/>
      <c r="W37" s="3455"/>
      <c r="X37" s="3315" t="s">
        <v>2147</v>
      </c>
      <c r="Y37" s="3173"/>
      <c r="Z37" s="3457"/>
    </row>
    <row r="38" spans="2:26" ht="18" customHeight="1" x14ac:dyDescent="0.2">
      <c r="B38" s="350" t="s">
        <v>824</v>
      </c>
      <c r="C38" s="3495">
        <f>Table3.A!C38</f>
        <v>69284.820000000007</v>
      </c>
      <c r="D38" s="3307">
        <v>0.65818520304844996</v>
      </c>
      <c r="E38" s="3494" t="str">
        <f>'Table3.B(a)'!G38</f>
        <v>NA</v>
      </c>
      <c r="F38" s="3479" t="s">
        <v>2146</v>
      </c>
      <c r="G38" s="3479" t="s">
        <v>2146</v>
      </c>
      <c r="H38" s="3479" t="s">
        <v>2146</v>
      </c>
      <c r="I38" s="3479">
        <v>17377391.155548207</v>
      </c>
      <c r="J38" s="3479" t="s">
        <v>2153</v>
      </c>
      <c r="K38" s="3479" t="s">
        <v>2153</v>
      </c>
      <c r="L38" s="3479" t="s">
        <v>2153</v>
      </c>
      <c r="M38" s="3479">
        <v>436253.62294177001</v>
      </c>
      <c r="N38" s="3479">
        <v>7117799.9743453097</v>
      </c>
      <c r="O38" s="3479">
        <v>118569.562054593</v>
      </c>
      <c r="P38" s="3479" t="s">
        <v>2146</v>
      </c>
      <c r="Q38" s="3479">
        <v>45165989.600350998</v>
      </c>
      <c r="R38" s="3482">
        <f t="shared" si="8"/>
        <v>70216003.915240884</v>
      </c>
      <c r="S38" s="2657"/>
      <c r="T38" s="2658"/>
      <c r="U38" s="3456">
        <f t="shared" si="26"/>
        <v>4.6094211367284791E-3</v>
      </c>
      <c r="V38" s="3454"/>
      <c r="W38" s="3455"/>
      <c r="X38" s="3315">
        <v>0.31936291376242809</v>
      </c>
      <c r="Y38" s="3173"/>
      <c r="Z38" s="3457"/>
    </row>
    <row r="39" spans="2:26" ht="18" customHeight="1" x14ac:dyDescent="0.2">
      <c r="B39" s="350" t="s">
        <v>825</v>
      </c>
      <c r="C39" s="3314">
        <f>IF(SUM(C40:C44)=0,"NO",SUM(C40:C44))</f>
        <v>106.593</v>
      </c>
      <c r="D39" s="3492"/>
      <c r="E39" s="3492"/>
      <c r="F39" s="2649" t="str">
        <f>IF(SUM(F40:F44)=0,"NO",SUM(F40:F44))</f>
        <v>NO</v>
      </c>
      <c r="G39" s="2649" t="str">
        <f t="shared" ref="G39:Q39" si="27">IF(SUM(G40:G44)=0,"NO",SUM(G40:G44))</f>
        <v>NO</v>
      </c>
      <c r="H39" s="2649" t="str">
        <f t="shared" si="27"/>
        <v>NO</v>
      </c>
      <c r="I39" s="2649" t="str">
        <f t="shared" si="27"/>
        <v>NO</v>
      </c>
      <c r="J39" s="2649" t="str">
        <f t="shared" si="27"/>
        <v>NO</v>
      </c>
      <c r="K39" s="2649" t="str">
        <f t="shared" si="27"/>
        <v>NO</v>
      </c>
      <c r="L39" s="2649" t="str">
        <f t="shared" si="27"/>
        <v>NO</v>
      </c>
      <c r="M39" s="2649">
        <f t="shared" si="27"/>
        <v>746155.5374124943</v>
      </c>
      <c r="N39" s="2649" t="str">
        <f t="shared" si="27"/>
        <v>NO</v>
      </c>
      <c r="O39" s="2649" t="str">
        <f t="shared" si="27"/>
        <v>NO</v>
      </c>
      <c r="P39" s="2649" t="str">
        <f t="shared" si="27"/>
        <v>NO</v>
      </c>
      <c r="Q39" s="2649" t="str">
        <f t="shared" si="27"/>
        <v>NO</v>
      </c>
      <c r="R39" s="3482">
        <f t="shared" si="8"/>
        <v>746155.5374124943</v>
      </c>
      <c r="S39" s="2657"/>
      <c r="T39" s="2658"/>
      <c r="U39" s="3456" t="str">
        <f t="shared" si="26"/>
        <v>NA</v>
      </c>
      <c r="V39" s="3454"/>
      <c r="W39" s="3455"/>
      <c r="X39" s="3314" t="str">
        <f>IF(SUM(X40:X44)=0,"NO",SUM(X40:X44))</f>
        <v>NO</v>
      </c>
      <c r="Y39" s="3173"/>
      <c r="Z39" s="3457"/>
    </row>
    <row r="40" spans="2:26" ht="18" customHeight="1" x14ac:dyDescent="0.2">
      <c r="B40" s="352" t="s">
        <v>826</v>
      </c>
      <c r="C40" s="3495" t="str">
        <f>Table3.A!C40</f>
        <v>NO</v>
      </c>
      <c r="D40" s="3307" t="s">
        <v>2146</v>
      </c>
      <c r="E40" s="3494" t="str">
        <f>'Table3.B(a)'!G40</f>
        <v>NA</v>
      </c>
      <c r="F40" s="3481" t="s">
        <v>2147</v>
      </c>
      <c r="G40" s="3481" t="s">
        <v>2147</v>
      </c>
      <c r="H40" s="3481" t="s">
        <v>2147</v>
      </c>
      <c r="I40" s="3481" t="s">
        <v>2147</v>
      </c>
      <c r="J40" s="3481" t="s">
        <v>2147</v>
      </c>
      <c r="K40" s="3481" t="s">
        <v>2147</v>
      </c>
      <c r="L40" s="3481" t="s">
        <v>2147</v>
      </c>
      <c r="M40" s="3481" t="s">
        <v>2147</v>
      </c>
      <c r="N40" s="3481" t="s">
        <v>2147</v>
      </c>
      <c r="O40" s="3481" t="s">
        <v>2147</v>
      </c>
      <c r="P40" s="3481" t="s">
        <v>2147</v>
      </c>
      <c r="Q40" s="3481" t="s">
        <v>2147</v>
      </c>
      <c r="R40" s="3482" t="str">
        <f t="shared" si="8"/>
        <v>NO</v>
      </c>
      <c r="S40" s="2657"/>
      <c r="T40" s="2658"/>
      <c r="U40" s="3456" t="str">
        <f t="shared" si="26"/>
        <v>NA</v>
      </c>
      <c r="V40" s="3454"/>
      <c r="W40" s="3455"/>
      <c r="X40" s="3315" t="s">
        <v>2147</v>
      </c>
      <c r="Y40" s="3173"/>
      <c r="Z40" s="3457"/>
    </row>
    <row r="41" spans="2:26" ht="18" customHeight="1" x14ac:dyDescent="0.2">
      <c r="B41" s="352" t="s">
        <v>827</v>
      </c>
      <c r="C41" s="3495" t="str">
        <f>Table3.A!C41</f>
        <v>NO</v>
      </c>
      <c r="D41" s="3307" t="s">
        <v>2146</v>
      </c>
      <c r="E41" s="3494" t="str">
        <f>'Table3.B(a)'!G41</f>
        <v>NA</v>
      </c>
      <c r="F41" s="3481" t="s">
        <v>2147</v>
      </c>
      <c r="G41" s="3481" t="s">
        <v>2147</v>
      </c>
      <c r="H41" s="3481" t="s">
        <v>2147</v>
      </c>
      <c r="I41" s="3481" t="s">
        <v>2147</v>
      </c>
      <c r="J41" s="3481" t="s">
        <v>2147</v>
      </c>
      <c r="K41" s="3481" t="s">
        <v>2147</v>
      </c>
      <c r="L41" s="3481" t="s">
        <v>2147</v>
      </c>
      <c r="M41" s="3481" t="s">
        <v>2147</v>
      </c>
      <c r="N41" s="3481" t="s">
        <v>2147</v>
      </c>
      <c r="O41" s="3481" t="s">
        <v>2147</v>
      </c>
      <c r="P41" s="3481" t="s">
        <v>2147</v>
      </c>
      <c r="Q41" s="3481" t="s">
        <v>2147</v>
      </c>
      <c r="R41" s="3482" t="str">
        <f t="shared" si="8"/>
        <v>NO</v>
      </c>
      <c r="S41" s="2657"/>
      <c r="T41" s="2658"/>
      <c r="U41" s="3456" t="str">
        <f t="shared" si="26"/>
        <v>NA</v>
      </c>
      <c r="V41" s="3454"/>
      <c r="W41" s="3455"/>
      <c r="X41" s="3315" t="s">
        <v>2147</v>
      </c>
      <c r="Y41" s="3173"/>
      <c r="Z41" s="3457"/>
    </row>
    <row r="42" spans="2:26" ht="18" customHeight="1" x14ac:dyDescent="0.2">
      <c r="B42" s="352" t="s">
        <v>828</v>
      </c>
      <c r="C42" s="3495">
        <f>Table3.A!C42</f>
        <v>32.935000000000002</v>
      </c>
      <c r="D42" s="3307">
        <v>7</v>
      </c>
      <c r="E42" s="3494" t="str">
        <f>'Table3.B(a)'!G42</f>
        <v>NA</v>
      </c>
      <c r="F42" s="3479" t="s">
        <v>2146</v>
      </c>
      <c r="G42" s="3479" t="s">
        <v>2146</v>
      </c>
      <c r="H42" s="3479" t="s">
        <v>2146</v>
      </c>
      <c r="I42" s="3479" t="s">
        <v>2146</v>
      </c>
      <c r="J42" s="3479" t="s">
        <v>2146</v>
      </c>
      <c r="K42" s="3479" t="s">
        <v>2146</v>
      </c>
      <c r="L42" s="3479" t="s">
        <v>2146</v>
      </c>
      <c r="M42" s="3479">
        <v>230546.24369747899</v>
      </c>
      <c r="N42" s="3479" t="s">
        <v>2146</v>
      </c>
      <c r="O42" s="3479" t="s">
        <v>2146</v>
      </c>
      <c r="P42" s="3479" t="s">
        <v>2146</v>
      </c>
      <c r="Q42" s="3479" t="s">
        <v>2146</v>
      </c>
      <c r="R42" s="3482">
        <f t="shared" si="8"/>
        <v>230546.24369747899</v>
      </c>
      <c r="S42" s="2657"/>
      <c r="T42" s="2658"/>
      <c r="U42" s="3456" t="str">
        <f t="shared" si="26"/>
        <v>NA</v>
      </c>
      <c r="V42" s="3454"/>
      <c r="W42" s="3455"/>
      <c r="X42" s="3315" t="s">
        <v>2147</v>
      </c>
      <c r="Y42" s="3173"/>
      <c r="Z42" s="3457"/>
    </row>
    <row r="43" spans="2:26" ht="18" customHeight="1" x14ac:dyDescent="0.2">
      <c r="B43" s="352" t="s">
        <v>2090</v>
      </c>
      <c r="C43" s="3495" t="str">
        <f>Table3.A!C43</f>
        <v>NO</v>
      </c>
      <c r="D43" s="3307" t="s">
        <v>2146</v>
      </c>
      <c r="E43" s="3494" t="str">
        <f>'Table3.B(a)'!G43</f>
        <v>NA</v>
      </c>
      <c r="F43" s="3481" t="s">
        <v>2147</v>
      </c>
      <c r="G43" s="3481" t="s">
        <v>2147</v>
      </c>
      <c r="H43" s="3481" t="s">
        <v>2147</v>
      </c>
      <c r="I43" s="3481" t="s">
        <v>2147</v>
      </c>
      <c r="J43" s="3481" t="s">
        <v>2147</v>
      </c>
      <c r="K43" s="3481" t="s">
        <v>2147</v>
      </c>
      <c r="L43" s="3481" t="s">
        <v>2147</v>
      </c>
      <c r="M43" s="3481" t="s">
        <v>2147</v>
      </c>
      <c r="N43" s="3481" t="s">
        <v>2147</v>
      </c>
      <c r="O43" s="3481" t="s">
        <v>2147</v>
      </c>
      <c r="P43" s="3481" t="s">
        <v>2147</v>
      </c>
      <c r="Q43" s="3481" t="s">
        <v>2147</v>
      </c>
      <c r="R43" s="3482" t="str">
        <f t="shared" si="8"/>
        <v>NO</v>
      </c>
      <c r="S43" s="2657"/>
      <c r="T43" s="2658"/>
      <c r="U43" s="3456" t="str">
        <f t="shared" si="26"/>
        <v>NA</v>
      </c>
      <c r="V43" s="3454"/>
      <c r="W43" s="3455"/>
      <c r="X43" s="3315" t="s">
        <v>2147</v>
      </c>
      <c r="Y43" s="3173"/>
      <c r="Z43" s="3457"/>
    </row>
    <row r="44" spans="2:26" ht="18" customHeight="1" x14ac:dyDescent="0.2">
      <c r="B44" s="353" t="s">
        <v>2091</v>
      </c>
      <c r="C44" s="3314">
        <f>C45</f>
        <v>73.658000000000001</v>
      </c>
      <c r="D44" s="3492"/>
      <c r="E44" s="3492"/>
      <c r="F44" s="2649" t="str">
        <f>F45</f>
        <v>NO</v>
      </c>
      <c r="G44" s="2649" t="str">
        <f t="shared" ref="G44:Q44" si="28">G45</f>
        <v>NO</v>
      </c>
      <c r="H44" s="2649" t="str">
        <f t="shared" si="28"/>
        <v>NO</v>
      </c>
      <c r="I44" s="2649" t="str">
        <f t="shared" si="28"/>
        <v>NO</v>
      </c>
      <c r="J44" s="2649" t="str">
        <f t="shared" si="28"/>
        <v>NO</v>
      </c>
      <c r="K44" s="2649" t="str">
        <f t="shared" si="28"/>
        <v>NO</v>
      </c>
      <c r="L44" s="2649" t="str">
        <f t="shared" si="28"/>
        <v>NO</v>
      </c>
      <c r="M44" s="2649">
        <f t="shared" si="28"/>
        <v>515609.29371501529</v>
      </c>
      <c r="N44" s="2649" t="str">
        <f t="shared" si="28"/>
        <v>NO</v>
      </c>
      <c r="O44" s="2649" t="str">
        <f t="shared" si="28"/>
        <v>NO</v>
      </c>
      <c r="P44" s="2649" t="str">
        <f t="shared" si="28"/>
        <v>NO</v>
      </c>
      <c r="Q44" s="2649" t="str">
        <f t="shared" si="28"/>
        <v>NO</v>
      </c>
      <c r="R44" s="3482">
        <f t="shared" si="8"/>
        <v>515609.29371501529</v>
      </c>
      <c r="S44" s="2657"/>
      <c r="T44" s="2658"/>
      <c r="U44" s="3456" t="str">
        <f t="shared" si="26"/>
        <v>NA</v>
      </c>
      <c r="V44" s="3454"/>
      <c r="W44" s="3455"/>
      <c r="X44" s="3314" t="str">
        <f>X45</f>
        <v>NA</v>
      </c>
      <c r="Y44" s="3173"/>
      <c r="Z44" s="3457"/>
    </row>
    <row r="45" spans="2:26" ht="18" customHeight="1" x14ac:dyDescent="0.2">
      <c r="B45" s="2646" t="s">
        <v>2199</v>
      </c>
      <c r="C45" s="3495">
        <f>Table3.A!C45</f>
        <v>73.658000000000001</v>
      </c>
      <c r="D45" s="3307">
        <v>7</v>
      </c>
      <c r="E45" s="3494" t="str">
        <f>'Table3.B(a)'!G45</f>
        <v>NA</v>
      </c>
      <c r="F45" s="3479" t="s">
        <v>2146</v>
      </c>
      <c r="G45" s="3479" t="s">
        <v>2146</v>
      </c>
      <c r="H45" s="3479" t="s">
        <v>2146</v>
      </c>
      <c r="I45" s="3479" t="s">
        <v>2146</v>
      </c>
      <c r="J45" s="3479" t="s">
        <v>2146</v>
      </c>
      <c r="K45" s="3479" t="s">
        <v>2146</v>
      </c>
      <c r="L45" s="3479" t="s">
        <v>2146</v>
      </c>
      <c r="M45" s="3479">
        <v>515609.29371501529</v>
      </c>
      <c r="N45" s="3479" t="s">
        <v>2146</v>
      </c>
      <c r="O45" s="3479" t="s">
        <v>2146</v>
      </c>
      <c r="P45" s="3479" t="s">
        <v>2146</v>
      </c>
      <c r="Q45" s="3479" t="s">
        <v>2146</v>
      </c>
      <c r="R45" s="3482">
        <f t="shared" si="8"/>
        <v>515609.29371501529</v>
      </c>
      <c r="S45" s="2662"/>
      <c r="T45" s="2663"/>
      <c r="U45" s="3456" t="str">
        <f t="shared" si="26"/>
        <v>NA</v>
      </c>
      <c r="V45" s="3462"/>
      <c r="W45" s="3463"/>
      <c r="X45" s="3315" t="s">
        <v>2147</v>
      </c>
      <c r="Y45" s="3464"/>
      <c r="Z45" s="3465"/>
    </row>
    <row r="46" spans="2:26" s="959" customFormat="1" ht="18" customHeight="1" thickBot="1" x14ac:dyDescent="0.35">
      <c r="B46" s="356" t="s">
        <v>708</v>
      </c>
      <c r="C46" s="42"/>
      <c r="D46" s="42"/>
      <c r="E46" s="42"/>
      <c r="F46" s="2664"/>
      <c r="G46" s="2664"/>
      <c r="H46" s="2664"/>
      <c r="I46" s="2664"/>
      <c r="J46" s="2664"/>
      <c r="K46" s="2664"/>
      <c r="L46" s="2664"/>
      <c r="M46" s="42"/>
      <c r="N46" s="2665"/>
      <c r="O46" s="2665"/>
      <c r="P46" s="42"/>
      <c r="Q46" s="2665"/>
      <c r="R46" s="357"/>
      <c r="S46" s="3446">
        <v>94153874.539563596</v>
      </c>
      <c r="T46" s="3447">
        <v>302698.34869038401</v>
      </c>
      <c r="U46" s="3466"/>
      <c r="V46" s="3467">
        <f>IF(SUM(S46)=0,"NA",Y46*1000000/S46)</f>
        <v>3.5718690302844994E-3</v>
      </c>
      <c r="W46" s="3468">
        <f>IF(SUM(T46)=0,"NA",Z46*1000000/T46)</f>
        <v>1.7285714285714279E-2</v>
      </c>
      <c r="X46" s="3316"/>
      <c r="Y46" s="3320">
        <v>0.33630530854915947</v>
      </c>
      <c r="Z46" s="3321">
        <v>5.232357170219493E-3</v>
      </c>
    </row>
    <row r="47" spans="2:26" ht="18" customHeight="1" x14ac:dyDescent="0.2">
      <c r="B47" s="358" t="s">
        <v>863</v>
      </c>
      <c r="C47" s="359"/>
      <c r="D47" s="359"/>
      <c r="E47" s="359"/>
      <c r="F47" s="3485">
        <f>IF(SUM(F30,F27,F24,F10)=0,"NO",SUM(F30,F27,F24,F10))</f>
        <v>57643471.10551399</v>
      </c>
      <c r="G47" s="3485" t="str">
        <f t="shared" ref="G47:Q47" si="29">IF(SUM(G30,G27,G24,G10)=0,"NO",SUM(G30,G27,G24,G10))</f>
        <v>NO</v>
      </c>
      <c r="H47" s="3485">
        <f t="shared" si="29"/>
        <v>8902821.4220214505</v>
      </c>
      <c r="I47" s="3485">
        <f t="shared" si="29"/>
        <v>23234933.682461381</v>
      </c>
      <c r="J47" s="3485" t="str">
        <f t="shared" si="29"/>
        <v>NO</v>
      </c>
      <c r="K47" s="3485">
        <f t="shared" si="29"/>
        <v>86352436.352481216</v>
      </c>
      <c r="L47" s="3485">
        <f t="shared" si="29"/>
        <v>8988274.947380295</v>
      </c>
      <c r="M47" s="3409"/>
      <c r="N47" s="3485">
        <f t="shared" si="29"/>
        <v>16106074.921725605</v>
      </c>
      <c r="O47" s="3485">
        <f t="shared" si="29"/>
        <v>456497.84708579298</v>
      </c>
      <c r="P47" s="3409"/>
      <c r="Q47" s="3485">
        <f t="shared" si="29"/>
        <v>54952589.288716301</v>
      </c>
      <c r="R47" s="359"/>
      <c r="S47" s="359"/>
      <c r="T47" s="360"/>
      <c r="U47" s="3317"/>
      <c r="V47" s="3469"/>
      <c r="W47" s="3470"/>
      <c r="X47" s="3317"/>
      <c r="Y47" s="3469"/>
      <c r="Z47" s="3470"/>
    </row>
    <row r="48" spans="2:26" ht="18" customHeight="1" thickBot="1" x14ac:dyDescent="0.25">
      <c r="B48" s="361" t="s">
        <v>864</v>
      </c>
      <c r="C48" s="357"/>
      <c r="D48" s="357"/>
      <c r="E48" s="357"/>
      <c r="F48" s="3486" t="str">
        <f>IF(SUM(F49)=0,"NA",F49*1000000/F47)</f>
        <v>NA</v>
      </c>
      <c r="G48" s="3486" t="str">
        <f t="shared" ref="G48:Q48" si="30">IF(SUM(G49)=0,"NA",G49*1000000/G47)</f>
        <v>NA</v>
      </c>
      <c r="H48" s="3486" t="str">
        <f t="shared" si="30"/>
        <v>NA</v>
      </c>
      <c r="I48" s="3486">
        <f t="shared" si="30"/>
        <v>4.0804902289632607E-2</v>
      </c>
      <c r="J48" s="3486" t="str">
        <f t="shared" si="30"/>
        <v>NA</v>
      </c>
      <c r="K48" s="3486" t="str">
        <f t="shared" si="30"/>
        <v>NA</v>
      </c>
      <c r="L48" s="3486" t="str">
        <f t="shared" si="30"/>
        <v>NA</v>
      </c>
      <c r="M48" s="87"/>
      <c r="N48" s="3486">
        <f t="shared" si="30"/>
        <v>1.5714285714285833E-2</v>
      </c>
      <c r="O48" s="3486" t="str">
        <f t="shared" si="30"/>
        <v>NA</v>
      </c>
      <c r="P48" s="87"/>
      <c r="Q48" s="3486">
        <f t="shared" si="30"/>
        <v>3.9703029820725788E-3</v>
      </c>
      <c r="R48" s="357"/>
      <c r="S48" s="357"/>
      <c r="T48" s="57"/>
      <c r="U48" s="3318"/>
      <c r="V48" s="3471"/>
      <c r="W48" s="3472"/>
      <c r="X48" s="3318"/>
      <c r="Y48" s="3471"/>
      <c r="Z48" s="3472"/>
    </row>
    <row r="49" spans="2:26" ht="18" customHeight="1" thickBot="1" x14ac:dyDescent="0.25">
      <c r="B49" s="1311" t="s">
        <v>865</v>
      </c>
      <c r="C49" s="1312"/>
      <c r="D49" s="1312"/>
      <c r="E49" s="1312"/>
      <c r="F49" s="3487" t="s">
        <v>2147</v>
      </c>
      <c r="G49" s="3487" t="s">
        <v>2146</v>
      </c>
      <c r="H49" s="3487" t="s">
        <v>2147</v>
      </c>
      <c r="I49" s="3487">
        <v>0.94809919861893022</v>
      </c>
      <c r="J49" s="3487" t="s">
        <v>2153</v>
      </c>
      <c r="K49" s="3487" t="s">
        <v>2153</v>
      </c>
      <c r="L49" s="3487" t="s">
        <v>2153</v>
      </c>
      <c r="M49" s="3474"/>
      <c r="N49" s="3488">
        <v>0.25309546305568997</v>
      </c>
      <c r="O49" s="3488" t="s">
        <v>2147</v>
      </c>
      <c r="P49" s="3474"/>
      <c r="Q49" s="3488">
        <v>0.21817842912560001</v>
      </c>
      <c r="R49" s="1312"/>
      <c r="S49" s="1313"/>
      <c r="T49" s="1314"/>
      <c r="U49" s="3473">
        <f>X49*1000/SUM(C10,C24,C27,C30)</f>
        <v>7.377459490033972E-3</v>
      </c>
      <c r="V49" s="3474"/>
      <c r="W49" s="3475"/>
      <c r="X49" s="3319">
        <f>SUM(X10,X24,X27,X30)</f>
        <v>1.4193730908002202</v>
      </c>
      <c r="Y49" s="3476"/>
      <c r="Z49" s="3477"/>
    </row>
    <row r="50" spans="2:26" x14ac:dyDescent="0.2">
      <c r="B50"/>
      <c r="C50"/>
      <c r="D50"/>
      <c r="E50"/>
      <c r="F50"/>
      <c r="G50"/>
      <c r="H50"/>
      <c r="I50"/>
      <c r="J50"/>
      <c r="K50"/>
      <c r="L50"/>
      <c r="M50"/>
      <c r="N50"/>
      <c r="O50"/>
      <c r="P50"/>
      <c r="Q50"/>
      <c r="R50"/>
      <c r="S50"/>
      <c r="T50"/>
      <c r="U50"/>
      <c r="V50"/>
      <c r="W50"/>
      <c r="X50"/>
      <c r="Y50"/>
    </row>
    <row r="51" spans="2:26" ht="13.5" x14ac:dyDescent="0.2">
      <c r="B51" s="313"/>
      <c r="C51" s="313"/>
      <c r="D51" s="313"/>
      <c r="E51" s="313"/>
      <c r="F51" s="313"/>
      <c r="G51" s="313"/>
      <c r="H51" s="313"/>
      <c r="I51" s="313"/>
      <c r="J51" s="313"/>
      <c r="K51" s="313"/>
      <c r="L51" s="313"/>
      <c r="M51" s="313"/>
      <c r="N51" s="313"/>
      <c r="O51" s="313"/>
      <c r="P51" s="313"/>
      <c r="Q51" s="313"/>
      <c r="R51" s="313"/>
      <c r="S51" s="313"/>
      <c r="T51" s="313"/>
      <c r="U51" s="313"/>
      <c r="V51" s="313"/>
      <c r="W51" s="313"/>
      <c r="X51" s="313"/>
    </row>
    <row r="52" spans="2:26" ht="13.5" x14ac:dyDescent="0.2">
      <c r="B52" s="313"/>
      <c r="C52" s="313"/>
      <c r="D52" s="313"/>
      <c r="E52" s="313"/>
      <c r="F52" s="313"/>
      <c r="G52" s="313"/>
      <c r="H52" s="313"/>
      <c r="I52" s="313"/>
      <c r="J52" s="313"/>
      <c r="K52" s="313"/>
      <c r="L52" s="313"/>
      <c r="M52" s="313"/>
      <c r="N52" s="313"/>
      <c r="O52" s="313"/>
      <c r="P52" s="313"/>
      <c r="Q52" s="313"/>
      <c r="R52" s="313"/>
      <c r="S52" s="313"/>
      <c r="T52" s="313"/>
      <c r="U52" s="313"/>
      <c r="V52" s="313"/>
      <c r="W52" s="313"/>
      <c r="X52" s="313"/>
    </row>
    <row r="53" spans="2:26" ht="22.5" x14ac:dyDescent="0.3">
      <c r="B53" s="362"/>
      <c r="C53" s="363"/>
      <c r="D53" s="363"/>
      <c r="E53" s="363"/>
      <c r="F53" s="363"/>
      <c r="G53" s="363"/>
      <c r="H53" s="363"/>
      <c r="I53" s="363"/>
      <c r="J53" s="363"/>
      <c r="K53" s="363"/>
      <c r="L53" s="363"/>
      <c r="M53" s="363"/>
      <c r="N53" s="363"/>
      <c r="O53" s="363"/>
      <c r="P53" s="363"/>
      <c r="Q53" s="363"/>
      <c r="R53" s="363"/>
      <c r="S53" s="363"/>
      <c r="T53" s="363"/>
      <c r="U53" s="363"/>
      <c r="V53" s="363"/>
      <c r="W53" s="363"/>
      <c r="X53" s="363"/>
      <c r="Y53" s="364"/>
      <c r="Z53" s="364"/>
    </row>
    <row r="54" spans="2:26" ht="13.5" x14ac:dyDescent="0.2">
      <c r="B54" s="313"/>
      <c r="C54" s="313"/>
      <c r="D54" s="313"/>
      <c r="E54" s="313"/>
      <c r="F54" s="313"/>
      <c r="G54" s="313"/>
      <c r="H54" s="313"/>
      <c r="I54" s="313"/>
      <c r="J54" s="313"/>
      <c r="K54" s="313"/>
      <c r="L54" s="313"/>
      <c r="M54" s="313"/>
      <c r="N54" s="313"/>
      <c r="O54" s="313"/>
      <c r="P54" s="313"/>
      <c r="Q54" s="313"/>
      <c r="R54" s="313"/>
      <c r="S54" s="313"/>
      <c r="T54" s="313"/>
      <c r="U54" s="313"/>
      <c r="V54" s="313"/>
      <c r="W54" s="313"/>
      <c r="X54" s="313"/>
    </row>
    <row r="55" spans="2:26" ht="13.5" x14ac:dyDescent="0.2">
      <c r="B55" s="365"/>
      <c r="C55" s="365"/>
      <c r="D55" s="365"/>
      <c r="E55" s="365"/>
      <c r="F55" s="365"/>
      <c r="G55" s="365"/>
      <c r="H55" s="365"/>
      <c r="I55" s="365"/>
      <c r="J55" s="365"/>
      <c r="K55" s="365"/>
      <c r="L55" s="365"/>
      <c r="M55" s="365"/>
      <c r="N55" s="365"/>
      <c r="O55" s="365"/>
      <c r="P55" s="365"/>
      <c r="Q55" s="365"/>
      <c r="R55" s="365"/>
      <c r="S55" s="365"/>
      <c r="T55" s="365"/>
      <c r="U55" s="365"/>
      <c r="V55" s="365"/>
      <c r="W55" s="365"/>
      <c r="X55" s="365"/>
    </row>
    <row r="56" spans="2:26" ht="13.5" x14ac:dyDescent="0.2">
      <c r="B56" s="365"/>
      <c r="C56" s="365"/>
      <c r="D56" s="365"/>
      <c r="E56" s="365"/>
      <c r="F56" s="365"/>
      <c r="G56" s="365"/>
      <c r="H56" s="365"/>
      <c r="I56" s="365"/>
      <c r="J56" s="365"/>
      <c r="K56" s="365"/>
      <c r="L56" s="365"/>
      <c r="M56" s="365"/>
      <c r="N56" s="365"/>
      <c r="O56" s="365"/>
      <c r="P56" s="365"/>
      <c r="Q56" s="365"/>
      <c r="R56" s="365"/>
      <c r="S56" s="365"/>
      <c r="T56" s="365"/>
      <c r="U56" s="365"/>
      <c r="V56" s="365"/>
      <c r="W56" s="365"/>
      <c r="X56" s="365"/>
    </row>
    <row r="57" spans="2:26" ht="13.5" x14ac:dyDescent="0.2">
      <c r="B57" s="365"/>
      <c r="C57" s="365"/>
      <c r="D57" s="365"/>
      <c r="E57" s="365"/>
      <c r="F57" s="365"/>
      <c r="G57" s="365"/>
      <c r="H57" s="365"/>
      <c r="I57" s="365"/>
      <c r="J57" s="365"/>
      <c r="K57" s="365"/>
      <c r="L57" s="365"/>
      <c r="M57" s="365"/>
      <c r="N57" s="365"/>
      <c r="O57" s="365"/>
      <c r="P57" s="365"/>
      <c r="Q57" s="365"/>
      <c r="R57" s="365"/>
      <c r="S57" s="365"/>
      <c r="T57" s="365"/>
      <c r="U57" s="365"/>
      <c r="V57" s="365"/>
      <c r="W57" s="365"/>
      <c r="X57" s="365"/>
    </row>
    <row r="58" spans="2:26" ht="13.5" x14ac:dyDescent="0.2">
      <c r="B58" s="960"/>
      <c r="C58" s="960"/>
      <c r="D58" s="960"/>
      <c r="E58" s="960"/>
      <c r="F58" s="960"/>
      <c r="G58" s="960"/>
      <c r="H58" s="960"/>
      <c r="I58" s="960"/>
      <c r="J58" s="960"/>
      <c r="K58" s="960"/>
      <c r="L58" s="960"/>
      <c r="M58" s="960"/>
      <c r="N58" s="960"/>
      <c r="O58" s="960"/>
      <c r="P58" s="960"/>
      <c r="Q58" s="960"/>
      <c r="R58" s="960"/>
      <c r="S58" s="960"/>
      <c r="T58" s="960"/>
      <c r="U58" s="960"/>
      <c r="V58" s="960"/>
      <c r="W58" s="960"/>
      <c r="X58" s="960"/>
      <c r="Y58" s="961"/>
      <c r="Z58" s="961"/>
    </row>
    <row r="59" spans="2:26" ht="14.25" thickBot="1" x14ac:dyDescent="0.25">
      <c r="B59" s="960"/>
      <c r="C59" s="960"/>
      <c r="D59" s="960"/>
      <c r="E59" s="960"/>
      <c r="F59" s="960"/>
      <c r="G59" s="960"/>
      <c r="H59" s="960"/>
      <c r="I59" s="960"/>
      <c r="J59" s="960"/>
      <c r="K59" s="960"/>
      <c r="L59" s="960"/>
      <c r="M59" s="960"/>
      <c r="N59" s="960"/>
      <c r="O59" s="960"/>
      <c r="P59" s="960"/>
      <c r="Q59" s="960"/>
      <c r="R59" s="960"/>
      <c r="S59" s="960"/>
      <c r="T59" s="960"/>
      <c r="U59" s="960"/>
      <c r="V59" s="960"/>
      <c r="W59" s="960"/>
      <c r="X59" s="960"/>
      <c r="Y59" s="961"/>
      <c r="Z59" s="961"/>
    </row>
    <row r="60" spans="2:26" x14ac:dyDescent="0.2">
      <c r="B60" s="223" t="s">
        <v>352</v>
      </c>
      <c r="C60" s="224"/>
      <c r="D60" s="224"/>
      <c r="E60" s="224"/>
      <c r="F60" s="224"/>
      <c r="G60" s="224"/>
      <c r="H60" s="224"/>
      <c r="I60" s="224"/>
      <c r="J60" s="224"/>
      <c r="K60" s="224"/>
      <c r="L60" s="224"/>
      <c r="M60" s="224"/>
      <c r="N60" s="224"/>
      <c r="O60" s="224"/>
      <c r="P60" s="224"/>
      <c r="Q60" s="224"/>
      <c r="R60" s="224"/>
      <c r="S60" s="224"/>
      <c r="T60" s="224"/>
      <c r="U60" s="224"/>
      <c r="V60" s="224"/>
      <c r="W60" s="224"/>
      <c r="X60" s="224"/>
      <c r="Y60" s="224"/>
      <c r="Z60" s="225"/>
    </row>
    <row r="61" spans="2:26" x14ac:dyDescent="0.2">
      <c r="B61" s="956"/>
      <c r="C61" s="957"/>
      <c r="D61" s="957"/>
      <c r="E61" s="957"/>
      <c r="F61" s="957"/>
      <c r="G61" s="957"/>
      <c r="H61" s="957"/>
      <c r="I61" s="957"/>
      <c r="J61" s="957"/>
      <c r="K61" s="957"/>
      <c r="L61" s="957"/>
      <c r="M61" s="957"/>
      <c r="N61" s="957"/>
      <c r="O61" s="957"/>
      <c r="P61" s="957"/>
      <c r="Q61" s="957"/>
      <c r="R61" s="957"/>
      <c r="S61" s="957"/>
      <c r="T61" s="957"/>
      <c r="U61" s="957"/>
      <c r="V61" s="957"/>
      <c r="W61" s="957"/>
      <c r="X61" s="957"/>
      <c r="Y61" s="957"/>
      <c r="Z61" s="958"/>
    </row>
    <row r="62" spans="2:26" x14ac:dyDescent="0.2">
      <c r="B62" s="956"/>
      <c r="C62" s="957"/>
      <c r="D62" s="957"/>
      <c r="E62" s="957"/>
      <c r="F62" s="957"/>
      <c r="G62" s="957"/>
      <c r="H62" s="957"/>
      <c r="I62" s="957"/>
      <c r="J62" s="957"/>
      <c r="K62" s="957"/>
      <c r="L62" s="957"/>
      <c r="M62" s="957"/>
      <c r="N62" s="957"/>
      <c r="O62" s="957"/>
      <c r="P62" s="957"/>
      <c r="Q62" s="957"/>
      <c r="R62" s="957"/>
      <c r="S62" s="957"/>
      <c r="T62" s="957"/>
      <c r="U62" s="957"/>
      <c r="V62" s="957"/>
      <c r="W62" s="957"/>
      <c r="X62" s="957"/>
      <c r="Y62" s="957"/>
      <c r="Z62" s="958"/>
    </row>
    <row r="63" spans="2:26" x14ac:dyDescent="0.2">
      <c r="B63" s="956"/>
      <c r="C63" s="957"/>
      <c r="D63" s="957"/>
      <c r="E63" s="957"/>
      <c r="F63" s="957"/>
      <c r="G63" s="957"/>
      <c r="H63" s="957"/>
      <c r="I63" s="957"/>
      <c r="J63" s="957"/>
      <c r="K63" s="957"/>
      <c r="L63" s="957"/>
      <c r="M63" s="957"/>
      <c r="N63" s="957"/>
      <c r="O63" s="957"/>
      <c r="P63" s="957"/>
      <c r="Q63" s="957"/>
      <c r="R63" s="957"/>
      <c r="S63" s="957"/>
      <c r="T63" s="957"/>
      <c r="U63" s="957"/>
      <c r="V63" s="957"/>
      <c r="W63" s="957"/>
      <c r="X63" s="957"/>
      <c r="Y63" s="957"/>
      <c r="Z63" s="958"/>
    </row>
    <row r="64" spans="2:26" x14ac:dyDescent="0.2">
      <c r="B64" s="366"/>
      <c r="C64" s="367"/>
      <c r="D64" s="367"/>
      <c r="E64" s="367"/>
      <c r="F64" s="367"/>
      <c r="G64" s="367"/>
      <c r="H64" s="367"/>
      <c r="I64" s="367"/>
      <c r="J64" s="367"/>
      <c r="K64" s="367"/>
      <c r="L64" s="367"/>
      <c r="M64" s="367"/>
      <c r="N64" s="367"/>
      <c r="O64" s="367"/>
      <c r="P64" s="367"/>
      <c r="Q64" s="367"/>
      <c r="R64" s="367"/>
      <c r="S64" s="367"/>
      <c r="T64" s="367"/>
      <c r="U64" s="367"/>
      <c r="V64" s="367"/>
      <c r="W64" s="367"/>
      <c r="X64" s="367"/>
      <c r="Y64" s="367"/>
      <c r="Z64" s="368"/>
    </row>
    <row r="65" spans="2:26" x14ac:dyDescent="0.2">
      <c r="B65" s="369"/>
      <c r="C65" s="370"/>
      <c r="D65" s="370"/>
      <c r="E65" s="370"/>
      <c r="F65" s="370"/>
      <c r="G65" s="370"/>
      <c r="H65" s="370"/>
      <c r="I65" s="370"/>
      <c r="J65" s="370"/>
      <c r="K65" s="370"/>
      <c r="L65" s="370"/>
      <c r="M65" s="370"/>
      <c r="N65" s="370"/>
      <c r="O65" s="370"/>
      <c r="P65" s="370"/>
      <c r="Q65" s="370"/>
      <c r="R65" s="370"/>
      <c r="S65" s="370"/>
      <c r="T65" s="370"/>
      <c r="U65" s="370"/>
      <c r="V65" s="370"/>
      <c r="W65" s="370"/>
      <c r="X65" s="370"/>
      <c r="Y65" s="370"/>
      <c r="Z65" s="371"/>
    </row>
    <row r="66" spans="2:26" x14ac:dyDescent="0.2">
      <c r="B66" s="372"/>
      <c r="C66" s="373"/>
      <c r="D66" s="373"/>
      <c r="E66" s="373"/>
      <c r="F66" s="373"/>
      <c r="G66" s="373"/>
      <c r="H66" s="373"/>
      <c r="I66" s="373"/>
      <c r="J66" s="373"/>
      <c r="K66" s="373"/>
      <c r="L66" s="373"/>
      <c r="M66" s="373"/>
      <c r="N66" s="373"/>
      <c r="O66" s="373"/>
      <c r="P66" s="373"/>
      <c r="Q66" s="373"/>
      <c r="R66" s="373"/>
      <c r="S66" s="373"/>
      <c r="T66" s="373"/>
      <c r="U66" s="373"/>
      <c r="V66" s="373"/>
      <c r="W66" s="373"/>
      <c r="X66" s="373"/>
      <c r="Y66" s="373"/>
      <c r="Z66" s="374"/>
    </row>
    <row r="67" spans="2:26" ht="13.5" thickBot="1" x14ac:dyDescent="0.25">
      <c r="B67" s="4495" t="s">
        <v>2208</v>
      </c>
      <c r="C67" s="4496"/>
      <c r="D67" s="4496"/>
      <c r="E67" s="4496"/>
      <c r="F67" s="4496"/>
      <c r="G67" s="4496"/>
      <c r="H67" s="4496"/>
      <c r="I67" s="4496"/>
      <c r="J67" s="4496"/>
      <c r="K67" s="4496"/>
      <c r="L67" s="4496"/>
      <c r="M67" s="4496"/>
      <c r="N67" s="4496"/>
      <c r="O67" s="4496"/>
      <c r="P67" s="4496"/>
      <c r="Q67" s="4496"/>
      <c r="R67" s="4496"/>
      <c r="S67" s="4496"/>
      <c r="T67" s="4496"/>
      <c r="U67" s="4496"/>
      <c r="V67" s="4496"/>
      <c r="W67" s="4496"/>
      <c r="X67" s="4496"/>
      <c r="Y67" s="4496"/>
      <c r="Z67" s="4497"/>
    </row>
  </sheetData>
  <mergeCells count="1">
    <mergeCell ref="B67:Z67"/>
  </mergeCells>
  <dataValidations count="1">
    <dataValidation allowBlank="1" showInputMessage="1" showErrorMessage="1" sqref="E5 E7 F5:F8 G5:Q5 Y45:Y63 A1:XFD4 G7:Q8 C5:D50 C60:X63 E9:E29 AA24:IZ65407 F10:Q29 B5:B65547 V24:Z44 V45:X50 C68:Z65414 V5:IZ23 E30:Q50 Z45:Z66 C64:Y66 R5:U5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2"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866</v>
      </c>
      <c r="G1" s="14" t="s">
        <v>2521</v>
      </c>
    </row>
    <row r="2" spans="1:9" ht="15.75" customHeight="1" x14ac:dyDescent="0.2">
      <c r="B2" s="3" t="s">
        <v>867</v>
      </c>
      <c r="G2" s="14" t="s">
        <v>2522</v>
      </c>
    </row>
    <row r="3" spans="1:9" ht="15.75" customHeight="1" x14ac:dyDescent="0.2">
      <c r="B3" s="3" t="s">
        <v>62</v>
      </c>
      <c r="G3" s="14" t="s">
        <v>2144</v>
      </c>
    </row>
    <row r="4" spans="1:9" ht="12" hidden="1" customHeight="1" x14ac:dyDescent="0.2">
      <c r="A4" s="457"/>
      <c r="B4" s="3"/>
      <c r="G4" s="226"/>
    </row>
    <row r="5" spans="1:9" ht="12" hidden="1" customHeight="1" x14ac:dyDescent="0.2">
      <c r="A5" s="457"/>
      <c r="B5" s="3"/>
      <c r="G5" s="226"/>
    </row>
    <row r="6" spans="1:9" ht="12" customHeight="1" thickBot="1" x14ac:dyDescent="0.25">
      <c r="B6" s="2446" t="s">
        <v>64</v>
      </c>
    </row>
    <row r="7" spans="1:9" ht="25.5" x14ac:dyDescent="0.2">
      <c r="B7" s="1810" t="s">
        <v>326</v>
      </c>
      <c r="C7" s="823" t="s">
        <v>727</v>
      </c>
      <c r="D7" s="823"/>
      <c r="E7" s="1096"/>
      <c r="F7" s="2302" t="s">
        <v>868</v>
      </c>
      <c r="G7" s="203" t="s">
        <v>124</v>
      </c>
    </row>
    <row r="8" spans="1:9" ht="13.5" x14ac:dyDescent="0.2">
      <c r="B8" s="432" t="s">
        <v>328</v>
      </c>
      <c r="C8" s="1811" t="s">
        <v>869</v>
      </c>
      <c r="D8" s="335" t="s">
        <v>870</v>
      </c>
      <c r="E8" s="331"/>
      <c r="F8" s="2303" t="s">
        <v>330</v>
      </c>
      <c r="G8" s="2300" t="s">
        <v>330</v>
      </c>
    </row>
    <row r="9" spans="1:9" ht="15" thickBot="1" x14ac:dyDescent="0.25">
      <c r="B9" s="1812"/>
      <c r="C9" s="1619" t="s">
        <v>871</v>
      </c>
      <c r="D9" s="1813" t="s">
        <v>872</v>
      </c>
      <c r="E9" s="1814" t="s">
        <v>873</v>
      </c>
      <c r="F9" s="402" t="s">
        <v>874</v>
      </c>
      <c r="G9" s="2301" t="s">
        <v>73</v>
      </c>
    </row>
    <row r="10" spans="1:9" ht="18" customHeight="1" thickTop="1" x14ac:dyDescent="0.2">
      <c r="B10" s="1620" t="s">
        <v>875</v>
      </c>
      <c r="C10" s="376"/>
      <c r="D10" s="134"/>
      <c r="E10" s="377"/>
      <c r="F10" s="2304"/>
      <c r="G10" s="3164">
        <f>IF(SUM(G11:G12)=0,"NO",SUM(G11:G12))</f>
        <v>16.217770975000001</v>
      </c>
    </row>
    <row r="11" spans="1:9" ht="18" customHeight="1" x14ac:dyDescent="0.2">
      <c r="B11" s="439" t="s">
        <v>876</v>
      </c>
      <c r="C11" s="4147">
        <v>1.0206275</v>
      </c>
      <c r="D11" s="243" t="s">
        <v>2146</v>
      </c>
      <c r="E11" s="283" t="s">
        <v>2146</v>
      </c>
      <c r="F11" s="2305">
        <f>IF(SUM(C11)=0,"NA",G11/C11)</f>
        <v>15.89</v>
      </c>
      <c r="G11" s="3093">
        <v>16.217770975000001</v>
      </c>
    </row>
    <row r="12" spans="1:9" ht="18" customHeight="1" x14ac:dyDescent="0.2">
      <c r="B12" s="356" t="s">
        <v>877</v>
      </c>
      <c r="C12" s="441" t="str">
        <f>IF(SUM(C13:C14)=0,"NO",SUM(C13:C14))</f>
        <v>NO</v>
      </c>
      <c r="D12" s="276" t="str">
        <f>IF(SUM(D13:D14)=0,"NO",SUM(D13:D14))</f>
        <v>NO</v>
      </c>
      <c r="E12" s="445" t="str">
        <f>IF(SUM(E13:E14)=0,"NO",SUM(E13:E14))</f>
        <v>NO</v>
      </c>
      <c r="F12" s="2305" t="str">
        <f t="shared" ref="F12:F22" si="0">IF(SUM(C12)=0,"NA",G12/C12)</f>
        <v>NA</v>
      </c>
      <c r="G12" s="1848" t="str">
        <f>IF(SUM(G13:G14)=0,"NO",SUM(G13:G14))</f>
        <v>NO</v>
      </c>
      <c r="I12" s="379"/>
    </row>
    <row r="13" spans="1:9" ht="18" customHeight="1" x14ac:dyDescent="0.2">
      <c r="B13" s="1621" t="s">
        <v>878</v>
      </c>
      <c r="C13" s="378" t="s">
        <v>2146</v>
      </c>
      <c r="D13" s="243" t="s">
        <v>2146</v>
      </c>
      <c r="E13" s="283" t="s">
        <v>2146</v>
      </c>
      <c r="F13" s="2306" t="str">
        <f t="shared" si="0"/>
        <v>NA</v>
      </c>
      <c r="G13" s="2166" t="s">
        <v>2146</v>
      </c>
      <c r="I13" s="379"/>
    </row>
    <row r="14" spans="1:9" ht="18" customHeight="1" thickBot="1" x14ac:dyDescent="0.25">
      <c r="B14" s="1622" t="s">
        <v>879</v>
      </c>
      <c r="C14" s="378" t="s">
        <v>2146</v>
      </c>
      <c r="D14" s="243" t="s">
        <v>2146</v>
      </c>
      <c r="E14" s="283" t="s">
        <v>2146</v>
      </c>
      <c r="F14" s="2307" t="str">
        <f t="shared" si="0"/>
        <v>NA</v>
      </c>
      <c r="G14" s="2169" t="s">
        <v>2146</v>
      </c>
    </row>
    <row r="15" spans="1:9" ht="18" customHeight="1" x14ac:dyDescent="0.2">
      <c r="B15" s="1623" t="s">
        <v>880</v>
      </c>
      <c r="C15" s="380"/>
      <c r="D15" s="381"/>
      <c r="E15" s="382"/>
      <c r="F15" s="2308"/>
      <c r="G15" s="2171" t="str">
        <f>IF(SUM(G16:G17)=0,"NO",SUM(G16:G17))</f>
        <v>NO</v>
      </c>
    </row>
    <row r="16" spans="1:9" ht="18" customHeight="1" x14ac:dyDescent="0.2">
      <c r="B16" s="439" t="s">
        <v>881</v>
      </c>
      <c r="C16" s="378" t="s">
        <v>2146</v>
      </c>
      <c r="D16" s="243" t="s">
        <v>2146</v>
      </c>
      <c r="E16" s="283" t="s">
        <v>2146</v>
      </c>
      <c r="F16" s="2306" t="str">
        <f t="shared" si="0"/>
        <v>NA</v>
      </c>
      <c r="G16" s="2166" t="s">
        <v>2146</v>
      </c>
    </row>
    <row r="17" spans="2:7" ht="18" customHeight="1" thickBot="1" x14ac:dyDescent="0.25">
      <c r="B17" s="1624" t="s">
        <v>882</v>
      </c>
      <c r="C17" s="378" t="s">
        <v>2146</v>
      </c>
      <c r="D17" s="243" t="s">
        <v>2146</v>
      </c>
      <c r="E17" s="283" t="s">
        <v>2146</v>
      </c>
      <c r="F17" s="2307" t="str">
        <f t="shared" si="0"/>
        <v>NA</v>
      </c>
      <c r="G17" s="2169" t="s">
        <v>2146</v>
      </c>
    </row>
    <row r="18" spans="2:7" ht="18" customHeight="1" x14ac:dyDescent="0.2">
      <c r="B18" s="1623" t="s">
        <v>883</v>
      </c>
      <c r="C18" s="380"/>
      <c r="D18" s="381"/>
      <c r="E18" s="382"/>
      <c r="F18" s="2308"/>
      <c r="G18" s="2171" t="str">
        <f>IF(SUM(G19:G20)=0,"NO",SUM(G19:G20))</f>
        <v>NO</v>
      </c>
    </row>
    <row r="19" spans="2:7" ht="18" customHeight="1" x14ac:dyDescent="0.2">
      <c r="B19" s="439" t="s">
        <v>884</v>
      </c>
      <c r="C19" s="378" t="s">
        <v>2146</v>
      </c>
      <c r="D19" s="243" t="s">
        <v>2146</v>
      </c>
      <c r="E19" s="283" t="s">
        <v>2146</v>
      </c>
      <c r="F19" s="2306" t="str">
        <f t="shared" si="0"/>
        <v>NA</v>
      </c>
      <c r="G19" s="2166" t="s">
        <v>2146</v>
      </c>
    </row>
    <row r="20" spans="2:7" ht="18" customHeight="1" thickBot="1" x14ac:dyDescent="0.25">
      <c r="B20" s="1624" t="s">
        <v>885</v>
      </c>
      <c r="C20" s="378" t="s">
        <v>2146</v>
      </c>
      <c r="D20" s="243" t="s">
        <v>2146</v>
      </c>
      <c r="E20" s="283" t="s">
        <v>2146</v>
      </c>
      <c r="F20" s="2307" t="str">
        <f t="shared" si="0"/>
        <v>NA</v>
      </c>
      <c r="G20" s="2169" t="s">
        <v>2146</v>
      </c>
    </row>
    <row r="21" spans="2:7" ht="18" customHeight="1" x14ac:dyDescent="0.2">
      <c r="B21" s="1625" t="s">
        <v>886</v>
      </c>
      <c r="C21" s="380"/>
      <c r="D21" s="381"/>
      <c r="E21" s="382"/>
      <c r="F21" s="2308"/>
      <c r="G21" s="2168" t="str">
        <f>G22</f>
        <v>NO</v>
      </c>
    </row>
    <row r="22" spans="2:7" ht="18" customHeight="1" thickBot="1" x14ac:dyDescent="0.25">
      <c r="B22" s="2666" t="s">
        <v>2147</v>
      </c>
      <c r="C22" s="378" t="s">
        <v>2146</v>
      </c>
      <c r="D22" s="243" t="s">
        <v>2146</v>
      </c>
      <c r="E22" s="283" t="s">
        <v>2146</v>
      </c>
      <c r="F22" s="2307" t="str">
        <f t="shared" si="0"/>
        <v>NA</v>
      </c>
      <c r="G22" s="383" t="s">
        <v>2146</v>
      </c>
    </row>
    <row r="23" spans="2:7" ht="18" customHeight="1" thickBot="1" x14ac:dyDescent="0.25">
      <c r="B23" s="1457"/>
      <c r="C23" s="1458"/>
      <c r="D23" s="1458"/>
      <c r="E23" s="1458"/>
      <c r="F23" s="1458"/>
      <c r="G23" s="1459"/>
    </row>
    <row r="24" spans="2:7" ht="18" customHeight="1" x14ac:dyDescent="0.2">
      <c r="B24" s="1617" t="s">
        <v>887</v>
      </c>
      <c r="C24" s="384" t="s">
        <v>2146</v>
      </c>
      <c r="D24" s="2309"/>
      <c r="E24" s="2310"/>
      <c r="F24" s="2310"/>
      <c r="G24" s="2311"/>
    </row>
    <row r="25" spans="2:7" ht="18" customHeight="1" thickBot="1" x14ac:dyDescent="0.25">
      <c r="B25" s="1618" t="s">
        <v>888</v>
      </c>
      <c r="C25" s="4148">
        <f>C11</f>
        <v>1.0206275</v>
      </c>
      <c r="D25" s="2312"/>
      <c r="E25" s="2313"/>
      <c r="F25" s="2314"/>
      <c r="G25" s="2315"/>
    </row>
    <row r="27" spans="2:7" ht="13.5" x14ac:dyDescent="0.2">
      <c r="B27" s="1077"/>
      <c r="C27" s="1077"/>
      <c r="D27" s="1077"/>
      <c r="E27" s="1077"/>
      <c r="F27" s="1077"/>
    </row>
    <row r="28" spans="2:7" ht="13.5" x14ac:dyDescent="0.2">
      <c r="B28" s="1077"/>
      <c r="C28" s="1077"/>
      <c r="D28" s="1077"/>
      <c r="E28" s="1077"/>
      <c r="F28" s="1077"/>
    </row>
    <row r="29" spans="2:7" ht="13.5" x14ac:dyDescent="0.2">
      <c r="B29" s="1077"/>
      <c r="C29" s="1077"/>
      <c r="D29" s="1077"/>
      <c r="E29" s="1077"/>
      <c r="F29" s="1077"/>
    </row>
    <row r="30" spans="2:7" ht="13.5" x14ac:dyDescent="0.2">
      <c r="B30" s="1077"/>
      <c r="C30" s="1077"/>
      <c r="D30" s="1077"/>
      <c r="E30" s="1077"/>
      <c r="F30" s="1077"/>
    </row>
    <row r="31" spans="2:7" ht="13.5" x14ac:dyDescent="0.2">
      <c r="B31" s="1077"/>
      <c r="C31" s="1077"/>
      <c r="D31" s="1077"/>
      <c r="E31" s="1077"/>
      <c r="F31" s="1077"/>
    </row>
    <row r="32" spans="2:7" ht="13.5" x14ac:dyDescent="0.2">
      <c r="B32" s="312"/>
      <c r="C32" s="312"/>
      <c r="D32" s="312"/>
      <c r="E32" s="312"/>
      <c r="F32" s="312"/>
    </row>
    <row r="33" spans="2:7" ht="14.25" thickBot="1" x14ac:dyDescent="0.25">
      <c r="B33" s="312"/>
      <c r="C33" s="312"/>
      <c r="D33" s="312"/>
      <c r="E33" s="312"/>
      <c r="F33" s="312"/>
    </row>
    <row r="34" spans="2:7" ht="12.75" x14ac:dyDescent="0.2">
      <c r="B34" s="292" t="s">
        <v>352</v>
      </c>
      <c r="C34" s="293"/>
      <c r="D34" s="293"/>
      <c r="E34" s="293"/>
      <c r="F34" s="293"/>
      <c r="G34" s="294"/>
    </row>
    <row r="35" spans="2:7" ht="12.75" x14ac:dyDescent="0.2">
      <c r="B35" s="295"/>
      <c r="C35" s="296"/>
      <c r="D35" s="296"/>
      <c r="E35" s="296"/>
      <c r="F35" s="296"/>
      <c r="G35" s="297"/>
    </row>
    <row r="36" spans="2:7" ht="12.75" x14ac:dyDescent="0.2">
      <c r="B36" s="295"/>
      <c r="C36" s="296"/>
      <c r="D36" s="296"/>
      <c r="E36" s="296"/>
      <c r="F36" s="296"/>
      <c r="G36" s="297"/>
    </row>
    <row r="37" spans="2:7" ht="12.75" x14ac:dyDescent="0.2">
      <c r="B37" s="295"/>
      <c r="C37" s="296"/>
      <c r="D37" s="296"/>
      <c r="E37" s="296"/>
      <c r="F37" s="296"/>
      <c r="G37" s="297"/>
    </row>
    <row r="38" spans="2:7" ht="12.75" x14ac:dyDescent="0.2">
      <c r="B38" s="295"/>
      <c r="C38" s="296"/>
      <c r="D38" s="296"/>
      <c r="E38" s="296"/>
      <c r="F38" s="296"/>
      <c r="G38" s="297"/>
    </row>
    <row r="39" spans="2:7" ht="12.75" x14ac:dyDescent="0.2">
      <c r="B39" s="295"/>
      <c r="C39" s="296"/>
      <c r="D39" s="296"/>
      <c r="E39" s="296"/>
      <c r="F39" s="296"/>
      <c r="G39" s="297"/>
    </row>
    <row r="40" spans="2:7" ht="13.5" thickBot="1" x14ac:dyDescent="0.25">
      <c r="B40" s="1585"/>
      <c r="C40" s="1586"/>
      <c r="D40" s="1586"/>
      <c r="E40" s="1586"/>
      <c r="F40" s="1586"/>
      <c r="G40" s="1587"/>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7"/>
  <sheetViews>
    <sheetView showGridLines="0" zoomScale="80" zoomScaleNormal="80" workbookViewId="0">
      <pane xSplit="1" ySplit="7" topLeftCell="B8" activePane="bottomRight" state="frozen"/>
      <selection pane="topRight" activeCell="B1" sqref="B1"/>
      <selection pane="bottomLeft" activeCell="A8" sqref="A8"/>
      <selection pane="bottomRight" activeCell="I15" sqref="I15"/>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889</v>
      </c>
      <c r="C1" s="213"/>
      <c r="F1" s="14" t="s">
        <v>2521</v>
      </c>
    </row>
    <row r="2" spans="2:10" ht="17.25" x14ac:dyDescent="0.2">
      <c r="B2" s="213" t="s">
        <v>890</v>
      </c>
      <c r="C2" s="213"/>
      <c r="F2" s="14" t="s">
        <v>2522</v>
      </c>
    </row>
    <row r="3" spans="2:10" ht="15.75" x14ac:dyDescent="0.2">
      <c r="B3" s="3" t="s">
        <v>62</v>
      </c>
      <c r="F3" s="14" t="s">
        <v>2144</v>
      </c>
      <c r="G3" s="385"/>
    </row>
    <row r="4" spans="2:10" ht="12" hidden="1" customHeight="1" x14ac:dyDescent="0.2">
      <c r="B4" s="3"/>
      <c r="F4" s="2"/>
      <c r="G4" s="385"/>
    </row>
    <row r="5" spans="2:10" ht="12" hidden="1" customHeight="1" x14ac:dyDescent="0.2">
      <c r="B5" s="3"/>
      <c r="F5" s="2"/>
      <c r="G5" s="385"/>
    </row>
    <row r="6" spans="2:10" ht="12" customHeight="1" thickBot="1" x14ac:dyDescent="0.25">
      <c r="B6" s="2446" t="s">
        <v>64</v>
      </c>
      <c r="H6" s="386" t="s">
        <v>417</v>
      </c>
      <c r="I6" s="386"/>
      <c r="J6" s="387"/>
    </row>
    <row r="7" spans="2:10" ht="27" customHeight="1" x14ac:dyDescent="0.2">
      <c r="B7" s="388" t="s">
        <v>65</v>
      </c>
      <c r="C7" s="389" t="s">
        <v>727</v>
      </c>
      <c r="D7" s="203"/>
      <c r="E7" s="2017" t="s">
        <v>123</v>
      </c>
      <c r="F7" s="2018" t="s">
        <v>124</v>
      </c>
      <c r="H7" s="390" t="s">
        <v>1955</v>
      </c>
      <c r="I7" s="391" t="s">
        <v>619</v>
      </c>
      <c r="J7" s="392" t="s">
        <v>359</v>
      </c>
    </row>
    <row r="8" spans="2:10" ht="24" customHeight="1" x14ac:dyDescent="0.2">
      <c r="B8" s="393"/>
      <c r="C8" s="321" t="s">
        <v>619</v>
      </c>
      <c r="D8" s="394" t="s">
        <v>1881</v>
      </c>
      <c r="E8" s="395"/>
      <c r="F8" s="396" t="s">
        <v>68</v>
      </c>
      <c r="H8" s="397" t="s">
        <v>891</v>
      </c>
      <c r="I8" s="398" t="s">
        <v>892</v>
      </c>
      <c r="J8" s="399">
        <v>0.11</v>
      </c>
    </row>
    <row r="9" spans="2:10" ht="51.75" thickBot="1" x14ac:dyDescent="0.25">
      <c r="B9" s="400"/>
      <c r="C9" s="342"/>
      <c r="D9" s="401" t="s">
        <v>893</v>
      </c>
      <c r="E9" s="402" t="s">
        <v>1954</v>
      </c>
      <c r="F9" s="269" t="s">
        <v>73</v>
      </c>
      <c r="H9" s="397" t="s">
        <v>894</v>
      </c>
      <c r="I9" s="398" t="s">
        <v>895</v>
      </c>
      <c r="J9" s="399">
        <v>0.21</v>
      </c>
    </row>
    <row r="10" spans="2:10" ht="24" customHeight="1" thickTop="1" thickBot="1" x14ac:dyDescent="0.25">
      <c r="B10" s="403" t="s">
        <v>896</v>
      </c>
      <c r="C10" s="404"/>
      <c r="D10" s="405"/>
      <c r="E10" s="406"/>
      <c r="F10" s="3424">
        <f>IF(SUM(F11:F12,F16:F20)=0,"NO",SUM(F11:F12,F16:F20))</f>
        <v>33.013015328502789</v>
      </c>
      <c r="H10" s="397" t="s">
        <v>897</v>
      </c>
      <c r="I10" s="398" t="s">
        <v>898</v>
      </c>
      <c r="J10" s="399">
        <v>0.21</v>
      </c>
    </row>
    <row r="11" spans="2:10" ht="24" customHeight="1" x14ac:dyDescent="0.2">
      <c r="B11" s="2431" t="s">
        <v>1949</v>
      </c>
      <c r="C11" s="2432" t="s">
        <v>899</v>
      </c>
      <c r="D11" s="3720">
        <v>858102.99160249985</v>
      </c>
      <c r="E11" s="3714">
        <f>IF(SUM(D11)=0,"NA",F11*1000/D11/(44/28))</f>
        <v>4.8539735193997716E-3</v>
      </c>
      <c r="F11" s="3425">
        <v>6.5453287399598361</v>
      </c>
      <c r="H11" s="397" t="s">
        <v>900</v>
      </c>
      <c r="I11" s="398" t="s">
        <v>901</v>
      </c>
      <c r="J11" s="399">
        <v>0.24</v>
      </c>
    </row>
    <row r="12" spans="2:10" ht="24" customHeight="1" thickBot="1" x14ac:dyDescent="0.25">
      <c r="B12" s="2431" t="s">
        <v>1950</v>
      </c>
      <c r="C12" s="2433" t="s">
        <v>902</v>
      </c>
      <c r="D12" s="3721">
        <f>IF(SUM(D13:D15)=0,"NO",SUM(D13:D15))</f>
        <v>102260.25046221339</v>
      </c>
      <c r="E12" s="3715">
        <f t="shared" ref="E12:E23" si="0">IF(SUM(D12)=0,"NA",F12*1000/D12/(44/28))</f>
        <v>8.6570381448203906E-3</v>
      </c>
      <c r="F12" s="3426">
        <f>IF(SUM(F13:F15)=0,"NO",SUM(F13:F15))</f>
        <v>1.3911399683504215</v>
      </c>
      <c r="H12" s="407" t="s">
        <v>903</v>
      </c>
      <c r="I12" s="408" t="s">
        <v>2147</v>
      </c>
      <c r="J12" s="2668" t="s">
        <v>2147</v>
      </c>
    </row>
    <row r="13" spans="2:10" ht="24" customHeight="1" x14ac:dyDescent="0.2">
      <c r="B13" s="2431" t="s">
        <v>904</v>
      </c>
      <c r="C13" s="2432" t="s">
        <v>905</v>
      </c>
      <c r="D13" s="3722">
        <v>95144.803147168903</v>
      </c>
      <c r="E13" s="3714">
        <f t="shared" si="0"/>
        <v>8.6313895867186335E-3</v>
      </c>
      <c r="F13" s="3425">
        <v>1.290507213466221</v>
      </c>
      <c r="H13" s="1436" t="s">
        <v>906</v>
      </c>
      <c r="I13" s="1078"/>
      <c r="J13" s="1078"/>
    </row>
    <row r="14" spans="2:10" ht="24" customHeight="1" x14ac:dyDescent="0.2">
      <c r="B14" s="2431" t="s">
        <v>907</v>
      </c>
      <c r="C14" s="2432" t="s">
        <v>908</v>
      </c>
      <c r="D14" s="3722">
        <v>7115.4473150444901</v>
      </c>
      <c r="E14" s="3714">
        <f t="shared" si="0"/>
        <v>8.9999999999999941E-3</v>
      </c>
      <c r="F14" s="3425">
        <v>0.10063275488420058</v>
      </c>
      <c r="H14" s="1437" t="s">
        <v>1795</v>
      </c>
      <c r="I14" s="1078"/>
      <c r="J14" s="1078"/>
    </row>
    <row r="15" spans="2:10" ht="24" customHeight="1" x14ac:dyDescent="0.2">
      <c r="B15" s="2434" t="s">
        <v>909</v>
      </c>
      <c r="C15" s="2432" t="s">
        <v>910</v>
      </c>
      <c r="D15" s="3722" t="s">
        <v>2154</v>
      </c>
      <c r="E15" s="3714" t="str">
        <f t="shared" si="0"/>
        <v>NA</v>
      </c>
      <c r="F15" s="3425" t="s">
        <v>2154</v>
      </c>
    </row>
    <row r="16" spans="2:10" ht="24" customHeight="1" x14ac:dyDescent="0.2">
      <c r="B16" s="2431" t="s">
        <v>911</v>
      </c>
      <c r="C16" s="2432" t="s">
        <v>912</v>
      </c>
      <c r="D16" s="3722">
        <v>1859225.6479675556</v>
      </c>
      <c r="E16" s="3714">
        <f t="shared" si="0"/>
        <v>3.9999999999999983E-3</v>
      </c>
      <c r="F16" s="3425">
        <v>11.686561215796059</v>
      </c>
    </row>
    <row r="17" spans="2:11" ht="24" customHeight="1" x14ac:dyDescent="0.2">
      <c r="B17" s="2431" t="s">
        <v>913</v>
      </c>
      <c r="C17" s="2432" t="s">
        <v>914</v>
      </c>
      <c r="D17" s="3722">
        <v>816610.94492302625</v>
      </c>
      <c r="E17" s="3714">
        <f t="shared" si="0"/>
        <v>0.01</v>
      </c>
      <c r="F17" s="3425">
        <v>12.832457705933269</v>
      </c>
    </row>
    <row r="18" spans="2:11" ht="24" customHeight="1" x14ac:dyDescent="0.2">
      <c r="B18" s="2431" t="s">
        <v>1951</v>
      </c>
      <c r="C18" s="2432" t="s">
        <v>915</v>
      </c>
      <c r="D18" s="3722">
        <v>149395.17678374701</v>
      </c>
      <c r="E18" s="3716">
        <f t="shared" si="0"/>
        <v>1.9999999999999983E-3</v>
      </c>
      <c r="F18" s="3427">
        <v>0.46952769846320452</v>
      </c>
    </row>
    <row r="19" spans="2:11" ht="24" customHeight="1" x14ac:dyDescent="0.2">
      <c r="B19" s="2431" t="s">
        <v>1952</v>
      </c>
      <c r="C19" s="2432" t="s">
        <v>916</v>
      </c>
      <c r="D19" s="3722">
        <v>4000</v>
      </c>
      <c r="E19" s="3716">
        <f>IF(SUM(D19)=0,"NA",F19*1000000/D19/(44/28))</f>
        <v>14</v>
      </c>
      <c r="F19" s="3425">
        <v>8.7999999999999995E-2</v>
      </c>
    </row>
    <row r="20" spans="2:11" ht="24" customHeight="1" thickBot="1" x14ac:dyDescent="0.25">
      <c r="B20" s="2435" t="s">
        <v>917</v>
      </c>
      <c r="C20" s="2436" t="s">
        <v>2147</v>
      </c>
      <c r="D20" s="3723" t="s">
        <v>2146</v>
      </c>
      <c r="E20" s="3717" t="s">
        <v>2147</v>
      </c>
      <c r="F20" s="3428" t="s">
        <v>2146</v>
      </c>
    </row>
    <row r="21" spans="2:11" ht="24" customHeight="1" thickTop="1" x14ac:dyDescent="0.2">
      <c r="B21" s="409" t="s">
        <v>918</v>
      </c>
      <c r="C21" s="2437"/>
      <c r="D21" s="3724"/>
      <c r="E21" s="3718"/>
      <c r="F21" s="3429">
        <f>IF(SUM(F22:F23)=0,"NO",SUM(F22:F23))</f>
        <v>10.28016567491566</v>
      </c>
    </row>
    <row r="22" spans="2:11" ht="24" customHeight="1" x14ac:dyDescent="0.2">
      <c r="B22" s="2438" t="s">
        <v>1953</v>
      </c>
      <c r="C22" s="2432" t="s">
        <v>919</v>
      </c>
      <c r="D22" s="3722">
        <v>506232.21327337599</v>
      </c>
      <c r="E22" s="3714">
        <f t="shared" si="0"/>
        <v>2.8857131512129222E-3</v>
      </c>
      <c r="F22" s="3425">
        <v>2.2956072156452376</v>
      </c>
    </row>
    <row r="23" spans="2:11" ht="24" customHeight="1" thickBot="1" x14ac:dyDescent="0.25">
      <c r="B23" s="410" t="s">
        <v>920</v>
      </c>
      <c r="C23" s="411" t="s">
        <v>921</v>
      </c>
      <c r="D23" s="3725">
        <v>462595.80687092297</v>
      </c>
      <c r="E23" s="3719">
        <f t="shared" si="0"/>
        <v>1.0983849357106522E-2</v>
      </c>
      <c r="F23" s="3430">
        <v>7.9845584592704224</v>
      </c>
    </row>
    <row r="25" spans="2:11" ht="12" customHeight="1" x14ac:dyDescent="0.2">
      <c r="B25" s="72"/>
      <c r="C25" s="72"/>
      <c r="D25" s="72"/>
      <c r="E25" s="72"/>
      <c r="F25" s="72"/>
    </row>
    <row r="26" spans="2:11" ht="12" customHeight="1" x14ac:dyDescent="0.2">
      <c r="B26" s="72"/>
      <c r="C26" s="967"/>
      <c r="D26" s="967"/>
      <c r="E26" s="967"/>
      <c r="F26" s="967"/>
    </row>
    <row r="27" spans="2:11" ht="12" customHeight="1" x14ac:dyDescent="0.2">
      <c r="B27" s="1079"/>
      <c r="C27" s="1079"/>
      <c r="D27" s="1079"/>
      <c r="E27" s="1079"/>
      <c r="F27" s="1079"/>
      <c r="G27" s="412"/>
      <c r="H27"/>
      <c r="I27"/>
      <c r="J27"/>
      <c r="K27"/>
    </row>
    <row r="28" spans="2:11" ht="12" customHeight="1" x14ac:dyDescent="0.2">
      <c r="B28" s="1079"/>
      <c r="C28" s="1079"/>
      <c r="D28" s="1079"/>
      <c r="E28" s="1079"/>
      <c r="F28" s="1079"/>
      <c r="G28" s="412"/>
      <c r="H28"/>
      <c r="I28"/>
      <c r="J28"/>
      <c r="K28"/>
    </row>
    <row r="29" spans="2:11" ht="12" customHeight="1" x14ac:dyDescent="0.2">
      <c r="B29" s="1076"/>
      <c r="C29" s="1072"/>
      <c r="D29" s="1072"/>
      <c r="E29" s="1072"/>
      <c r="F29" s="1072"/>
      <c r="G29" s="412"/>
      <c r="H29"/>
      <c r="I29"/>
      <c r="J29"/>
      <c r="K29"/>
    </row>
    <row r="30" spans="2:11" ht="12" customHeight="1" x14ac:dyDescent="0.2">
      <c r="B30" s="1076"/>
      <c r="C30" s="1072"/>
      <c r="D30" s="1072"/>
      <c r="E30" s="1072"/>
      <c r="F30" s="1072"/>
      <c r="G30" s="412"/>
      <c r="H30"/>
      <c r="I30"/>
      <c r="J30"/>
      <c r="K30"/>
    </row>
    <row r="31" spans="2:11" ht="12" customHeight="1" x14ac:dyDescent="0.2">
      <c r="B31" s="1076"/>
      <c r="C31" s="1072"/>
      <c r="D31" s="1072"/>
      <c r="E31" s="1072"/>
      <c r="F31" s="1072"/>
      <c r="G31" s="412"/>
      <c r="H31"/>
      <c r="I31"/>
      <c r="J31"/>
      <c r="K31"/>
    </row>
    <row r="32" spans="2:11" ht="12" customHeight="1" x14ac:dyDescent="0.2">
      <c r="B32" s="1076"/>
      <c r="C32" s="1072"/>
      <c r="D32" s="1072"/>
      <c r="E32" s="1072"/>
      <c r="F32" s="1072"/>
      <c r="G32" s="412"/>
      <c r="H32"/>
      <c r="I32"/>
      <c r="J32"/>
      <c r="K32"/>
    </row>
    <row r="33" spans="2:11" ht="12" customHeight="1" x14ac:dyDescent="0.2">
      <c r="B33" s="1076"/>
      <c r="C33" s="1072"/>
      <c r="D33" s="1072"/>
      <c r="E33" s="1072"/>
      <c r="F33" s="1072"/>
      <c r="G33" s="412"/>
      <c r="H33"/>
      <c r="I33"/>
      <c r="J33"/>
      <c r="K33"/>
    </row>
    <row r="34" spans="2:11" ht="12" customHeight="1" x14ac:dyDescent="0.2">
      <c r="B34" s="1076"/>
      <c r="C34" s="1072"/>
      <c r="D34" s="1072"/>
      <c r="E34" s="1072"/>
      <c r="F34" s="1072"/>
      <c r="G34" s="412"/>
      <c r="H34"/>
      <c r="I34"/>
      <c r="J34"/>
      <c r="K34"/>
    </row>
    <row r="35" spans="2:11" ht="12" customHeight="1" x14ac:dyDescent="0.2">
      <c r="B35" s="1080"/>
      <c r="C35" s="1080"/>
      <c r="D35" s="1080"/>
      <c r="E35" s="1080"/>
      <c r="F35" s="1080"/>
      <c r="H35"/>
      <c r="I35"/>
      <c r="J35"/>
      <c r="K35"/>
    </row>
    <row r="36" spans="2:11" ht="12" customHeight="1" thickBot="1" x14ac:dyDescent="0.25">
      <c r="B36" s="1011"/>
      <c r="C36" s="1011"/>
      <c r="D36" s="1011"/>
      <c r="E36" s="1011"/>
      <c r="F36" s="1011"/>
      <c r="H36"/>
      <c r="I36"/>
      <c r="J36"/>
      <c r="K36"/>
    </row>
    <row r="37" spans="2:11" ht="12" customHeight="1" x14ac:dyDescent="0.2">
      <c r="B37" s="1009" t="s">
        <v>390</v>
      </c>
      <c r="C37" s="1088"/>
      <c r="D37" s="1088"/>
      <c r="E37" s="1088"/>
      <c r="F37" s="1089"/>
      <c r="H37"/>
      <c r="I37"/>
      <c r="J37"/>
      <c r="K37"/>
    </row>
    <row r="38" spans="2:11" ht="12" customHeight="1" x14ac:dyDescent="0.2">
      <c r="B38" s="1087"/>
      <c r="C38" s="1090"/>
      <c r="D38" s="1090"/>
      <c r="E38" s="1090"/>
      <c r="F38" s="1091"/>
      <c r="G38" s="413"/>
      <c r="H38"/>
      <c r="I38"/>
      <c r="J38"/>
      <c r="K38"/>
    </row>
    <row r="39" spans="2:11" ht="12" customHeight="1" x14ac:dyDescent="0.2">
      <c r="B39" s="1087"/>
      <c r="C39" s="1090"/>
      <c r="D39" s="1090"/>
      <c r="E39" s="1090"/>
      <c r="F39" s="1091"/>
      <c r="G39" s="413"/>
      <c r="H39"/>
      <c r="I39"/>
      <c r="J39"/>
      <c r="K39"/>
    </row>
    <row r="40" spans="2:11" ht="12" customHeight="1" x14ac:dyDescent="0.2">
      <c r="B40" s="1087"/>
      <c r="C40" s="1090"/>
      <c r="D40" s="1090"/>
      <c r="E40" s="1090"/>
      <c r="F40" s="1091"/>
      <c r="G40" s="413"/>
      <c r="H40"/>
      <c r="I40"/>
      <c r="J40"/>
      <c r="K40"/>
    </row>
    <row r="41" spans="2:11" ht="12" customHeight="1" x14ac:dyDescent="0.2">
      <c r="B41" s="1010"/>
      <c r="C41" s="1082"/>
      <c r="D41" s="1082"/>
      <c r="E41" s="1082"/>
      <c r="F41" s="1083"/>
      <c r="G41" s="414"/>
      <c r="H41"/>
      <c r="I41"/>
      <c r="J41"/>
      <c r="K41"/>
    </row>
    <row r="42" spans="2:11" ht="12" customHeight="1" x14ac:dyDescent="0.2">
      <c r="B42" s="1081"/>
      <c r="C42" s="1082"/>
      <c r="D42" s="1082"/>
      <c r="E42" s="1082"/>
      <c r="F42" s="1083"/>
      <c r="H42"/>
      <c r="I42"/>
      <c r="J42"/>
      <c r="K42"/>
    </row>
    <row r="43" spans="2:11" ht="12" customHeight="1" thickBot="1" x14ac:dyDescent="0.25">
      <c r="B43" s="1084"/>
      <c r="C43" s="1085"/>
      <c r="D43" s="1085"/>
      <c r="E43" s="1085"/>
      <c r="F43" s="1086"/>
      <c r="H43"/>
      <c r="I43"/>
      <c r="J43"/>
      <c r="K43"/>
    </row>
    <row r="44" spans="2:11" ht="12" customHeight="1" thickBot="1" x14ac:dyDescent="0.25">
      <c r="B44" s="4498" t="s">
        <v>2209</v>
      </c>
      <c r="C44" s="4499"/>
      <c r="D44" s="4499"/>
      <c r="E44" s="4499"/>
      <c r="F44" s="4500"/>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K10:K26 H10:J26 H48:J65506"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922</v>
      </c>
      <c r="K1" s="14" t="s">
        <v>2521</v>
      </c>
    </row>
    <row r="2" spans="2:11" ht="15.75" customHeight="1" x14ac:dyDescent="0.25">
      <c r="B2" s="13" t="s">
        <v>923</v>
      </c>
      <c r="K2" s="14" t="s">
        <v>2522</v>
      </c>
    </row>
    <row r="3" spans="2:11" ht="15.75" customHeight="1" x14ac:dyDescent="0.25">
      <c r="B3" s="13" t="s">
        <v>62</v>
      </c>
      <c r="K3" s="14" t="s">
        <v>2144</v>
      </c>
    </row>
    <row r="4" spans="2:11" ht="12" hidden="1" customHeight="1" x14ac:dyDescent="0.25">
      <c r="B4" s="13"/>
      <c r="K4" s="2"/>
    </row>
    <row r="5" spans="2:11" ht="12" hidden="1" customHeight="1" x14ac:dyDescent="0.25">
      <c r="B5" s="13"/>
      <c r="K5" s="2"/>
    </row>
    <row r="6" spans="2:11" ht="12" customHeight="1" thickBot="1" x14ac:dyDescent="0.25">
      <c r="B6" s="2446" t="s">
        <v>64</v>
      </c>
      <c r="C6" s="379"/>
      <c r="K6" s="4"/>
    </row>
    <row r="7" spans="2:11" ht="24.75" customHeight="1" x14ac:dyDescent="0.2">
      <c r="B7" s="388" t="s">
        <v>65</v>
      </c>
      <c r="C7" s="822" t="s">
        <v>727</v>
      </c>
      <c r="D7" s="823"/>
      <c r="E7" s="823"/>
      <c r="F7" s="823"/>
      <c r="G7" s="1096"/>
      <c r="H7" s="822" t="s">
        <v>123</v>
      </c>
      <c r="I7" s="1096"/>
      <c r="J7" s="823" t="s">
        <v>924</v>
      </c>
      <c r="K7" s="1096"/>
    </row>
    <row r="8" spans="2:11" ht="42.75" customHeight="1" x14ac:dyDescent="0.2">
      <c r="B8" s="409"/>
      <c r="C8" s="321" t="s">
        <v>925</v>
      </c>
      <c r="D8" s="433" t="s">
        <v>926</v>
      </c>
      <c r="E8" s="433" t="s">
        <v>927</v>
      </c>
      <c r="F8" s="433" t="s">
        <v>928</v>
      </c>
      <c r="G8" s="394" t="s">
        <v>929</v>
      </c>
      <c r="H8" s="434" t="s">
        <v>67</v>
      </c>
      <c r="I8" s="172" t="s">
        <v>68</v>
      </c>
      <c r="J8" s="434" t="s">
        <v>67</v>
      </c>
      <c r="K8" s="172" t="s">
        <v>68</v>
      </c>
    </row>
    <row r="9" spans="2:11" ht="12" customHeight="1" thickBot="1" x14ac:dyDescent="0.25">
      <c r="B9" s="2227"/>
      <c r="C9" s="375" t="s">
        <v>930</v>
      </c>
      <c r="D9" s="415" t="s">
        <v>931</v>
      </c>
      <c r="E9" s="415"/>
      <c r="F9" s="415" t="s">
        <v>932</v>
      </c>
      <c r="G9" s="401"/>
      <c r="H9" s="1094" t="s">
        <v>933</v>
      </c>
      <c r="I9" s="1095"/>
      <c r="J9" s="2022" t="s">
        <v>73</v>
      </c>
      <c r="K9" s="2228"/>
    </row>
    <row r="10" spans="2:11" ht="33.75" customHeight="1" thickTop="1" x14ac:dyDescent="0.2">
      <c r="B10" s="1853" t="s">
        <v>2066</v>
      </c>
      <c r="C10" s="416"/>
      <c r="D10" s="231"/>
      <c r="E10" s="231"/>
      <c r="F10" s="231"/>
      <c r="G10" s="417"/>
      <c r="H10" s="416"/>
      <c r="I10" s="418"/>
      <c r="J10" s="419" t="s">
        <v>2147</v>
      </c>
      <c r="K10" s="420" t="s">
        <v>2147</v>
      </c>
    </row>
    <row r="11" spans="2:11" ht="18" customHeight="1" thickBot="1" x14ac:dyDescent="0.25">
      <c r="B11" s="2669" t="s">
        <v>2147</v>
      </c>
      <c r="C11" s="421" t="s">
        <v>2147</v>
      </c>
      <c r="D11" s="422" t="s">
        <v>2147</v>
      </c>
      <c r="E11" s="422" t="s">
        <v>2147</v>
      </c>
      <c r="F11" s="422" t="s">
        <v>2147</v>
      </c>
      <c r="G11" s="423" t="s">
        <v>2147</v>
      </c>
      <c r="H11" s="419" t="s">
        <v>2147</v>
      </c>
      <c r="I11" s="420" t="s">
        <v>2147</v>
      </c>
      <c r="J11" s="424" t="s">
        <v>2147</v>
      </c>
      <c r="K11" s="246" t="s">
        <v>2147</v>
      </c>
    </row>
    <row r="12" spans="2:11" ht="36" customHeight="1" x14ac:dyDescent="0.2">
      <c r="B12" s="1853" t="s">
        <v>2065</v>
      </c>
      <c r="C12" s="416"/>
      <c r="D12" s="231"/>
      <c r="E12" s="231"/>
      <c r="F12" s="231"/>
      <c r="G12" s="417"/>
      <c r="H12" s="416"/>
      <c r="I12" s="417"/>
      <c r="J12" s="419" t="s">
        <v>2147</v>
      </c>
      <c r="K12" s="420" t="s">
        <v>2147</v>
      </c>
    </row>
    <row r="13" spans="2:11" ht="18" customHeight="1" thickBot="1" x14ac:dyDescent="0.25">
      <c r="B13" s="244" t="s">
        <v>2147</v>
      </c>
      <c r="C13" s="424" t="s">
        <v>2147</v>
      </c>
      <c r="D13" s="245" t="s">
        <v>2147</v>
      </c>
      <c r="E13" s="245" t="s">
        <v>2147</v>
      </c>
      <c r="F13" s="245" t="s">
        <v>2147</v>
      </c>
      <c r="G13" s="291" t="s">
        <v>2147</v>
      </c>
      <c r="H13" s="1172" t="s">
        <v>2147</v>
      </c>
      <c r="I13" s="1173" t="s">
        <v>2147</v>
      </c>
      <c r="J13" s="424" t="s">
        <v>2147</v>
      </c>
      <c r="K13" s="246" t="s">
        <v>2147</v>
      </c>
    </row>
    <row r="14" spans="2:11" ht="12" customHeight="1" x14ac:dyDescent="0.2">
      <c r="B14" s="425"/>
      <c r="C14" s="426"/>
      <c r="D14" s="426"/>
      <c r="E14" s="426"/>
      <c r="F14" s="426"/>
      <c r="G14" s="426"/>
      <c r="H14" s="427"/>
      <c r="I14" s="427"/>
      <c r="J14" s="426"/>
      <c r="K14" s="428"/>
    </row>
    <row r="15" spans="2:11" ht="12" customHeight="1" x14ac:dyDescent="0.2">
      <c r="B15" s="425"/>
      <c r="C15" s="426"/>
      <c r="D15" s="426"/>
      <c r="E15" s="426"/>
      <c r="F15" s="426"/>
      <c r="G15" s="426"/>
      <c r="H15" s="427"/>
      <c r="I15" s="427"/>
      <c r="J15" s="426"/>
      <c r="K15" s="428"/>
    </row>
    <row r="16" spans="2:11" ht="12" customHeight="1" x14ac:dyDescent="0.2">
      <c r="B16" s="425"/>
      <c r="C16" s="426"/>
      <c r="D16" s="426"/>
      <c r="E16" s="426"/>
      <c r="F16" s="426"/>
      <c r="G16" s="426"/>
      <c r="H16" s="427"/>
      <c r="I16" s="427"/>
      <c r="J16" s="426"/>
      <c r="K16" s="428"/>
    </row>
    <row r="17" spans="2:11" ht="12" customHeight="1" x14ac:dyDescent="0.2">
      <c r="B17" s="425"/>
      <c r="C17" s="426"/>
      <c r="D17" s="426"/>
      <c r="E17" s="426"/>
      <c r="F17" s="426"/>
      <c r="G17" s="426"/>
      <c r="H17" s="427"/>
      <c r="I17" s="427"/>
      <c r="J17" s="426"/>
      <c r="K17" s="428"/>
    </row>
    <row r="18" spans="2:11" ht="12" customHeight="1" x14ac:dyDescent="0.2">
      <c r="B18" s="425"/>
      <c r="C18" s="426"/>
      <c r="D18" s="426"/>
      <c r="E18" s="426"/>
      <c r="F18" s="426"/>
      <c r="G18" s="426"/>
      <c r="H18" s="427"/>
      <c r="I18" s="427"/>
      <c r="J18" s="426"/>
      <c r="K18" s="428"/>
    </row>
    <row r="19" spans="2:11" ht="12" customHeight="1" x14ac:dyDescent="0.2">
      <c r="B19" s="425"/>
      <c r="C19" s="426"/>
      <c r="D19" s="426"/>
      <c r="E19" s="426"/>
      <c r="F19" s="426"/>
      <c r="G19" s="426"/>
      <c r="H19" s="427"/>
      <c r="I19" s="427"/>
      <c r="J19" s="426"/>
      <c r="K19" s="428"/>
    </row>
    <row r="20" spans="2:11" ht="12" customHeight="1" x14ac:dyDescent="0.2">
      <c r="B20" s="425"/>
      <c r="C20" s="426"/>
      <c r="D20" s="426"/>
      <c r="E20" s="426"/>
      <c r="F20" s="426"/>
      <c r="G20" s="426"/>
      <c r="H20" s="427"/>
      <c r="I20" s="427"/>
      <c r="J20" s="426"/>
      <c r="K20" s="428"/>
    </row>
    <row r="21" spans="2:11" ht="12" customHeight="1" x14ac:dyDescent="0.2">
      <c r="B21" s="1092"/>
      <c r="C21" s="1049"/>
      <c r="D21" s="1049"/>
      <c r="E21" s="1049"/>
      <c r="F21" s="1049"/>
      <c r="G21" s="1049"/>
      <c r="H21" s="1049"/>
      <c r="I21" s="1049"/>
      <c r="J21" s="1049"/>
      <c r="K21" s="1049"/>
    </row>
    <row r="22" spans="2:11" ht="12" customHeight="1" thickBot="1" x14ac:dyDescent="0.25">
      <c r="B22" s="1093"/>
      <c r="C22" s="1049"/>
      <c r="D22" s="1049"/>
      <c r="E22" s="1049"/>
      <c r="F22" s="1049"/>
      <c r="G22" s="1049"/>
      <c r="H22" s="1049"/>
      <c r="I22" s="1049"/>
      <c r="J22" s="1049"/>
      <c r="K22" s="1049"/>
    </row>
    <row r="23" spans="2:11" ht="12" customHeight="1" x14ac:dyDescent="0.2">
      <c r="B23" s="223" t="s">
        <v>352</v>
      </c>
      <c r="C23" s="224"/>
      <c r="D23" s="224"/>
      <c r="E23" s="224"/>
      <c r="F23" s="224"/>
      <c r="G23" s="224"/>
      <c r="H23" s="224"/>
      <c r="I23" s="224"/>
      <c r="J23" s="224"/>
      <c r="K23" s="225"/>
    </row>
    <row r="24" spans="2:11" ht="12" customHeight="1" x14ac:dyDescent="0.2">
      <c r="B24" s="1318"/>
      <c r="C24" s="1319"/>
      <c r="D24" s="1319"/>
      <c r="E24" s="1319"/>
      <c r="F24" s="1319"/>
      <c r="G24" s="1319"/>
      <c r="H24" s="1319"/>
      <c r="I24" s="1319"/>
      <c r="J24" s="1319"/>
      <c r="K24" s="1320"/>
    </row>
    <row r="25" spans="2:11" ht="12" customHeight="1" x14ac:dyDescent="0.2">
      <c r="B25" s="1318"/>
      <c r="C25" s="1319"/>
      <c r="D25" s="1319"/>
      <c r="E25" s="1319"/>
      <c r="F25" s="1319"/>
      <c r="G25" s="1319"/>
      <c r="H25" s="1319"/>
      <c r="I25" s="1319"/>
      <c r="J25" s="1319"/>
      <c r="K25" s="1320"/>
    </row>
    <row r="26" spans="2:11" ht="12" customHeight="1" x14ac:dyDescent="0.2">
      <c r="B26" s="1315"/>
      <c r="C26" s="1316"/>
      <c r="D26" s="1316"/>
      <c r="E26" s="1316"/>
      <c r="F26" s="1316"/>
      <c r="G26" s="1316"/>
      <c r="H26" s="1316"/>
      <c r="I26" s="1316"/>
      <c r="J26" s="1316"/>
      <c r="K26" s="1317"/>
    </row>
    <row r="27" spans="2:11" ht="12" customHeight="1" thickBot="1" x14ac:dyDescent="0.25">
      <c r="B27" s="4468" t="s">
        <v>2374</v>
      </c>
      <c r="C27" s="4469"/>
      <c r="D27" s="4469"/>
      <c r="E27" s="4469"/>
      <c r="F27" s="4469"/>
      <c r="G27" s="4469"/>
      <c r="H27" s="4469"/>
      <c r="I27" s="4469"/>
      <c r="J27" s="4469"/>
      <c r="K27" s="4470"/>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showGridLines="0" zoomScale="80" zoomScaleNormal="80" workbookViewId="0">
      <pane xSplit="2" ySplit="8" topLeftCell="C9"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5703125" style="83" customWidth="1"/>
    <col min="2" max="2" width="42.140625" style="83" customWidth="1"/>
    <col min="3" max="3" width="9.140625" style="83" customWidth="1"/>
    <col min="4" max="4" width="11.85546875" style="83" customWidth="1"/>
    <col min="5" max="5" width="13.71093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85546875" style="83" customWidth="1"/>
    <col min="25" max="25" width="2.85546875" style="83" customWidth="1"/>
    <col min="26" max="16384" width="9.140625" style="83"/>
  </cols>
  <sheetData>
    <row r="1" spans="2:24" ht="15.75" x14ac:dyDescent="0.25">
      <c r="B1" s="13" t="s">
        <v>934</v>
      </c>
      <c r="J1" s="14" t="s">
        <v>2521</v>
      </c>
    </row>
    <row r="2" spans="2:24" ht="15.75" x14ac:dyDescent="0.25">
      <c r="B2" s="208" t="s">
        <v>935</v>
      </c>
      <c r="C2" s="208"/>
      <c r="D2" s="208"/>
      <c r="J2" s="14" t="s">
        <v>2522</v>
      </c>
    </row>
    <row r="3" spans="2:24" ht="15.75" x14ac:dyDescent="0.25">
      <c r="B3" s="13" t="s">
        <v>62</v>
      </c>
      <c r="J3" s="14" t="s">
        <v>2144</v>
      </c>
    </row>
    <row r="4" spans="2:24" ht="12" customHeight="1" x14ac:dyDescent="0.25">
      <c r="B4" s="13"/>
      <c r="J4" s="2"/>
    </row>
    <row r="5" spans="2:24" ht="12" customHeight="1" x14ac:dyDescent="0.25">
      <c r="B5" s="13"/>
      <c r="J5" s="2"/>
    </row>
    <row r="6" spans="2:24" ht="12" customHeight="1" thickBot="1" x14ac:dyDescent="0.25">
      <c r="B6" s="2446" t="s">
        <v>64</v>
      </c>
      <c r="L6" s="253" t="s">
        <v>417</v>
      </c>
      <c r="M6" s="253"/>
      <c r="N6" s="253"/>
      <c r="O6" s="253"/>
      <c r="P6" s="253"/>
      <c r="Q6" s="253"/>
      <c r="R6" s="253"/>
      <c r="S6" s="253"/>
      <c r="T6" s="253"/>
      <c r="U6" s="253"/>
      <c r="V6" s="253"/>
      <c r="W6" s="253"/>
      <c r="X6" s="253"/>
    </row>
    <row r="7" spans="2:24" ht="24" x14ac:dyDescent="0.2">
      <c r="B7" s="388" t="s">
        <v>418</v>
      </c>
      <c r="C7" s="822" t="s">
        <v>936</v>
      </c>
      <c r="D7" s="823"/>
      <c r="E7" s="823"/>
      <c r="F7" s="1096"/>
      <c r="G7" s="822" t="s">
        <v>123</v>
      </c>
      <c r="H7" s="1096"/>
      <c r="I7" s="822" t="s">
        <v>124</v>
      </c>
      <c r="J7" s="1096"/>
      <c r="L7" s="429"/>
      <c r="M7" s="430" t="s">
        <v>937</v>
      </c>
      <c r="N7" s="430" t="s">
        <v>938</v>
      </c>
      <c r="O7" s="431" t="s">
        <v>939</v>
      </c>
      <c r="P7" s="1820" t="s">
        <v>2210</v>
      </c>
      <c r="Q7" s="1820" t="s">
        <v>2211</v>
      </c>
      <c r="R7" s="1820" t="s">
        <v>2271</v>
      </c>
      <c r="S7" s="1820" t="s">
        <v>2212</v>
      </c>
      <c r="T7" s="1820" t="s">
        <v>2213</v>
      </c>
      <c r="U7" s="1820" t="s">
        <v>2214</v>
      </c>
      <c r="V7" s="1820" t="s">
        <v>2272</v>
      </c>
      <c r="W7" s="1820" t="s">
        <v>2215</v>
      </c>
      <c r="X7" s="258" t="s">
        <v>2216</v>
      </c>
    </row>
    <row r="8" spans="2:24" ht="40.5" customHeight="1" thickBot="1" x14ac:dyDescent="0.25">
      <c r="B8" s="432" t="s">
        <v>422</v>
      </c>
      <c r="C8" s="321" t="s">
        <v>940</v>
      </c>
      <c r="D8" s="433" t="s">
        <v>941</v>
      </c>
      <c r="E8" s="433" t="s">
        <v>942</v>
      </c>
      <c r="F8" s="394" t="s">
        <v>943</v>
      </c>
      <c r="G8" s="434" t="s">
        <v>330</v>
      </c>
      <c r="H8" s="172" t="s">
        <v>944</v>
      </c>
      <c r="I8" s="434" t="s">
        <v>330</v>
      </c>
      <c r="J8" s="172" t="s">
        <v>944</v>
      </c>
      <c r="L8" s="270"/>
      <c r="M8" s="435"/>
      <c r="N8" s="435"/>
      <c r="O8" s="436"/>
      <c r="P8" s="2637"/>
      <c r="Q8" s="2637"/>
      <c r="R8" s="2637"/>
      <c r="S8" s="2637"/>
      <c r="T8" s="2637"/>
      <c r="U8" s="2637"/>
      <c r="V8" s="2637"/>
      <c r="W8" s="2637"/>
      <c r="X8" s="272"/>
    </row>
    <row r="9" spans="2:24" ht="18" customHeight="1" thickBot="1" x14ac:dyDescent="0.25">
      <c r="B9" s="400"/>
      <c r="C9" s="375" t="s">
        <v>945</v>
      </c>
      <c r="D9" s="415" t="s">
        <v>931</v>
      </c>
      <c r="E9" s="415"/>
      <c r="F9" s="401" t="s">
        <v>932</v>
      </c>
      <c r="G9" s="1094" t="s">
        <v>933</v>
      </c>
      <c r="H9" s="1095"/>
      <c r="I9" s="1094" t="s">
        <v>73</v>
      </c>
      <c r="J9" s="1095"/>
      <c r="L9" s="1323" t="s">
        <v>946</v>
      </c>
      <c r="M9" s="4179">
        <v>25150343.190000001</v>
      </c>
      <c r="N9" s="4179">
        <v>9481740.8800000008</v>
      </c>
      <c r="O9" s="4179">
        <v>361991.27</v>
      </c>
      <c r="P9" s="4180">
        <v>1932446.82</v>
      </c>
      <c r="Q9" s="4180">
        <v>1688046.89</v>
      </c>
      <c r="R9" s="4180">
        <v>298406.22499999998</v>
      </c>
      <c r="S9" s="4180">
        <v>1002653.99</v>
      </c>
      <c r="T9" s="4180">
        <v>829756.54</v>
      </c>
      <c r="U9" s="4180">
        <v>2761524.1578699998</v>
      </c>
      <c r="V9" s="4180">
        <v>38754849.679999992</v>
      </c>
      <c r="W9" s="4180">
        <v>24508.338400000001</v>
      </c>
      <c r="X9" s="4181">
        <v>1514897.3099999998</v>
      </c>
    </row>
    <row r="10" spans="2:24" ht="18" customHeight="1" thickTop="1" x14ac:dyDescent="0.2">
      <c r="B10" s="437" t="s">
        <v>947</v>
      </c>
      <c r="C10" s="376"/>
      <c r="D10" s="438"/>
      <c r="E10" s="438"/>
      <c r="F10" s="4149">
        <f>IF(SUM(F11:F14)=0,"NO",SUM(F11:F14))</f>
        <v>5016.0219440978726</v>
      </c>
      <c r="G10" s="4150">
        <f>IF(SUM($F10)=0,"NA",I10/$F10*1000)</f>
        <v>1.8827792478288679</v>
      </c>
      <c r="H10" s="4151">
        <f>IF(SUM($F10)=0,"NA",J10/$F10*1000)</f>
        <v>7.6500530570626876E-2</v>
      </c>
      <c r="I10" s="3192">
        <f>IF(SUM(I11:I14)=0,"NO",SUM(I11:I14))</f>
        <v>9.4440620230016883</v>
      </c>
      <c r="J10" s="420">
        <f>IF(SUM(J11:J14)=0,"NO",SUM(J11:J14))</f>
        <v>0.38372834007739459</v>
      </c>
      <c r="L10" s="1324" t="s">
        <v>948</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9" t="s">
        <v>949</v>
      </c>
      <c r="C11" s="440" t="s">
        <v>2147</v>
      </c>
      <c r="D11" s="440" t="s">
        <v>2147</v>
      </c>
      <c r="E11" s="440" t="s">
        <v>2147</v>
      </c>
      <c r="F11" s="4152">
        <v>2720.3998302773498</v>
      </c>
      <c r="G11" s="4153">
        <f>IF(SUM($F11)=0,"NA",I11/$F11*1000)</f>
        <v>1.8666666666666694</v>
      </c>
      <c r="H11" s="4154">
        <f>IF(SUM($F11)=0,"NA",J11/$F11*1000)</f>
        <v>7.1657142857142947E-2</v>
      </c>
      <c r="I11" s="3326">
        <v>5.0780796831843933</v>
      </c>
      <c r="J11" s="3327">
        <v>0.19493607926673151</v>
      </c>
      <c r="L11" s="1324" t="s">
        <v>950</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9" t="s">
        <v>951</v>
      </c>
      <c r="C12" s="440" t="s">
        <v>2147</v>
      </c>
      <c r="D12" s="440" t="s">
        <v>2147</v>
      </c>
      <c r="E12" s="440" t="s">
        <v>2147</v>
      </c>
      <c r="F12" s="4152">
        <v>924.72877495825401</v>
      </c>
      <c r="G12" s="4155">
        <f t="shared" ref="G12:G28" si="0">IF(SUM($F12)=0,"NA",I12/$F12*1000)</f>
        <v>1.866666666666668</v>
      </c>
      <c r="H12" s="4154">
        <f t="shared" ref="H12:H28" si="1">IF(SUM($F12)=0,"NA",J12/$F12*1000)</f>
        <v>8.3600000000000035E-2</v>
      </c>
      <c r="I12" s="3180">
        <v>1.7261603799220753</v>
      </c>
      <c r="J12" s="3327">
        <v>7.7307325586510073E-2</v>
      </c>
      <c r="L12" s="1324" t="s">
        <v>952</v>
      </c>
      <c r="M12" s="4177">
        <v>0.17071577535759</v>
      </c>
      <c r="N12" s="4177">
        <v>0.18620043642472001</v>
      </c>
      <c r="O12" s="4177">
        <v>0.18309898280674</v>
      </c>
      <c r="P12" s="4178">
        <v>0.14876621931945</v>
      </c>
      <c r="Q12" s="4178">
        <v>0.18756106901698</v>
      </c>
      <c r="R12" s="4178">
        <v>0.15846436126534999</v>
      </c>
      <c r="S12" s="4178">
        <v>0.81499999999999995</v>
      </c>
      <c r="T12" s="4178">
        <v>0.2288136156668</v>
      </c>
      <c r="U12" s="4178">
        <v>0.1570825123361754</v>
      </c>
      <c r="V12" s="4178">
        <v>0.33317113307404778</v>
      </c>
      <c r="W12" s="4178">
        <v>6.5124098371870512E-2</v>
      </c>
      <c r="X12" s="4152">
        <v>0.17278690456011941</v>
      </c>
    </row>
    <row r="13" spans="2:24" ht="18" customHeight="1" thickBot="1" x14ac:dyDescent="0.25">
      <c r="B13" s="439" t="s">
        <v>953</v>
      </c>
      <c r="C13" s="440" t="s">
        <v>2147</v>
      </c>
      <c r="D13" s="440" t="s">
        <v>2147</v>
      </c>
      <c r="E13" s="440" t="s">
        <v>2147</v>
      </c>
      <c r="F13" s="4152">
        <v>43.808583016456801</v>
      </c>
      <c r="G13" s="4155">
        <f t="shared" si="0"/>
        <v>1.9600000000000009</v>
      </c>
      <c r="H13" s="4154">
        <f t="shared" si="1"/>
        <v>5.9714285714285754E-2</v>
      </c>
      <c r="I13" s="3180">
        <v>8.5864822712255373E-2</v>
      </c>
      <c r="J13" s="3327">
        <v>2.6159982429827078E-3</v>
      </c>
      <c r="L13" s="1325" t="s">
        <v>954</v>
      </c>
      <c r="M13" s="304">
        <v>0.96</v>
      </c>
      <c r="N13" s="304">
        <v>0.96</v>
      </c>
      <c r="O13" s="304">
        <v>0.96</v>
      </c>
      <c r="P13" s="305">
        <v>0.96</v>
      </c>
      <c r="Q13" s="305">
        <v>0.96</v>
      </c>
      <c r="R13" s="305">
        <v>0.96</v>
      </c>
      <c r="S13" s="305">
        <v>0.96</v>
      </c>
      <c r="T13" s="305">
        <v>0.96</v>
      </c>
      <c r="U13" s="305">
        <v>0.96</v>
      </c>
      <c r="V13" s="305">
        <v>0.96</v>
      </c>
      <c r="W13" s="305">
        <v>0.96</v>
      </c>
      <c r="X13" s="442">
        <v>0.96</v>
      </c>
    </row>
    <row r="14" spans="2:24" ht="18" customHeight="1" x14ac:dyDescent="0.2">
      <c r="B14" s="439" t="s">
        <v>955</v>
      </c>
      <c r="C14" s="443"/>
      <c r="D14" s="444"/>
      <c r="E14" s="444"/>
      <c r="F14" s="4156">
        <f>IF(SUM(F15:F19)=0,"NO",SUM(F15:F19))</f>
        <v>1327.0847558458117</v>
      </c>
      <c r="G14" s="4157">
        <f t="shared" si="0"/>
        <v>1.9244868317059449</v>
      </c>
      <c r="H14" s="4158">
        <f t="shared" si="1"/>
        <v>8.2036159711429399E-2</v>
      </c>
      <c r="I14" s="3199">
        <f>IF(SUM(I15:I19)=0,"NO",SUM(I15:I19))</f>
        <v>2.5539571371829637</v>
      </c>
      <c r="J14" s="3085">
        <f>IF(SUM(J15:J19)=0,"NO",SUM(J15:J19))</f>
        <v>0.1088689369811703</v>
      </c>
      <c r="L14" s="1438" t="s">
        <v>956</v>
      </c>
      <c r="M14" s="173"/>
      <c r="N14" s="173"/>
      <c r="O14" s="173"/>
      <c r="P14" s="173"/>
      <c r="Q14" s="173"/>
      <c r="R14" s="173"/>
      <c r="S14" s="173"/>
      <c r="T14" s="173"/>
      <c r="U14" s="173"/>
      <c r="V14" s="173"/>
      <c r="W14" s="173"/>
      <c r="X14" s="173"/>
    </row>
    <row r="15" spans="2:24" ht="18" customHeight="1" x14ac:dyDescent="0.2">
      <c r="B15" s="2670" t="s">
        <v>2210</v>
      </c>
      <c r="C15" s="440" t="s">
        <v>2147</v>
      </c>
      <c r="D15" s="440" t="s">
        <v>2147</v>
      </c>
      <c r="E15" s="440" t="s">
        <v>2147</v>
      </c>
      <c r="F15" s="4152">
        <v>165.59009708964601</v>
      </c>
      <c r="G15" s="4159">
        <f t="shared" si="0"/>
        <v>1.8666666666666643</v>
      </c>
      <c r="H15" s="4160">
        <f t="shared" si="1"/>
        <v>9.5542857142857041E-2</v>
      </c>
      <c r="I15" s="3328">
        <v>0.30910151456733881</v>
      </c>
      <c r="J15" s="3327">
        <v>1.5820950990507877E-2</v>
      </c>
      <c r="L15" s="1439" t="s">
        <v>957</v>
      </c>
      <c r="M15" s="173"/>
      <c r="N15" s="173"/>
      <c r="O15" s="173"/>
      <c r="P15" s="173"/>
      <c r="Q15" s="173"/>
      <c r="R15" s="173"/>
      <c r="S15" s="173"/>
      <c r="T15" s="173"/>
      <c r="U15" s="173"/>
      <c r="V15" s="173"/>
      <c r="W15" s="173"/>
      <c r="X15" s="173"/>
    </row>
    <row r="16" spans="2:24" ht="18" customHeight="1" x14ac:dyDescent="0.2">
      <c r="B16" s="2671" t="s">
        <v>2211</v>
      </c>
      <c r="C16" s="440" t="s">
        <v>2147</v>
      </c>
      <c r="D16" s="440" t="s">
        <v>2147</v>
      </c>
      <c r="E16" s="440" t="s">
        <v>2147</v>
      </c>
      <c r="F16" s="4152">
        <v>189.90633806269801</v>
      </c>
      <c r="G16" s="4161">
        <f t="shared" si="0"/>
        <v>1.8666666666666647</v>
      </c>
      <c r="H16" s="4162">
        <f t="shared" si="1"/>
        <v>7.1657142857142794E-2</v>
      </c>
      <c r="I16" s="3329">
        <v>0.35449183105036924</v>
      </c>
      <c r="J16" s="3327">
        <v>1.3608145596035605E-2</v>
      </c>
      <c r="L16" s="1439"/>
      <c r="M16" s="173"/>
      <c r="N16" s="173"/>
      <c r="O16" s="173"/>
      <c r="P16" s="173"/>
      <c r="Q16" s="173"/>
      <c r="R16" s="173"/>
      <c r="S16" s="173"/>
      <c r="T16" s="173"/>
      <c r="U16" s="173"/>
      <c r="V16" s="173"/>
      <c r="W16" s="173"/>
      <c r="X16" s="173"/>
    </row>
    <row r="17" spans="2:24" ht="18" customHeight="1" x14ac:dyDescent="0.2">
      <c r="B17" s="2671" t="s">
        <v>2271</v>
      </c>
      <c r="C17" s="440" t="s">
        <v>2147</v>
      </c>
      <c r="D17" s="440" t="s">
        <v>2147</v>
      </c>
      <c r="E17" s="440" t="s">
        <v>2147</v>
      </c>
      <c r="F17" s="4152">
        <v>29.161929008109901</v>
      </c>
      <c r="G17" s="4161">
        <f t="shared" si="0"/>
        <v>1.8666666666666663</v>
      </c>
      <c r="H17" s="4162">
        <f t="shared" si="1"/>
        <v>7.1657142857142864E-2</v>
      </c>
      <c r="I17" s="3329">
        <v>5.4435600815138471E-2</v>
      </c>
      <c r="J17" s="3327">
        <v>2.0896605129239894E-3</v>
      </c>
      <c r="L17" s="1439"/>
      <c r="M17" s="173"/>
      <c r="N17" s="173"/>
      <c r="O17" s="173"/>
      <c r="P17" s="173"/>
      <c r="Q17" s="173"/>
      <c r="R17" s="173"/>
      <c r="S17" s="173"/>
      <c r="T17" s="173"/>
      <c r="U17" s="173"/>
      <c r="V17" s="173"/>
      <c r="W17" s="173"/>
      <c r="X17" s="173"/>
    </row>
    <row r="18" spans="2:24" ht="18" customHeight="1" x14ac:dyDescent="0.2">
      <c r="B18" s="2671" t="s">
        <v>2212</v>
      </c>
      <c r="C18" s="440" t="s">
        <v>2147</v>
      </c>
      <c r="D18" s="440" t="s">
        <v>2147</v>
      </c>
      <c r="E18" s="440" t="s">
        <v>2147</v>
      </c>
      <c r="F18" s="4152">
        <v>822.13135290124796</v>
      </c>
      <c r="G18" s="4161">
        <f t="shared" si="0"/>
        <v>1.96</v>
      </c>
      <c r="H18" s="4162">
        <f t="shared" si="1"/>
        <v>8.3600000000000008E-2</v>
      </c>
      <c r="I18" s="3329">
        <v>1.6113774516864459</v>
      </c>
      <c r="J18" s="3327">
        <v>6.8730181102544335E-2</v>
      </c>
      <c r="L18" s="1439"/>
      <c r="M18" s="173"/>
      <c r="N18" s="173"/>
      <c r="O18" s="173"/>
      <c r="P18" s="173"/>
      <c r="Q18" s="173"/>
      <c r="R18" s="173"/>
      <c r="S18" s="173"/>
      <c r="T18" s="173"/>
      <c r="U18" s="173"/>
      <c r="V18" s="173"/>
      <c r="W18" s="173"/>
      <c r="X18" s="173"/>
    </row>
    <row r="19" spans="2:24" ht="18" customHeight="1" thickBot="1" x14ac:dyDescent="0.25">
      <c r="B19" s="2671" t="s">
        <v>2213</v>
      </c>
      <c r="C19" s="440" t="s">
        <v>2147</v>
      </c>
      <c r="D19" s="440" t="s">
        <v>2147</v>
      </c>
      <c r="E19" s="440" t="s">
        <v>2147</v>
      </c>
      <c r="F19" s="4163">
        <v>120.29503878411001</v>
      </c>
      <c r="G19" s="4161">
        <f t="shared" si="0"/>
        <v>1.8666666666666625</v>
      </c>
      <c r="H19" s="4162">
        <f t="shared" si="1"/>
        <v>7.1657142857142711E-2</v>
      </c>
      <c r="I19" s="3329">
        <v>0.22455073906367151</v>
      </c>
      <c r="J19" s="3327">
        <v>8.6199987791584932E-3</v>
      </c>
      <c r="L19" s="1439"/>
      <c r="M19" s="173"/>
      <c r="N19" s="173"/>
      <c r="O19" s="173"/>
      <c r="P19" s="173"/>
      <c r="Q19" s="173"/>
      <c r="R19" s="173"/>
      <c r="S19" s="173"/>
      <c r="T19" s="173"/>
      <c r="U19" s="173"/>
      <c r="V19" s="173"/>
      <c r="W19" s="173"/>
      <c r="X19" s="173"/>
    </row>
    <row r="20" spans="2:24" ht="18" customHeight="1" x14ac:dyDescent="0.2">
      <c r="B20" s="446" t="s">
        <v>958</v>
      </c>
      <c r="C20" s="447"/>
      <c r="D20" s="448"/>
      <c r="E20" s="448"/>
      <c r="F20" s="4164">
        <f>F21</f>
        <v>248.17483544557999</v>
      </c>
      <c r="G20" s="4165">
        <f t="shared" si="0"/>
        <v>1.8666666666666649</v>
      </c>
      <c r="H20" s="4166">
        <f t="shared" si="1"/>
        <v>0.10748571428571417</v>
      </c>
      <c r="I20" s="3220">
        <f>I21</f>
        <v>0.46325969283174889</v>
      </c>
      <c r="J20" s="449">
        <f>J21</f>
        <v>2.6675249455607741E-2</v>
      </c>
      <c r="L20" s="159"/>
      <c r="M20" s="159"/>
      <c r="N20" s="159"/>
      <c r="O20" s="159"/>
      <c r="P20" s="159"/>
      <c r="Q20" s="159"/>
      <c r="R20" s="159"/>
      <c r="S20" s="159"/>
      <c r="T20" s="159"/>
      <c r="U20" s="159"/>
      <c r="V20" s="159"/>
      <c r="W20" s="159"/>
      <c r="X20" s="159"/>
    </row>
    <row r="21" spans="2:24" ht="18" customHeight="1" x14ac:dyDescent="0.2">
      <c r="B21" s="439" t="s">
        <v>959</v>
      </c>
      <c r="C21" s="450"/>
      <c r="D21" s="451"/>
      <c r="E21" s="451"/>
      <c r="F21" s="4167">
        <f>F22</f>
        <v>248.17483544557999</v>
      </c>
      <c r="G21" s="4168">
        <f t="shared" si="0"/>
        <v>1.8666666666666649</v>
      </c>
      <c r="H21" s="4158">
        <f t="shared" si="1"/>
        <v>0.10748571428571417</v>
      </c>
      <c r="I21" s="3199">
        <f>I22</f>
        <v>0.46325969283174889</v>
      </c>
      <c r="J21" s="3085">
        <f>J22</f>
        <v>2.6675249455607741E-2</v>
      </c>
      <c r="L21" s="159"/>
      <c r="M21" s="159"/>
      <c r="N21" s="159"/>
      <c r="O21" s="159"/>
      <c r="P21" s="159"/>
      <c r="Q21" s="159"/>
      <c r="R21" s="159"/>
      <c r="S21" s="159"/>
      <c r="T21" s="159"/>
      <c r="U21" s="159"/>
      <c r="V21" s="159"/>
      <c r="W21" s="159"/>
      <c r="X21" s="159"/>
    </row>
    <row r="22" spans="2:24" ht="18" customHeight="1" thickBot="1" x14ac:dyDescent="0.25">
      <c r="B22" s="2672" t="s">
        <v>2214</v>
      </c>
      <c r="C22" s="452" t="s">
        <v>2147</v>
      </c>
      <c r="D22" s="310" t="s">
        <v>2147</v>
      </c>
      <c r="E22" s="310" t="s">
        <v>2147</v>
      </c>
      <c r="F22" s="4169">
        <v>248.17483544557999</v>
      </c>
      <c r="G22" s="4170">
        <f t="shared" si="0"/>
        <v>1.8666666666666649</v>
      </c>
      <c r="H22" s="4171">
        <f t="shared" si="1"/>
        <v>0.10748571428571417</v>
      </c>
      <c r="I22" s="3330">
        <v>0.46325969283174889</v>
      </c>
      <c r="J22" s="3331">
        <v>2.6675249455607741E-2</v>
      </c>
      <c r="L22" s="159"/>
      <c r="M22" s="159"/>
      <c r="N22" s="159"/>
      <c r="O22" s="159"/>
      <c r="P22" s="159"/>
      <c r="Q22" s="159"/>
      <c r="R22" s="159"/>
      <c r="S22" s="159"/>
      <c r="T22" s="159"/>
      <c r="U22" s="159"/>
      <c r="V22" s="159"/>
      <c r="W22" s="159"/>
      <c r="X22" s="159"/>
    </row>
    <row r="23" spans="2:24" ht="18" customHeight="1" x14ac:dyDescent="0.2">
      <c r="B23" s="446" t="s">
        <v>960</v>
      </c>
      <c r="C23" s="447"/>
      <c r="D23" s="448"/>
      <c r="E23" s="448"/>
      <c r="F23" s="4164" t="str">
        <f>F24</f>
        <v>NA</v>
      </c>
      <c r="G23" s="4165" t="str">
        <f t="shared" si="0"/>
        <v>NA</v>
      </c>
      <c r="H23" s="4166" t="str">
        <f t="shared" si="1"/>
        <v>NA</v>
      </c>
      <c r="I23" s="3220" t="str">
        <f>I24</f>
        <v>NA</v>
      </c>
      <c r="J23" s="449" t="str">
        <f>J24</f>
        <v>NA</v>
      </c>
      <c r="L23" s="159"/>
      <c r="M23" s="159"/>
      <c r="N23" s="159"/>
      <c r="O23" s="159"/>
      <c r="P23" s="159"/>
      <c r="Q23" s="159"/>
      <c r="R23" s="159"/>
      <c r="S23" s="159"/>
      <c r="T23" s="159"/>
      <c r="U23" s="159"/>
      <c r="V23" s="159"/>
      <c r="W23" s="159"/>
      <c r="X23" s="159"/>
    </row>
    <row r="24" spans="2:24" ht="18" customHeight="1" x14ac:dyDescent="0.2">
      <c r="B24" s="439" t="s">
        <v>961</v>
      </c>
      <c r="C24" s="450"/>
      <c r="D24" s="451"/>
      <c r="E24" s="451"/>
      <c r="F24" s="4167" t="str">
        <f>F25</f>
        <v>NA</v>
      </c>
      <c r="G24" s="4168" t="str">
        <f t="shared" si="0"/>
        <v>NA</v>
      </c>
      <c r="H24" s="4172" t="str">
        <f t="shared" si="1"/>
        <v>NA</v>
      </c>
      <c r="I24" s="3199" t="str">
        <f>I25</f>
        <v>NA</v>
      </c>
      <c r="J24" s="3085" t="str">
        <f>J25</f>
        <v>NA</v>
      </c>
      <c r="L24" s="159"/>
    </row>
    <row r="25" spans="2:24" ht="18" customHeight="1" thickBot="1" x14ac:dyDescent="0.25">
      <c r="B25" s="2672" t="s">
        <v>2147</v>
      </c>
      <c r="C25" s="452" t="s">
        <v>2147</v>
      </c>
      <c r="D25" s="310" t="s">
        <v>2147</v>
      </c>
      <c r="E25" s="310" t="s">
        <v>2147</v>
      </c>
      <c r="F25" s="4173" t="s">
        <v>2147</v>
      </c>
      <c r="G25" s="4170" t="str">
        <f t="shared" si="0"/>
        <v>NA</v>
      </c>
      <c r="H25" s="4171" t="str">
        <f t="shared" si="1"/>
        <v>NA</v>
      </c>
      <c r="I25" s="3330" t="s">
        <v>2147</v>
      </c>
      <c r="J25" s="3331" t="s">
        <v>2147</v>
      </c>
      <c r="L25" s="159"/>
    </row>
    <row r="26" spans="2:24" ht="18" customHeight="1" thickBot="1" x14ac:dyDescent="0.25">
      <c r="B26" s="454" t="s">
        <v>962</v>
      </c>
      <c r="C26" s="455" t="s">
        <v>2147</v>
      </c>
      <c r="D26" s="456" t="s">
        <v>2147</v>
      </c>
      <c r="E26" s="456" t="s">
        <v>2147</v>
      </c>
      <c r="F26" s="4174">
        <v>619.77586464000001</v>
      </c>
      <c r="G26" s="4175">
        <f t="shared" si="0"/>
        <v>1.8666666666666665</v>
      </c>
      <c r="H26" s="4176">
        <f t="shared" si="1"/>
        <v>5.9714285714285692E-2</v>
      </c>
      <c r="I26" s="3332">
        <v>1.1569149473279998</v>
      </c>
      <c r="J26" s="3333">
        <v>3.7009473059931415E-2</v>
      </c>
      <c r="L26" s="159"/>
    </row>
    <row r="27" spans="2:24" ht="18" customHeight="1" x14ac:dyDescent="0.2">
      <c r="B27" s="446" t="s">
        <v>963</v>
      </c>
      <c r="C27" s="447"/>
      <c r="D27" s="448"/>
      <c r="E27" s="448"/>
      <c r="F27" s="4164">
        <f>IF(SUM(F28:F29)=0,"NO",SUM(F28:F29))</f>
        <v>251.5379842243</v>
      </c>
      <c r="G27" s="4165">
        <f t="shared" si="0"/>
        <v>1.8669100012264448</v>
      </c>
      <c r="H27" s="4166">
        <f t="shared" si="1"/>
        <v>0.10770367252711355</v>
      </c>
      <c r="I27" s="3220">
        <f>IF(SUM(I28:I29)=0,"NO",SUM(I28:I29))</f>
        <v>0.46959877843668535</v>
      </c>
      <c r="J27" s="449">
        <f>IF(SUM(J28:J29)=0,"NO",SUM(J28:J29))</f>
        <v>2.709156468102426E-2</v>
      </c>
      <c r="L27" s="159"/>
      <c r="M27" s="159"/>
      <c r="N27" s="159"/>
      <c r="O27" s="159"/>
      <c r="P27" s="159"/>
      <c r="Q27" s="159"/>
      <c r="R27" s="159"/>
      <c r="S27" s="159"/>
      <c r="T27" s="159"/>
      <c r="U27" s="159"/>
      <c r="V27" s="159"/>
      <c r="W27" s="159"/>
      <c r="X27" s="159"/>
    </row>
    <row r="28" spans="2:24" ht="18" customHeight="1" x14ac:dyDescent="0.2">
      <c r="B28" s="2671" t="s">
        <v>2215</v>
      </c>
      <c r="C28" s="440" t="s">
        <v>2147</v>
      </c>
      <c r="D28" s="440" t="s">
        <v>2147</v>
      </c>
      <c r="E28" s="440" t="s">
        <v>2147</v>
      </c>
      <c r="F28" s="4163">
        <v>0.65579876419398997</v>
      </c>
      <c r="G28" s="4161">
        <f t="shared" si="0"/>
        <v>1.9599999999999973</v>
      </c>
      <c r="H28" s="4162">
        <f t="shared" si="1"/>
        <v>0.191085714285714</v>
      </c>
      <c r="I28" s="3329">
        <v>1.2853655778202187E-3</v>
      </c>
      <c r="J28" s="3327">
        <v>1.253137752836971E-4</v>
      </c>
      <c r="L28" s="159"/>
      <c r="M28" s="159"/>
      <c r="N28" s="159"/>
      <c r="O28" s="159"/>
      <c r="P28" s="159"/>
      <c r="Q28" s="159"/>
      <c r="R28" s="159"/>
      <c r="S28" s="159"/>
      <c r="T28" s="159"/>
      <c r="U28" s="159"/>
      <c r="V28" s="159"/>
      <c r="W28" s="159"/>
      <c r="X28" s="159"/>
    </row>
    <row r="29" spans="2:24" ht="18" customHeight="1" thickBot="1" x14ac:dyDescent="0.25">
      <c r="B29" s="2671" t="s">
        <v>2216</v>
      </c>
      <c r="C29" s="440" t="s">
        <v>2147</v>
      </c>
      <c r="D29" s="440" t="s">
        <v>2147</v>
      </c>
      <c r="E29" s="440" t="s">
        <v>2147</v>
      </c>
      <c r="F29" s="4163">
        <v>250.882185460106</v>
      </c>
      <c r="G29" s="4161">
        <f t="shared" ref="G29" si="2">IF(SUM($F29)=0,"NA",I29/$F29*1000)</f>
        <v>1.8666666666666691</v>
      </c>
      <c r="H29" s="4162">
        <f t="shared" ref="H29" si="3">IF(SUM($F29)=0,"NA",J29/$F29*1000)</f>
        <v>0.10748571428571439</v>
      </c>
      <c r="I29" s="3329">
        <v>0.46831341285886513</v>
      </c>
      <c r="J29" s="3327">
        <v>2.6966250905740563E-2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8"/>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8"/>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8"/>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8"/>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7"/>
      <c r="C35" s="1098"/>
      <c r="D35" s="1098"/>
      <c r="E35" s="1098"/>
      <c r="F35" s="1098"/>
      <c r="G35" s="1098"/>
      <c r="H35" s="1098"/>
      <c r="I35" s="1098"/>
      <c r="J35" s="1098"/>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9" t="s">
        <v>390</v>
      </c>
      <c r="C37" s="1100"/>
      <c r="D37" s="1100"/>
      <c r="E37" s="1100"/>
      <c r="F37" s="1100"/>
      <c r="G37" s="1100"/>
      <c r="H37" s="1100"/>
      <c r="I37" s="1100"/>
      <c r="J37" s="1101"/>
      <c r="K37" s="159"/>
    </row>
    <row r="38" spans="2:24" ht="12" customHeight="1" x14ac:dyDescent="0.2">
      <c r="B38" s="1326"/>
      <c r="C38" s="1327"/>
      <c r="D38" s="1327"/>
      <c r="E38" s="1327"/>
      <c r="F38" s="1327"/>
      <c r="G38" s="1327"/>
      <c r="H38" s="1327"/>
      <c r="I38" s="1327"/>
      <c r="J38" s="1328"/>
      <c r="K38" s="159"/>
    </row>
    <row r="39" spans="2:24" ht="12" customHeight="1" x14ac:dyDescent="0.2">
      <c r="B39" s="1326"/>
      <c r="C39" s="1327"/>
      <c r="D39" s="1327"/>
      <c r="E39" s="1327"/>
      <c r="F39" s="1327"/>
      <c r="G39" s="1327"/>
      <c r="H39" s="1327"/>
      <c r="I39" s="1327"/>
      <c r="J39" s="1328"/>
      <c r="K39" s="159"/>
    </row>
    <row r="40" spans="2:24" ht="12" customHeight="1" x14ac:dyDescent="0.2">
      <c r="B40" s="1315"/>
      <c r="C40" s="1321"/>
      <c r="D40" s="1321"/>
      <c r="E40" s="1321"/>
      <c r="F40" s="1321"/>
      <c r="G40" s="1321"/>
      <c r="H40" s="1321"/>
      <c r="I40" s="1321"/>
      <c r="J40" s="1322"/>
      <c r="K40" s="159"/>
    </row>
    <row r="41" spans="2:24" ht="26.25" customHeight="1" thickBot="1" x14ac:dyDescent="0.25">
      <c r="B41" s="4495" t="s">
        <v>2217</v>
      </c>
      <c r="C41" s="4496"/>
      <c r="D41" s="4496"/>
      <c r="E41" s="4496"/>
      <c r="F41" s="4496"/>
      <c r="G41" s="4496"/>
      <c r="H41" s="4496"/>
      <c r="I41" s="4496"/>
      <c r="J41" s="4497"/>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1855</v>
      </c>
      <c r="E1" s="14" t="s">
        <v>2521</v>
      </c>
    </row>
    <row r="2" spans="2:5" s="83" customFormat="1" ht="17.25" x14ac:dyDescent="0.3">
      <c r="B2" s="208" t="s">
        <v>964</v>
      </c>
      <c r="C2" s="208"/>
      <c r="E2" s="14" t="s">
        <v>2522</v>
      </c>
    </row>
    <row r="3" spans="2:5" s="83" customFormat="1" ht="15.75" x14ac:dyDescent="0.25">
      <c r="B3" s="13" t="s">
        <v>62</v>
      </c>
      <c r="E3" s="14" t="s">
        <v>2144</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46" t="s">
        <v>64</v>
      </c>
    </row>
    <row r="7" spans="2:5" s="83" customFormat="1" ht="27.75" customHeight="1" x14ac:dyDescent="0.2">
      <c r="B7" s="849" t="s">
        <v>65</v>
      </c>
      <c r="C7" s="458" t="s">
        <v>419</v>
      </c>
      <c r="D7" s="459" t="s">
        <v>123</v>
      </c>
      <c r="E7" s="460" t="s">
        <v>965</v>
      </c>
    </row>
    <row r="8" spans="2:5" s="83" customFormat="1" ht="14.25" x14ac:dyDescent="0.2">
      <c r="B8" s="1329"/>
      <c r="C8" s="461" t="s">
        <v>966</v>
      </c>
      <c r="D8" s="462" t="s">
        <v>967</v>
      </c>
      <c r="E8" s="463" t="s">
        <v>968</v>
      </c>
    </row>
    <row r="9" spans="2:5" s="83" customFormat="1" ht="15" thickBot="1" x14ac:dyDescent="0.25">
      <c r="B9" s="464"/>
      <c r="C9" s="465" t="s">
        <v>969</v>
      </c>
      <c r="D9" s="466" t="s">
        <v>970</v>
      </c>
      <c r="E9" s="465" t="s">
        <v>73</v>
      </c>
    </row>
    <row r="10" spans="2:5" s="83" customFormat="1" ht="18" customHeight="1" thickTop="1" x14ac:dyDescent="0.2">
      <c r="B10" s="846" t="s">
        <v>971</v>
      </c>
      <c r="C10" s="2673"/>
      <c r="D10" s="2673"/>
      <c r="E10" s="3433">
        <f>IF(SUM(E11:E12)=0,"NO",SUM(E11:E12))</f>
        <v>1072.8425829711978</v>
      </c>
    </row>
    <row r="11" spans="2:5" s="83" customFormat="1" ht="18" customHeight="1" x14ac:dyDescent="0.2">
      <c r="B11" s="1854" t="s">
        <v>972</v>
      </c>
      <c r="C11" s="4187">
        <v>2483927.9998225202</v>
      </c>
      <c r="D11" s="3594">
        <f>IF(SUM(C11)=0,"NA",E11*1000/(44/12)/C11)</f>
        <v>0.10800000000000018</v>
      </c>
      <c r="E11" s="3431">
        <v>983.6354879297196</v>
      </c>
    </row>
    <row r="12" spans="2:5" s="83" customFormat="1" ht="18" customHeight="1" x14ac:dyDescent="0.2">
      <c r="B12" s="1854" t="s">
        <v>973</v>
      </c>
      <c r="C12" s="4187">
        <v>196997.63351080901</v>
      </c>
      <c r="D12" s="3594">
        <f t="shared" ref="D12:D16" si="0">IF(SUM(C12)=0,"NA",E12*1000/(44/12)/C12)</f>
        <v>0.12350000000000019</v>
      </c>
      <c r="E12" s="3431">
        <v>89.207095041478155</v>
      </c>
    </row>
    <row r="13" spans="2:5" s="83" customFormat="1" ht="18" customHeight="1" x14ac:dyDescent="0.2">
      <c r="B13" s="846" t="s">
        <v>974</v>
      </c>
      <c r="C13" s="4188">
        <v>1032066.22258653</v>
      </c>
      <c r="D13" s="4189">
        <f t="shared" si="0"/>
        <v>0.20000000000000076</v>
      </c>
      <c r="E13" s="3432">
        <v>756.84856323012491</v>
      </c>
    </row>
    <row r="14" spans="2:5" s="83" customFormat="1" ht="18" customHeight="1" x14ac:dyDescent="0.2">
      <c r="B14" s="846" t="s">
        <v>975</v>
      </c>
      <c r="C14" s="4188" t="s">
        <v>2154</v>
      </c>
      <c r="D14" s="4189" t="str">
        <f t="shared" si="0"/>
        <v>NA</v>
      </c>
      <c r="E14" s="4190" t="s">
        <v>2154</v>
      </c>
    </row>
    <row r="15" spans="2:5" s="83" customFormat="1" ht="18" customHeight="1" x14ac:dyDescent="0.2">
      <c r="B15" s="846" t="s">
        <v>2062</v>
      </c>
      <c r="C15" s="3594" t="str">
        <f>C16</f>
        <v>NO</v>
      </c>
      <c r="D15" s="3594" t="str">
        <f t="shared" si="0"/>
        <v>NA</v>
      </c>
      <c r="E15" s="3594" t="str">
        <f>E16</f>
        <v>NO</v>
      </c>
    </row>
    <row r="16" spans="2:5" s="83" customFormat="1" ht="18" customHeight="1" thickBot="1" x14ac:dyDescent="0.25">
      <c r="B16" s="2674" t="s">
        <v>2147</v>
      </c>
      <c r="C16" s="4191" t="s">
        <v>2146</v>
      </c>
      <c r="D16" s="3598" t="str">
        <f t="shared" si="0"/>
        <v>NA</v>
      </c>
      <c r="E16" s="4192" t="s">
        <v>2146</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390</v>
      </c>
      <c r="C23" s="224"/>
      <c r="D23" s="224"/>
      <c r="E23" s="225"/>
    </row>
    <row r="24" spans="2:5" ht="12" customHeight="1" x14ac:dyDescent="0.2">
      <c r="B24" s="1318"/>
      <c r="C24" s="1319"/>
      <c r="D24" s="1319"/>
      <c r="E24" s="1320"/>
    </row>
    <row r="25" spans="2:5" ht="12" customHeight="1" x14ac:dyDescent="0.2">
      <c r="B25" s="1318"/>
      <c r="C25" s="1319"/>
      <c r="D25" s="1319"/>
      <c r="E25" s="1320"/>
    </row>
    <row r="26" spans="2:5" ht="12" customHeight="1" thickBot="1" x14ac:dyDescent="0.25">
      <c r="B26" s="1460"/>
      <c r="C26" s="1461"/>
      <c r="D26" s="1461"/>
      <c r="E26" s="1462"/>
    </row>
    <row r="27" spans="2:5" ht="12" customHeight="1" thickBot="1" x14ac:dyDescent="0.25">
      <c r="B27" s="1463"/>
      <c r="C27" s="1464"/>
      <c r="D27" s="1464"/>
      <c r="E27" s="1465"/>
    </row>
    <row r="29" spans="2:5" ht="15.75" x14ac:dyDescent="0.2">
      <c r="B29" s="468"/>
      <c r="C29" s="159"/>
      <c r="D29" s="159"/>
    </row>
    <row r="30" spans="2:5" x14ac:dyDescent="0.2">
      <c r="B30" s="469"/>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I75"/>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60" style="83" customWidth="1"/>
    <col min="3" max="3" width="21" style="83" customWidth="1"/>
    <col min="4" max="4" width="14" style="83" customWidth="1"/>
    <col min="5" max="5" width="13.140625" style="83" customWidth="1"/>
    <col min="6" max="6" width="11.85546875" style="83" customWidth="1"/>
    <col min="7" max="8" width="11.42578125" style="83" customWidth="1"/>
    <col min="9" max="9" width="21" style="83" customWidth="1"/>
    <col min="10" max="16384" width="8" style="83"/>
  </cols>
  <sheetData>
    <row r="1" spans="2:9" ht="15.75" customHeight="1" x14ac:dyDescent="0.25">
      <c r="B1" s="13" t="s">
        <v>976</v>
      </c>
      <c r="I1" s="14" t="s">
        <v>2521</v>
      </c>
    </row>
    <row r="2" spans="2:9" ht="15.75" customHeight="1" x14ac:dyDescent="0.25">
      <c r="B2" s="13" t="s">
        <v>62</v>
      </c>
      <c r="I2" s="14" t="s">
        <v>2522</v>
      </c>
    </row>
    <row r="3" spans="2:9" ht="12" customHeight="1" x14ac:dyDescent="0.2">
      <c r="I3" s="14" t="s">
        <v>2144</v>
      </c>
    </row>
    <row r="4" spans="2:9" ht="12" hidden="1" customHeight="1" x14ac:dyDescent="0.2">
      <c r="I4" s="2"/>
    </row>
    <row r="5" spans="2:9" ht="12" hidden="1" customHeight="1" x14ac:dyDescent="0.2">
      <c r="I5" s="2"/>
    </row>
    <row r="6" spans="2:9" ht="12" hidden="1" customHeight="1" x14ac:dyDescent="0.2">
      <c r="I6" s="2"/>
    </row>
    <row r="7" spans="2:9" ht="13.5" thickBot="1" x14ac:dyDescent="0.25">
      <c r="B7" s="2446" t="s">
        <v>64</v>
      </c>
    </row>
    <row r="8" spans="2:9" ht="48" customHeight="1" x14ac:dyDescent="0.2">
      <c r="B8" s="1330" t="s">
        <v>65</v>
      </c>
      <c r="C8" s="470" t="s">
        <v>1956</v>
      </c>
      <c r="D8" s="471" t="s">
        <v>977</v>
      </c>
      <c r="E8" s="471" t="s">
        <v>978</v>
      </c>
      <c r="F8" s="471" t="s">
        <v>442</v>
      </c>
      <c r="G8" s="471" t="s">
        <v>70</v>
      </c>
      <c r="H8" s="470" t="s">
        <v>71</v>
      </c>
      <c r="I8" s="2473" t="s">
        <v>2031</v>
      </c>
    </row>
    <row r="9" spans="2:9" ht="14.25" thickBot="1" x14ac:dyDescent="0.25">
      <c r="B9" s="1331"/>
      <c r="C9" s="1102" t="s">
        <v>73</v>
      </c>
      <c r="D9" s="1103"/>
      <c r="E9" s="1103"/>
      <c r="F9" s="1103"/>
      <c r="G9" s="1103"/>
      <c r="H9" s="1103"/>
      <c r="I9" s="1800" t="s">
        <v>2032</v>
      </c>
    </row>
    <row r="10" spans="2:9" ht="18" customHeight="1" thickTop="1" thickBot="1" x14ac:dyDescent="0.25">
      <c r="B10" s="472" t="s">
        <v>980</v>
      </c>
      <c r="C10" s="2989">
        <f>IF(SUM(C11,C14,C17,C20,C23,C26,C29:C30)=0,"NO",SUM(C11,C14,C17,C20,C23,C26,C29:C30))</f>
        <v>61853.129233805063</v>
      </c>
      <c r="D10" s="2989">
        <f t="shared" ref="D10:H10" si="0">IF(SUM(D11,D14,D17,D20,D23,D26,D29:D30)=0,"NO",SUM(D11,D14,D17,D20,D23,D26,D29:D30))</f>
        <v>726.3529216532221</v>
      </c>
      <c r="E10" s="2989">
        <f t="shared" si="0"/>
        <v>17.289384986216149</v>
      </c>
      <c r="F10" s="2989">
        <f t="shared" si="0"/>
        <v>978.25111224870068</v>
      </c>
      <c r="G10" s="2989">
        <f t="shared" si="0"/>
        <v>26030.181263636816</v>
      </c>
      <c r="H10" s="2990">
        <f t="shared" si="0"/>
        <v>803.85393218561467</v>
      </c>
      <c r="I10" s="2991">
        <f>IF(SUM(C10:E10)=0,"NO",SUM(C10)+28*SUM(D10)+265*SUM(E10))</f>
        <v>86772.698061442556</v>
      </c>
    </row>
    <row r="11" spans="2:9" ht="18" customHeight="1" x14ac:dyDescent="0.2">
      <c r="B11" s="473" t="s">
        <v>981</v>
      </c>
      <c r="C11" s="2992">
        <f>IF(SUM(C12:C13)=0,"NO",SUM(C12:C13))</f>
        <v>-44030.092111633683</v>
      </c>
      <c r="D11" s="2992">
        <f t="shared" ref="D11:H11" si="1">IF(SUM(D12:D13)=0,"NO",SUM(D12:D13))</f>
        <v>247.91046331831978</v>
      </c>
      <c r="E11" s="2992">
        <f t="shared" si="1"/>
        <v>4.7588687531444727</v>
      </c>
      <c r="F11" s="2992">
        <f t="shared" si="1"/>
        <v>259.94011677283208</v>
      </c>
      <c r="G11" s="2992">
        <f t="shared" si="1"/>
        <v>7002.7484106655102</v>
      </c>
      <c r="H11" s="2993">
        <f t="shared" si="1"/>
        <v>243.15589725503946</v>
      </c>
      <c r="I11" s="2994">
        <f t="shared" ref="I11:I32" si="2">IF(SUM(C11:E11)=0,"NO",SUM(C11)+28*SUM(D11)+265*SUM(E11))</f>
        <v>-35827.498919137448</v>
      </c>
    </row>
    <row r="12" spans="2:9" ht="18" customHeight="1" x14ac:dyDescent="0.2">
      <c r="B12" s="474" t="s">
        <v>982</v>
      </c>
      <c r="C12" s="2995">
        <f>IF(SUM(Table4.A!U11,'Table4(IV)'!J12)=0,"NO",SUM(Table4.A!U11,'Table4(IV)'!J12))</f>
        <v>-17140.203259215541</v>
      </c>
      <c r="D12" s="2995">
        <f>'Table4(IV)'!K12</f>
        <v>245.56557260602315</v>
      </c>
      <c r="E12" s="2995">
        <f>IF(SUM('Table4(III)'!I12,'Table4(IV)'!L12)=0,"NO",SUM('Table4(III)'!I12,'Table4(IV)'!L12))</f>
        <v>4.2428090332585091</v>
      </c>
      <c r="F12" s="2905">
        <v>258.316635478568</v>
      </c>
      <c r="G12" s="2905">
        <v>6941.5042333560414</v>
      </c>
      <c r="H12" s="2906">
        <v>236.19707490740109</v>
      </c>
      <c r="I12" s="2996">
        <f t="shared" si="2"/>
        <v>-9140.0228324333893</v>
      </c>
    </row>
    <row r="13" spans="2:9" ht="18" customHeight="1" thickBot="1" x14ac:dyDescent="0.25">
      <c r="B13" s="475" t="s">
        <v>983</v>
      </c>
      <c r="C13" s="2997">
        <f>IF(SUM(Table4.A!U16,'Table4(IV)'!J19)=0,"NO",SUM(Table4.A!U16,'Table4(IV)'!J19))</f>
        <v>-26889.888852418142</v>
      </c>
      <c r="D13" s="2997">
        <f>'Table4(IV)'!K19</f>
        <v>2.3448907122966296</v>
      </c>
      <c r="E13" s="2997">
        <f>IF(SUM('Table4(III)'!I13,'Table4(IV)'!L19)=0,"NO",SUM('Table4(III)'!I13,'Table4(IV)'!L19))</f>
        <v>0.51605971988596377</v>
      </c>
      <c r="F13" s="2908">
        <v>1.6234812942641073</v>
      </c>
      <c r="G13" s="2908">
        <v>61.244177309468867</v>
      </c>
      <c r="H13" s="2907">
        <v>6.9588223476383835</v>
      </c>
      <c r="I13" s="2998">
        <f t="shared" si="2"/>
        <v>-26687.476086704053</v>
      </c>
    </row>
    <row r="14" spans="2:9" ht="18" customHeight="1" x14ac:dyDescent="0.2">
      <c r="B14" s="473" t="s">
        <v>984</v>
      </c>
      <c r="C14" s="2992">
        <f>IF(SUM(C15:C16)=0,"NO",SUM(C15:C16))</f>
        <v>10431.513443562886</v>
      </c>
      <c r="D14" s="2992">
        <f t="shared" ref="D14" si="3">IF(SUM(D15:D16)=0,"NO",SUM(D15:D16))</f>
        <v>4.0637663999999996</v>
      </c>
      <c r="E14" s="2992">
        <f t="shared" ref="E14" si="4">IF(SUM(E15:E16)=0,"NO",SUM(E15:E16))</f>
        <v>0.13524441726366032</v>
      </c>
      <c r="F14" s="2992">
        <f t="shared" ref="F14" si="5">IF(SUM(F15:F16)=0,"NO",SUM(F15:F16))</f>
        <v>3.0599193428571425</v>
      </c>
      <c r="G14" s="2992">
        <f t="shared" ref="G14" si="6">IF(SUM(G15:G16)=0,"NO",SUM(G15:G16))</f>
        <v>119.84348133333334</v>
      </c>
      <c r="H14" s="2993">
        <f t="shared" ref="H14" si="7">IF(SUM(H15:H16)=0,"NO",SUM(H15:H16))</f>
        <v>14.486574666666668</v>
      </c>
      <c r="I14" s="2999">
        <f t="shared" si="2"/>
        <v>10581.138673337757</v>
      </c>
    </row>
    <row r="15" spans="2:9" ht="18" customHeight="1" x14ac:dyDescent="0.2">
      <c r="B15" s="474" t="s">
        <v>985</v>
      </c>
      <c r="C15" s="2995">
        <f>IF(SUM(Table4.B!S11,'Table4(IV)'!J26)=0,"NO",SUM(Table4.B!S11,'Table4(IV)'!J26))</f>
        <v>4927.3122700878421</v>
      </c>
      <c r="D15" s="2995" t="str">
        <f>'Table4(IV)'!K26</f>
        <v>IE</v>
      </c>
      <c r="E15" s="2995" t="str">
        <f>'Table4(IV)'!L26</f>
        <v>IE</v>
      </c>
      <c r="F15" s="2905" t="s">
        <v>2153</v>
      </c>
      <c r="G15" s="2905" t="s">
        <v>2153</v>
      </c>
      <c r="H15" s="2906" t="s">
        <v>2153</v>
      </c>
      <c r="I15" s="2996">
        <f t="shared" si="2"/>
        <v>4927.3122700878421</v>
      </c>
    </row>
    <row r="16" spans="2:9" ht="18" customHeight="1" thickBot="1" x14ac:dyDescent="0.25">
      <c r="B16" s="475" t="s">
        <v>986</v>
      </c>
      <c r="C16" s="2997">
        <f>IF(SUM(Table4.B!S13,'Table4(IV)'!J31)=0,"IE",SUM(Table4.B!S13,'Table4(IV)'!J31))</f>
        <v>5504.2011734750449</v>
      </c>
      <c r="D16" s="2997">
        <f>'Table4(IV)'!K31</f>
        <v>4.0637663999999996</v>
      </c>
      <c r="E16" s="2997">
        <f>IF(SUM('Table4(III)'!I21,'Table4(IV)'!L31)=0,"IE",SUM('Table4(III)'!I21,'Table4(IV)'!L31))</f>
        <v>0.13524441726366032</v>
      </c>
      <c r="F16" s="2908">
        <v>3.0599193428571425</v>
      </c>
      <c r="G16" s="2908">
        <v>119.84348133333334</v>
      </c>
      <c r="H16" s="2907">
        <v>14.486574666666668</v>
      </c>
      <c r="I16" s="2998">
        <f t="shared" si="2"/>
        <v>5653.8264032499155</v>
      </c>
    </row>
    <row r="17" spans="2:9" ht="18" customHeight="1" x14ac:dyDescent="0.2">
      <c r="B17" s="473" t="s">
        <v>987</v>
      </c>
      <c r="C17" s="2992">
        <f>IF(SUM(C18:C19)=0,"NO",SUM(C18:C19))</f>
        <v>95703.865611283807</v>
      </c>
      <c r="D17" s="2992">
        <f t="shared" ref="D17" si="8">IF(SUM(D18:D19)=0,"NO",SUM(D18:D19))</f>
        <v>383.50323771289891</v>
      </c>
      <c r="E17" s="2992">
        <f t="shared" ref="E17" si="9">IF(SUM(E18:E19)=0,"NO",SUM(E18:E19))</f>
        <v>11.842644006660517</v>
      </c>
      <c r="F17" s="2992">
        <f t="shared" ref="F17" si="10">IF(SUM(F18:F19)=0,"NO",SUM(F18:F19))</f>
        <v>686.55076759885526</v>
      </c>
      <c r="G17" s="2992">
        <f t="shared" ref="G17" si="11">IF(SUM(G18:G19)=0,"NO",SUM(G18:G19))</f>
        <v>18166.185979243186</v>
      </c>
      <c r="H17" s="2993">
        <f t="shared" ref="H17" si="12">IF(SUM(H18:H19)=0,"NO",SUM(H18:H19))</f>
        <v>529.23883740971633</v>
      </c>
      <c r="I17" s="2999">
        <f t="shared" si="2"/>
        <v>109580.25692901001</v>
      </c>
    </row>
    <row r="18" spans="2:9" ht="18" customHeight="1" x14ac:dyDescent="0.2">
      <c r="B18" s="474" t="s">
        <v>988</v>
      </c>
      <c r="C18" s="2995">
        <f>IF(SUM(Table4.C!S11,'Table4(IV)'!J37)=0,"IE",SUM(Table4.C!S11,'Table4(IV)'!J37))</f>
        <v>11999.294605529823</v>
      </c>
      <c r="D18" s="2995">
        <f>'Table4(IV)'!K37</f>
        <v>263.74468487995807</v>
      </c>
      <c r="E18" s="2995">
        <f>IF(SUM('Table4(III)'!I29,'Table4(IV)'!L37)=0,"NO",SUM('Table4(III)'!I29,'Table4(IV)'!L37))</f>
        <v>9.1561944442977534</v>
      </c>
      <c r="F18" s="2905">
        <v>595.50422797388637</v>
      </c>
      <c r="G18" s="2905">
        <v>14623.849292798906</v>
      </c>
      <c r="H18" s="2906">
        <v>105.51576287646395</v>
      </c>
      <c r="I18" s="2996">
        <f t="shared" si="2"/>
        <v>21810.537309907555</v>
      </c>
    </row>
    <row r="19" spans="2:9" ht="18" customHeight="1" thickBot="1" x14ac:dyDescent="0.25">
      <c r="B19" s="475" t="s">
        <v>989</v>
      </c>
      <c r="C19" s="2997">
        <f>IF(SUM(Table4.C!S15,'Table4(IV)'!J42)=0,"IE",SUM(Table4.C!S15,'Table4(IV)'!J42))</f>
        <v>83704.571005753984</v>
      </c>
      <c r="D19" s="2997">
        <f>'Table4(IV)'!K42</f>
        <v>119.75855283294086</v>
      </c>
      <c r="E19" s="2997">
        <f>IF(SUM('Table4(III)'!I30,'Table4(IV)'!L42)=0,"NO",SUM('Table4(III)'!I30,'Table4(IV)'!L42))</f>
        <v>2.6864495623627644</v>
      </c>
      <c r="F19" s="2908">
        <v>91.046539624968844</v>
      </c>
      <c r="G19" s="2908">
        <v>3542.3366864442778</v>
      </c>
      <c r="H19" s="2907">
        <v>423.72307453325243</v>
      </c>
      <c r="I19" s="2998">
        <f t="shared" si="2"/>
        <v>87769.71961910247</v>
      </c>
    </row>
    <row r="20" spans="2:9" ht="18" customHeight="1" x14ac:dyDescent="0.2">
      <c r="B20" s="473" t="s">
        <v>2027</v>
      </c>
      <c r="C20" s="2992">
        <f>IF(SUM(C21:C22)=0,"NO",SUM(C21:C22))</f>
        <v>1302.9933634580761</v>
      </c>
      <c r="D20" s="2992">
        <f t="shared" ref="D20" si="13">IF(SUM(D21:D22)=0,"NO",SUM(D21:D22))</f>
        <v>86.22305902200344</v>
      </c>
      <c r="E20" s="2992">
        <f t="shared" ref="E20" si="14">IF(SUM(E21:E22)=0,"NO",SUM(E21:E22))</f>
        <v>0.34193934540547777</v>
      </c>
      <c r="F20" s="2992">
        <f t="shared" ref="F20" si="15">IF(SUM(F21:F22)=0,"NO",SUM(F21:F22))</f>
        <v>25.197165719870469</v>
      </c>
      <c r="G20" s="2992">
        <f t="shared" ref="G20" si="16">IF(SUM(G21:G22)=0,"NO",SUM(G21:G22))</f>
        <v>604.20081172811956</v>
      </c>
      <c r="H20" s="2993">
        <f t="shared" ref="H20" si="17">IF(SUM(H21:H22)=0,"NO",SUM(H21:H22))</f>
        <v>0.38769552085887665</v>
      </c>
      <c r="I20" s="2999">
        <f t="shared" si="2"/>
        <v>3807.8529426066243</v>
      </c>
    </row>
    <row r="21" spans="2:9" ht="18" customHeight="1" x14ac:dyDescent="0.2">
      <c r="B21" s="474" t="s">
        <v>990</v>
      </c>
      <c r="C21" s="2995">
        <f>IF(SUM(Table4.D!S11,'Table4(IV)'!J49)=0,"IE",SUM(Table4.D!S11,'Table4(IV)'!J49))</f>
        <v>1226.4186967914095</v>
      </c>
      <c r="D21" s="2995">
        <f>IF(SUM('Table4(IV)'!K49,'Table4(II)'!J270)=0,"NO",SUM('Table4(IV)'!K49,'Table4(II)'!J270))</f>
        <v>78.700648931031225</v>
      </c>
      <c r="E21" s="2995">
        <f>IF(SUM('Table4(II)'!I270,'Table4(III)'!I38,'Table4(IV)'!L49)=0,"NO",SUM('Table4(II)'!I270,'Table4(III)'!I38,'Table4(IV)'!L49))</f>
        <v>0.34193934540547777</v>
      </c>
      <c r="F21" s="2905">
        <v>25.197165719870469</v>
      </c>
      <c r="G21" s="2905">
        <v>604.20081172811956</v>
      </c>
      <c r="H21" s="2906">
        <v>0.38769552085887665</v>
      </c>
      <c r="I21" s="2996">
        <f t="shared" si="2"/>
        <v>3520.650793392736</v>
      </c>
    </row>
    <row r="22" spans="2:9" ht="18" customHeight="1" thickBot="1" x14ac:dyDescent="0.25">
      <c r="B22" s="475" t="s">
        <v>991</v>
      </c>
      <c r="C22" s="2997">
        <f>IF(SUM(Table4.D!S23,'Table4(II)'!H320,'Table4(IV)'!J54)=0,"NO",SUM(Table4.D!S23,'Table4(II)'!H320,'Table4(IV)'!J54))</f>
        <v>76.574666666666658</v>
      </c>
      <c r="D22" s="2997">
        <f>IF(SUM('Table4(IV)'!K54,'Table4(II)'!J320)=0,"NO",SUM('Table4(IV)'!K54,'Table4(II)'!J320))</f>
        <v>7.5224100909722216</v>
      </c>
      <c r="E22" s="2997" t="str">
        <f>IF(SUM('Table4(II)'!I320,'Table4(III)'!I39,'Table4(IV)'!L54)=0,"NO",SUM('Table4(II)'!I320,'Table4(III)'!I39,'Table4(IV)'!L54))</f>
        <v>NO</v>
      </c>
      <c r="F22" s="2908" t="s">
        <v>2153</v>
      </c>
      <c r="G22" s="2908" t="s">
        <v>2153</v>
      </c>
      <c r="H22" s="2907" t="s">
        <v>2153</v>
      </c>
      <c r="I22" s="2998">
        <f t="shared" si="2"/>
        <v>287.20214921388884</v>
      </c>
    </row>
    <row r="23" spans="2:9" ht="18" customHeight="1" x14ac:dyDescent="0.2">
      <c r="B23" s="473" t="s">
        <v>992</v>
      </c>
      <c r="C23" s="2992">
        <f>IF(SUM(C24:C25)=0,"NO",SUM(C24:C25))</f>
        <v>5931.1504564207271</v>
      </c>
      <c r="D23" s="2992">
        <f t="shared" ref="D23" si="18">IF(SUM(D24:D25)=0,"NO",SUM(D24:D25))</f>
        <v>4.6523952</v>
      </c>
      <c r="E23" s="2992">
        <f t="shared" ref="E23" si="19">IF(SUM(E24:E25)=0,"NO",SUM(E24:E25))</f>
        <v>0.11617100008916363</v>
      </c>
      <c r="F23" s="2992">
        <f>IF(SUM(F24:F25)=0,"NO",SUM(F24:F25))</f>
        <v>3.5031428142857148</v>
      </c>
      <c r="G23" s="2992">
        <f t="shared" ref="G23" si="20">IF(SUM(G24:G25)=0,"NO",SUM(G24:G25))</f>
        <v>137.20258066666671</v>
      </c>
      <c r="H23" s="2993">
        <f t="shared" ref="H23" si="21">IF(SUM(H24:H25)=0,"NO",SUM(H24:H25))</f>
        <v>16.584927333333333</v>
      </c>
      <c r="I23" s="2999">
        <f t="shared" si="2"/>
        <v>6092.2028370443559</v>
      </c>
    </row>
    <row r="24" spans="2:9" ht="18" customHeight="1" x14ac:dyDescent="0.2">
      <c r="B24" s="474" t="s">
        <v>993</v>
      </c>
      <c r="C24" s="2995">
        <f>IF(SUM(Table4.E!S11,'Table4(IV)'!J60)=0,"IE",SUM(Table4.E!S11,'Table4(IV)'!J60))</f>
        <v>29.142855264167782</v>
      </c>
      <c r="D24" s="2995" t="str">
        <f>'Table4(IV)'!K60</f>
        <v>IE</v>
      </c>
      <c r="E24" s="2995">
        <f>IF(SUM('Table4(III)'!I47,'Table4(IV)'!L60)=0,"IE",SUM('Table4(III)'!I47,'Table4(IV)'!L60))</f>
        <v>1.0416261042506445E-3</v>
      </c>
      <c r="F24" s="2905" t="s">
        <v>2154</v>
      </c>
      <c r="G24" s="2905" t="s">
        <v>2154</v>
      </c>
      <c r="H24" s="2906" t="s">
        <v>2154</v>
      </c>
      <c r="I24" s="2996">
        <f t="shared" si="2"/>
        <v>29.418886181794203</v>
      </c>
    </row>
    <row r="25" spans="2:9" ht="18" customHeight="1" thickBot="1" x14ac:dyDescent="0.25">
      <c r="B25" s="475" t="s">
        <v>994</v>
      </c>
      <c r="C25" s="2997">
        <f>IF(SUM(Table4.E!S13,'Table4(IV)'!J65)=0,"IE",SUM(Table4.E!S13,'Table4(IV)'!J65))</f>
        <v>5902.0076011565598</v>
      </c>
      <c r="D25" s="2997">
        <f>'Table4(IV)'!K65</f>
        <v>4.6523952</v>
      </c>
      <c r="E25" s="2997">
        <f>IF(SUM('Table4(III)'!I48,'Table4(IV)'!L65)=0,"NO",SUM('Table4(III)'!I48,'Table4(IV)'!L65))</f>
        <v>0.11512937398491299</v>
      </c>
      <c r="F25" s="2908">
        <v>3.5031428142857148</v>
      </c>
      <c r="G25" s="2908">
        <v>137.20258066666671</v>
      </c>
      <c r="H25" s="2907">
        <v>16.584927333333333</v>
      </c>
      <c r="I25" s="2998">
        <f t="shared" si="2"/>
        <v>6062.7839508625621</v>
      </c>
    </row>
    <row r="26" spans="2:9" ht="18" customHeight="1" x14ac:dyDescent="0.2">
      <c r="B26" s="473" t="s">
        <v>2028</v>
      </c>
      <c r="C26" s="2992" t="str">
        <f>IF(SUM(C27:C28)=0,"NO",SUM(C27:C28))</f>
        <v>NO</v>
      </c>
      <c r="D26" s="2992" t="str">
        <f t="shared" ref="D26" si="22">IF(SUM(D27:D28)=0,"NO",SUM(D27:D28))</f>
        <v>NO</v>
      </c>
      <c r="E26" s="2992" t="str">
        <f t="shared" ref="E26" si="23">IF(SUM(E27:E28)=0,"NO",SUM(E27:E28))</f>
        <v>NO</v>
      </c>
      <c r="F26" s="2992" t="str">
        <f t="shared" ref="F26" si="24">IF(SUM(F27:F28)=0,"NO",SUM(F27:F28))</f>
        <v>NO</v>
      </c>
      <c r="G26" s="2992" t="str">
        <f t="shared" ref="G26" si="25">IF(SUM(G27:G28)=0,"NO",SUM(G27:G28))</f>
        <v>NO</v>
      </c>
      <c r="H26" s="2993" t="str">
        <f t="shared" ref="H26" si="26">IF(SUM(H27:H28)=0,"NO",SUM(H27:H28))</f>
        <v>NO</v>
      </c>
      <c r="I26" s="2999" t="str">
        <f t="shared" si="2"/>
        <v>NO</v>
      </c>
    </row>
    <row r="27" spans="2:9" ht="18" customHeight="1" x14ac:dyDescent="0.2">
      <c r="B27" s="474" t="s">
        <v>995</v>
      </c>
      <c r="C27" s="3000"/>
      <c r="D27" s="3000"/>
      <c r="E27" s="3000"/>
      <c r="F27" s="3000"/>
      <c r="G27" s="3000"/>
      <c r="H27" s="3001"/>
      <c r="I27" s="3002"/>
    </row>
    <row r="28" spans="2:9" ht="18" customHeight="1" thickBot="1" x14ac:dyDescent="0.25">
      <c r="B28" s="475" t="s">
        <v>996</v>
      </c>
      <c r="C28" s="2997" t="str">
        <f>IF(SUM(Table4.F!S12,'Table4(IV)'!J71)=0,"NO",SUM(Table4.F!S12,'Table4(IV)'!J71))</f>
        <v>NO</v>
      </c>
      <c r="D28" s="2997" t="str">
        <f>'Table4(IV)'!K71</f>
        <v>NO</v>
      </c>
      <c r="E28" s="2997" t="str">
        <f>IF(SUM('Table4(III)'!I56,'Table4(IV)'!L71)=0,"NO",SUM('Table4(III)'!I56,'Table4(IV)'!L71))</f>
        <v>NO</v>
      </c>
      <c r="F28" s="2908" t="s">
        <v>2146</v>
      </c>
      <c r="G28" s="2908" t="s">
        <v>2146</v>
      </c>
      <c r="H28" s="2907" t="s">
        <v>2146</v>
      </c>
      <c r="I28" s="2998" t="str">
        <f t="shared" si="2"/>
        <v>NO</v>
      </c>
    </row>
    <row r="29" spans="2:9" ht="18" customHeight="1" thickBot="1" x14ac:dyDescent="0.25">
      <c r="B29" s="1167" t="s">
        <v>2029</v>
      </c>
      <c r="C29" s="3003">
        <f>'Table4.Gs1 '!G10</f>
        <v>-7496.5171084051362</v>
      </c>
      <c r="D29" s="3004"/>
      <c r="E29" s="3004"/>
      <c r="F29" s="3004"/>
      <c r="G29" s="3004"/>
      <c r="H29" s="3005"/>
      <c r="I29" s="3006">
        <f t="shared" si="2"/>
        <v>-7496.5171084051362</v>
      </c>
    </row>
    <row r="30" spans="2:9" ht="18" customHeight="1" x14ac:dyDescent="0.2">
      <c r="B30" s="1168" t="s">
        <v>2063</v>
      </c>
      <c r="C30" s="3007">
        <f>IF(SUM(C31:C32)=0,"NO",SUM(C31:C32))</f>
        <v>10.215579118396668</v>
      </c>
      <c r="D30" s="3007" t="str">
        <f t="shared" ref="D30" si="27">IF(SUM(D31:D32)=0,"NO",SUM(D31:D32))</f>
        <v>NO</v>
      </c>
      <c r="E30" s="3007">
        <f t="shared" ref="E30" si="28">IF(SUM(E31:E32)=0,"NO",SUM(E31:E32))</f>
        <v>9.4517463652857153E-2</v>
      </c>
      <c r="F30" s="3007" t="str">
        <f t="shared" ref="F30" si="29">IF(SUM(F31:F32)=0,"NO",SUM(F31:F32))</f>
        <v>NO</v>
      </c>
      <c r="G30" s="3007" t="str">
        <f t="shared" ref="G30" si="30">IF(SUM(G31:G32)=0,"NO",SUM(G31:G32))</f>
        <v>NO</v>
      </c>
      <c r="H30" s="3008" t="str">
        <f t="shared" ref="H30" si="31">IF(SUM(H31:H32)=0,"NO",SUM(H31:H32))</f>
        <v>NO</v>
      </c>
      <c r="I30" s="3009">
        <f t="shared" si="2"/>
        <v>35.262706986403813</v>
      </c>
    </row>
    <row r="31" spans="2:9" ht="18" customHeight="1" x14ac:dyDescent="0.2">
      <c r="B31" s="2677" t="s">
        <v>2218</v>
      </c>
      <c r="C31" s="3010" t="s">
        <v>2146</v>
      </c>
      <c r="D31" s="3010" t="s">
        <v>2146</v>
      </c>
      <c r="E31" s="3010">
        <v>9.4517463652857153E-2</v>
      </c>
      <c r="F31" s="3010" t="s">
        <v>2146</v>
      </c>
      <c r="G31" s="3010" t="s">
        <v>2146</v>
      </c>
      <c r="H31" s="3011" t="s">
        <v>2146</v>
      </c>
      <c r="I31" s="3012">
        <f t="shared" si="2"/>
        <v>25.047127868007145</v>
      </c>
    </row>
    <row r="32" spans="2:9" ht="18" customHeight="1" thickBot="1" x14ac:dyDescent="0.25">
      <c r="B32" s="2676" t="s">
        <v>2219</v>
      </c>
      <c r="C32" s="3013">
        <v>10.215579118396668</v>
      </c>
      <c r="D32" s="3013" t="s">
        <v>2146</v>
      </c>
      <c r="E32" s="3013" t="s">
        <v>2146</v>
      </c>
      <c r="F32" s="3014" t="s">
        <v>2146</v>
      </c>
      <c r="G32" s="3014" t="s">
        <v>2146</v>
      </c>
      <c r="H32" s="3014" t="s">
        <v>2146</v>
      </c>
      <c r="I32" s="2998">
        <f t="shared" si="2"/>
        <v>10.215579118396668</v>
      </c>
    </row>
    <row r="33" spans="2:9" ht="18" customHeight="1" thickBot="1" x14ac:dyDescent="0.25">
      <c r="B33" s="1554"/>
      <c r="C33" s="3015"/>
      <c r="D33" s="3015"/>
      <c r="E33" s="3015"/>
      <c r="F33" s="3015"/>
      <c r="G33" s="3015"/>
      <c r="H33" s="3015"/>
      <c r="I33" s="3015"/>
    </row>
    <row r="34" spans="2:9" ht="18" customHeight="1" x14ac:dyDescent="0.2">
      <c r="B34" s="1555" t="s">
        <v>997</v>
      </c>
      <c r="C34" s="3016"/>
      <c r="D34" s="3016"/>
      <c r="E34" s="3016"/>
      <c r="F34" s="3016"/>
      <c r="G34" s="3016"/>
      <c r="H34" s="3016"/>
      <c r="I34" s="3017"/>
    </row>
    <row r="35" spans="2:9" ht="18" customHeight="1" thickBot="1" x14ac:dyDescent="0.25">
      <c r="B35" s="1801" t="s">
        <v>2030</v>
      </c>
      <c r="C35" s="3013">
        <v>-25393.434719785662</v>
      </c>
      <c r="D35" s="3013" t="s">
        <v>2146</v>
      </c>
      <c r="E35" s="3013" t="s">
        <v>2146</v>
      </c>
      <c r="F35" s="3013" t="s">
        <v>2146</v>
      </c>
      <c r="G35" s="3013" t="s">
        <v>2146</v>
      </c>
      <c r="H35" s="3013" t="s">
        <v>2146</v>
      </c>
      <c r="I35" s="3018">
        <f t="shared" ref="I35" si="32">IF(SUM(C35:E35)=0,"NO",SUM(C35)+28*SUM(D35)+265*SUM(E35))</f>
        <v>-25393.434719785662</v>
      </c>
    </row>
    <row r="36" spans="2:9" ht="12" customHeight="1" x14ac:dyDescent="0.2">
      <c r="B36" s="247"/>
      <c r="C36" s="247"/>
      <c r="D36" s="247"/>
      <c r="E36" s="247"/>
      <c r="F36" s="247"/>
      <c r="G36" s="247"/>
      <c r="H36" s="247"/>
    </row>
    <row r="37" spans="2:9" ht="12" customHeight="1" x14ac:dyDescent="0.2">
      <c r="B37" s="1013"/>
      <c r="C37" s="1104"/>
      <c r="D37" s="1104"/>
      <c r="E37" s="1104"/>
      <c r="F37" s="1104"/>
      <c r="G37" s="1104"/>
      <c r="H37" s="1104"/>
    </row>
    <row r="38" spans="2:9" ht="12" customHeight="1" x14ac:dyDescent="0.2">
      <c r="B38" s="1105"/>
      <c r="C38" s="1106"/>
      <c r="D38" s="1106"/>
      <c r="E38" s="1106"/>
      <c r="F38" s="1106"/>
      <c r="G38" s="1106"/>
      <c r="H38" s="1106"/>
    </row>
    <row r="39" spans="2:9" ht="12" customHeight="1" x14ac:dyDescent="0.2">
      <c r="B39" s="1013"/>
      <c r="C39" s="1072"/>
      <c r="D39" s="1072"/>
      <c r="E39" s="1072"/>
      <c r="F39" s="1072"/>
      <c r="G39" s="1072"/>
      <c r="H39" s="1072"/>
    </row>
    <row r="40" spans="2:9" ht="12" customHeight="1" x14ac:dyDescent="0.2">
      <c r="B40" s="1013"/>
      <c r="C40" s="1072"/>
      <c r="D40" s="1072"/>
      <c r="E40" s="1072"/>
      <c r="F40" s="1072"/>
      <c r="G40" s="1072"/>
      <c r="H40" s="1072"/>
    </row>
    <row r="41" spans="2:9" ht="12" customHeight="1" x14ac:dyDescent="0.2">
      <c r="B41" s="1013"/>
      <c r="C41" s="1072"/>
      <c r="D41" s="1072"/>
      <c r="E41" s="1072"/>
      <c r="F41" s="1072"/>
      <c r="G41" s="1072"/>
      <c r="H41" s="1072"/>
    </row>
    <row r="42" spans="2:9" ht="12" customHeight="1" x14ac:dyDescent="0.2">
      <c r="B42" s="1013"/>
      <c r="C42" s="1072"/>
      <c r="D42" s="1072"/>
      <c r="E42" s="1072"/>
      <c r="F42" s="1072"/>
      <c r="G42" s="1072"/>
      <c r="H42" s="1072"/>
    </row>
    <row r="43" spans="2:9" ht="12" customHeight="1" x14ac:dyDescent="0.2">
      <c r="B43" s="1013"/>
      <c r="C43" s="1072"/>
      <c r="D43" s="1072"/>
      <c r="E43" s="1072"/>
      <c r="F43" s="1072"/>
      <c r="G43" s="1072"/>
      <c r="H43" s="1072"/>
    </row>
    <row r="44" spans="2:9" ht="12" customHeight="1" x14ac:dyDescent="0.2">
      <c r="B44" s="1013"/>
      <c r="C44" s="1072"/>
      <c r="D44" s="1072"/>
      <c r="E44" s="1072"/>
      <c r="F44" s="1072"/>
      <c r="G44" s="1072"/>
      <c r="H44" s="1072"/>
    </row>
    <row r="45" spans="2:9" ht="12" customHeight="1" x14ac:dyDescent="0.2">
      <c r="B45" s="1013"/>
      <c r="C45" s="1072"/>
      <c r="D45" s="1072"/>
      <c r="E45" s="1072"/>
      <c r="F45" s="1072"/>
      <c r="G45" s="1072"/>
      <c r="H45" s="1072"/>
    </row>
    <row r="46" spans="2:9" ht="12" customHeight="1" x14ac:dyDescent="0.2">
      <c r="B46" s="1013"/>
      <c r="C46" s="1072"/>
      <c r="D46" s="1072"/>
      <c r="E46" s="1072"/>
      <c r="F46" s="1072"/>
      <c r="G46" s="1072"/>
      <c r="H46" s="1072"/>
    </row>
    <row r="47" spans="2:9" ht="12" customHeight="1" x14ac:dyDescent="0.2">
      <c r="B47" s="1013"/>
      <c r="C47" s="1072"/>
      <c r="D47" s="1072"/>
      <c r="E47" s="1072"/>
      <c r="F47" s="1072"/>
      <c r="G47" s="1072"/>
      <c r="H47" s="1072"/>
    </row>
    <row r="48" spans="2:9" ht="12" customHeight="1" x14ac:dyDescent="0.2">
      <c r="B48" s="1013"/>
      <c r="C48" s="1072"/>
      <c r="D48" s="1072"/>
      <c r="E48" s="1072"/>
      <c r="F48" s="1072"/>
      <c r="G48" s="1072"/>
      <c r="H48" s="1072"/>
    </row>
    <row r="49" spans="2:9" ht="12" customHeight="1" x14ac:dyDescent="0.2">
      <c r="B49" s="1013"/>
      <c r="C49" s="1072"/>
      <c r="D49" s="1072"/>
      <c r="E49" s="1072"/>
      <c r="F49" s="1072"/>
      <c r="G49" s="1072"/>
      <c r="H49" s="1072"/>
    </row>
    <row r="50" spans="2:9" ht="12" customHeight="1" x14ac:dyDescent="0.2">
      <c r="B50" s="1013"/>
      <c r="C50" s="1072"/>
      <c r="D50" s="1072"/>
      <c r="E50" s="1072"/>
      <c r="F50" s="1072"/>
      <c r="G50" s="1072"/>
      <c r="H50" s="1072"/>
      <c r="I50" s="83" t="s">
        <v>389</v>
      </c>
    </row>
    <row r="51" spans="2:9" ht="12" customHeight="1" thickBot="1" x14ac:dyDescent="0.25">
      <c r="B51" s="1013"/>
      <c r="C51" s="1072"/>
      <c r="D51" s="1072"/>
      <c r="E51" s="1072"/>
      <c r="F51" s="1072"/>
      <c r="G51" s="1072"/>
      <c r="H51" s="1072"/>
    </row>
    <row r="52" spans="2:9" ht="12" customHeight="1" x14ac:dyDescent="0.2">
      <c r="B52" s="1332" t="s">
        <v>390</v>
      </c>
      <c r="C52" s="1107"/>
      <c r="D52" s="1107"/>
      <c r="E52" s="1107"/>
      <c r="F52" s="1107"/>
      <c r="G52" s="1107"/>
      <c r="H52" s="1107"/>
      <c r="I52" s="1108"/>
    </row>
    <row r="53" spans="2:9" ht="12" customHeight="1" x14ac:dyDescent="0.2">
      <c r="B53" s="1109"/>
      <c r="C53" s="1113"/>
      <c r="D53" s="1113"/>
      <c r="E53" s="1113"/>
      <c r="F53" s="1113"/>
      <c r="G53" s="1113"/>
      <c r="H53" s="1113"/>
      <c r="I53" s="1114"/>
    </row>
    <row r="54" spans="2:9" ht="12" customHeight="1" x14ac:dyDescent="0.2">
      <c r="B54" s="1109"/>
      <c r="C54" s="1113"/>
      <c r="D54" s="1113"/>
      <c r="E54" s="1113"/>
      <c r="F54" s="1113"/>
      <c r="G54" s="1113"/>
      <c r="H54" s="1113"/>
      <c r="I54" s="1114"/>
    </row>
    <row r="55" spans="2:9" ht="12" customHeight="1" x14ac:dyDescent="0.2">
      <c r="B55" s="1109"/>
      <c r="C55" s="1113"/>
      <c r="D55" s="1113"/>
      <c r="E55" s="1113"/>
      <c r="F55" s="1113"/>
      <c r="G55" s="1113"/>
      <c r="H55" s="1113"/>
      <c r="I55" s="1114"/>
    </row>
    <row r="56" spans="2:9" ht="12" customHeight="1" x14ac:dyDescent="0.2">
      <c r="B56" s="1109"/>
      <c r="C56" s="1113"/>
      <c r="D56" s="1113"/>
      <c r="E56" s="1113"/>
      <c r="F56" s="1113"/>
      <c r="G56" s="1113"/>
      <c r="H56" s="1113"/>
      <c r="I56" s="1114"/>
    </row>
    <row r="57" spans="2:9" ht="12" customHeight="1" x14ac:dyDescent="0.2">
      <c r="B57" s="1109"/>
      <c r="C57" s="1113"/>
      <c r="D57" s="1113"/>
      <c r="E57" s="1113"/>
      <c r="F57" s="1113"/>
      <c r="G57" s="1113"/>
      <c r="H57" s="1113"/>
      <c r="I57" s="1114"/>
    </row>
    <row r="58" spans="2:9" ht="12" customHeight="1" x14ac:dyDescent="0.2">
      <c r="B58" s="1109"/>
      <c r="C58" s="1113"/>
      <c r="D58" s="1113"/>
      <c r="E58" s="1113"/>
      <c r="F58" s="1113"/>
      <c r="G58" s="1113"/>
      <c r="H58" s="1113"/>
      <c r="I58" s="1114"/>
    </row>
    <row r="59" spans="2:9" ht="12" customHeight="1" x14ac:dyDescent="0.2">
      <c r="B59" s="1110"/>
      <c r="C59" s="1111"/>
      <c r="D59" s="1111"/>
      <c r="E59" s="1111"/>
      <c r="F59" s="1111"/>
      <c r="G59" s="1111"/>
      <c r="H59" s="1111"/>
      <c r="I59" s="1112"/>
    </row>
    <row r="60" spans="2:9" ht="41.25" customHeight="1" thickBot="1" x14ac:dyDescent="0.25">
      <c r="B60" s="4468" t="s">
        <v>2294</v>
      </c>
      <c r="C60" s="4469"/>
      <c r="D60" s="4469"/>
      <c r="E60" s="4469"/>
      <c r="F60" s="4469"/>
      <c r="G60" s="4469"/>
      <c r="H60" s="4469"/>
      <c r="I60" s="4470"/>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showGridLines="0" zoomScale="80" zoomScaleNormal="80" workbookViewId="0">
      <pane ySplit="9" topLeftCell="A10" activePane="bottomLeft" state="frozen"/>
      <selection activeCell="C11" sqref="C11"/>
      <selection pane="bottomLeft" activeCell="J13" sqref="J13"/>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26.28515625" customWidth="1"/>
  </cols>
  <sheetData>
    <row r="1" spans="2:10" ht="16.350000000000001" customHeight="1" x14ac:dyDescent="0.25">
      <c r="B1" s="13" t="s">
        <v>60</v>
      </c>
      <c r="I1" s="14"/>
      <c r="J1" s="14" t="s">
        <v>2521</v>
      </c>
    </row>
    <row r="2" spans="2:10" ht="16.350000000000001" customHeight="1" x14ac:dyDescent="0.2">
      <c r="B2" s="3" t="s">
        <v>62</v>
      </c>
      <c r="I2" s="14"/>
      <c r="J2" s="14" t="s">
        <v>2522</v>
      </c>
    </row>
    <row r="3" spans="2:10" ht="16.350000000000001" customHeight="1" x14ac:dyDescent="0.2">
      <c r="H3" s="14"/>
      <c r="I3" s="14"/>
      <c r="J3" s="14" t="s">
        <v>2144</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47" t="s">
        <v>64</v>
      </c>
      <c r="C7" s="4"/>
      <c r="D7" s="4"/>
      <c r="E7" s="4"/>
      <c r="F7" s="4"/>
      <c r="G7" s="4"/>
      <c r="H7" s="4"/>
      <c r="I7" s="24"/>
    </row>
    <row r="8" spans="2:10" ht="12" customHeight="1" x14ac:dyDescent="0.2">
      <c r="B8" s="1121" t="s">
        <v>65</v>
      </c>
      <c r="C8" s="15" t="s">
        <v>66</v>
      </c>
      <c r="D8" s="15" t="s">
        <v>67</v>
      </c>
      <c r="E8" s="15" t="s">
        <v>68</v>
      </c>
      <c r="F8" s="15" t="s">
        <v>69</v>
      </c>
      <c r="G8" s="15" t="s">
        <v>70</v>
      </c>
      <c r="H8" s="15" t="s">
        <v>71</v>
      </c>
      <c r="I8" s="16" t="s">
        <v>72</v>
      </c>
      <c r="J8" s="2464" t="s">
        <v>2005</v>
      </c>
    </row>
    <row r="9" spans="2:10" ht="12" customHeight="1" thickBot="1" x14ac:dyDescent="0.25">
      <c r="B9" s="1122"/>
      <c r="C9" s="174" t="s">
        <v>73</v>
      </c>
      <c r="D9" s="175"/>
      <c r="E9" s="175"/>
      <c r="F9" s="175"/>
      <c r="G9" s="175"/>
      <c r="H9" s="175"/>
      <c r="I9" s="176"/>
      <c r="J9" s="1800" t="s">
        <v>2006</v>
      </c>
    </row>
    <row r="10" spans="2:10" s="83" customFormat="1" ht="18" customHeight="1" thickTop="1" thickBot="1" x14ac:dyDescent="0.25">
      <c r="B10" s="17" t="s">
        <v>74</v>
      </c>
      <c r="C10" s="3765">
        <f>IF(SUM(C11,C37,C47)=0,"NO",SUM(C11,C37,C47))</f>
        <v>367332.27677549474</v>
      </c>
      <c r="D10" s="3765">
        <f t="shared" ref="D10:I10" si="0">IF(SUM(D11,D37,D47)=0,"NO",SUM(D11,D37,D47))</f>
        <v>1391.6847672179999</v>
      </c>
      <c r="E10" s="3765">
        <f t="shared" si="0"/>
        <v>12.604821318482555</v>
      </c>
      <c r="F10" s="3765">
        <f t="shared" si="0"/>
        <v>2138.8032938589249</v>
      </c>
      <c r="G10" s="3765">
        <f t="shared" si="0"/>
        <v>3483.5397435268651</v>
      </c>
      <c r="H10" s="3765">
        <f t="shared" si="0"/>
        <v>718.45951767382735</v>
      </c>
      <c r="I10" s="3766">
        <f t="shared" si="0"/>
        <v>786.80373875388011</v>
      </c>
      <c r="J10" s="3028">
        <f t="shared" ref="J10:J40" si="1">IF(SUM(C10:E10)=0,"NO",SUM(C10,IFERROR(28*D10,0),IFERROR(265*E10,0)))</f>
        <v>409639.72790699668</v>
      </c>
    </row>
    <row r="11" spans="2:10" s="83" customFormat="1" ht="18" customHeight="1" thickBot="1" x14ac:dyDescent="0.25">
      <c r="B11" s="18" t="s">
        <v>75</v>
      </c>
      <c r="C11" s="3029">
        <f>IF(SUM(C12,C16,C24,C30,C34)=0,"NO",SUM(C12,C16,C24,C30,C34))</f>
        <v>360285.88298889197</v>
      </c>
      <c r="D11" s="3029">
        <f t="shared" ref="D11:I11" si="2">IF(SUM(D12,D16,D24,D30,D34)=0,"NO",SUM(D12,D16,D24,D30,D34))</f>
        <v>85.418449411312352</v>
      </c>
      <c r="E11" s="3029">
        <f t="shared" si="2"/>
        <v>12.523654224849878</v>
      </c>
      <c r="F11" s="3029">
        <f t="shared" si="2"/>
        <v>2136.2927198869365</v>
      </c>
      <c r="G11" s="3029">
        <f t="shared" si="2"/>
        <v>3468.980014489332</v>
      </c>
      <c r="H11" s="3029">
        <f t="shared" si="2"/>
        <v>515.57607662927205</v>
      </c>
      <c r="I11" s="3030">
        <f t="shared" si="2"/>
        <v>786.80373875388011</v>
      </c>
      <c r="J11" s="3031">
        <f t="shared" si="1"/>
        <v>365996.36794199393</v>
      </c>
    </row>
    <row r="12" spans="2:10" s="83" customFormat="1" ht="18" customHeight="1" x14ac:dyDescent="0.2">
      <c r="B12" s="26" t="s">
        <v>76</v>
      </c>
      <c r="C12" s="3029">
        <f>IF(SUM(C13:C15)=0,"NO",SUM(C13:C15))</f>
        <v>219705.33865122739</v>
      </c>
      <c r="D12" s="3029">
        <f t="shared" ref="D12:I12" si="3">IF(SUM(D13:D15)=0,"NO",SUM(D13:D15))</f>
        <v>12.694811733811816</v>
      </c>
      <c r="E12" s="3029">
        <f t="shared" si="3"/>
        <v>3.645083868973102</v>
      </c>
      <c r="F12" s="3029">
        <f t="shared" si="3"/>
        <v>913.9187146702086</v>
      </c>
      <c r="G12" s="3029">
        <f t="shared" si="3"/>
        <v>171.09080987577903</v>
      </c>
      <c r="H12" s="3029">
        <f>IF(SUM(H13:H15)=0,"NO",SUM(H13:H15))</f>
        <v>39.685506325829856</v>
      </c>
      <c r="I12" s="3030">
        <f t="shared" si="3"/>
        <v>652.51231076667</v>
      </c>
      <c r="J12" s="3031">
        <f t="shared" si="1"/>
        <v>221026.74060505198</v>
      </c>
    </row>
    <row r="13" spans="2:10" s="83" customFormat="1" ht="18" customHeight="1" x14ac:dyDescent="0.2">
      <c r="B13" s="20" t="s">
        <v>77</v>
      </c>
      <c r="C13" s="3032">
        <f>'Table1.A(a)s1'!H24</f>
        <v>200199.55586612341</v>
      </c>
      <c r="D13" s="3032">
        <f>'Table1.A(a)s1'!I24</f>
        <v>6.2407310712073745</v>
      </c>
      <c r="E13" s="3032">
        <f>'Table1.A(a)s1'!J24</f>
        <v>3.2132799383533142</v>
      </c>
      <c r="F13" s="3033">
        <v>615.56022232773262</v>
      </c>
      <c r="G13" s="3033">
        <v>87.724819236851999</v>
      </c>
      <c r="H13" s="3033">
        <v>6.4576030469388703</v>
      </c>
      <c r="I13" s="3034">
        <v>636.78789175536326</v>
      </c>
      <c r="J13" s="3035">
        <f t="shared" si="1"/>
        <v>201225.81551978085</v>
      </c>
    </row>
    <row r="14" spans="2:10" s="83" customFormat="1" ht="18" customHeight="1" x14ac:dyDescent="0.2">
      <c r="B14" s="20" t="s">
        <v>78</v>
      </c>
      <c r="C14" s="3032">
        <f>'Table1.A(a)s1'!H53</f>
        <v>4907.4504676359275</v>
      </c>
      <c r="D14" s="3032">
        <f>'Table1.A(a)s1'!I53</f>
        <v>6.2566134699094902E-2</v>
      </c>
      <c r="E14" s="3032">
        <f>'Table1.A(a)s1'!J53</f>
        <v>4.0743923730934307E-2</v>
      </c>
      <c r="F14" s="3033">
        <v>33.043457978380758</v>
      </c>
      <c r="G14" s="3033">
        <v>3.9568223487315612</v>
      </c>
      <c r="H14" s="3033">
        <v>7.8174604122771774E-2</v>
      </c>
      <c r="I14" s="3034">
        <v>3.2457493429922026</v>
      </c>
      <c r="J14" s="3035">
        <f t="shared" si="1"/>
        <v>4919.9994591961995</v>
      </c>
    </row>
    <row r="15" spans="2:10" s="83" customFormat="1" ht="18" customHeight="1" thickBot="1" x14ac:dyDescent="0.25">
      <c r="B15" s="21" t="s">
        <v>79</v>
      </c>
      <c r="C15" s="3036">
        <f>'Table1.A(a)s1'!H60</f>
        <v>14598.332317468044</v>
      </c>
      <c r="D15" s="3036">
        <f>'Table1.A(a)s1'!I60</f>
        <v>6.3915145279053469</v>
      </c>
      <c r="E15" s="3036">
        <f>'Table1.A(a)s1'!J60</f>
        <v>0.39106000688885328</v>
      </c>
      <c r="F15" s="3037">
        <v>265.3150343640952</v>
      </c>
      <c r="G15" s="3037">
        <v>79.409168290195467</v>
      </c>
      <c r="H15" s="3037">
        <v>33.149728674768212</v>
      </c>
      <c r="I15" s="3038">
        <v>12.478669668314485</v>
      </c>
      <c r="J15" s="3039">
        <f t="shared" si="1"/>
        <v>14880.925626074941</v>
      </c>
    </row>
    <row r="16" spans="2:10" s="83" customFormat="1" ht="18" customHeight="1" x14ac:dyDescent="0.2">
      <c r="B16" s="25" t="s">
        <v>80</v>
      </c>
      <c r="C16" s="3029">
        <f>IF(SUM(C17:C23)=0,"NO",SUM(C17:C23))</f>
        <v>40191.294818873052</v>
      </c>
      <c r="D16" s="3029">
        <f t="shared" ref="D16:I16" si="4">IF(SUM(D17:D23)=0,"NO",SUM(D17:D23))</f>
        <v>2.3473627845463243</v>
      </c>
      <c r="E16" s="3029">
        <f t="shared" si="4"/>
        <v>1.3342298221966118</v>
      </c>
      <c r="F16" s="3029">
        <f t="shared" si="4"/>
        <v>530.14131779061631</v>
      </c>
      <c r="G16" s="3029">
        <f t="shared" si="4"/>
        <v>170.00622083640209</v>
      </c>
      <c r="H16" s="3029">
        <f t="shared" si="4"/>
        <v>68.039810632417499</v>
      </c>
      <c r="I16" s="3030">
        <f t="shared" si="4"/>
        <v>99.305534481643619</v>
      </c>
      <c r="J16" s="3031">
        <f t="shared" si="1"/>
        <v>40610.591879722451</v>
      </c>
    </row>
    <row r="17" spans="2:10" s="83" customFormat="1" ht="18" customHeight="1" x14ac:dyDescent="0.2">
      <c r="B17" s="20" t="s">
        <v>81</v>
      </c>
      <c r="C17" s="3032">
        <f>'Table1.A(a)s2'!H17</f>
        <v>2573.2111314566109</v>
      </c>
      <c r="D17" s="3032">
        <f>'Table1.A(a)s2'!I17</f>
        <v>5.5926734335182721E-2</v>
      </c>
      <c r="E17" s="3032">
        <f>'Table1.A(a)s2'!J17</f>
        <v>3.1687363277597677E-2</v>
      </c>
      <c r="F17" s="3033">
        <v>27.14115092344754</v>
      </c>
      <c r="G17" s="3033">
        <v>4.6212880554843361</v>
      </c>
      <c r="H17" s="3033">
        <v>0.52220528156789836</v>
      </c>
      <c r="I17" s="3034">
        <v>11.398840053455219</v>
      </c>
      <c r="J17" s="3035">
        <f t="shared" si="1"/>
        <v>2583.1742312865595</v>
      </c>
    </row>
    <row r="18" spans="2:10" s="83" customFormat="1" ht="18" customHeight="1" x14ac:dyDescent="0.2">
      <c r="B18" s="20" t="s">
        <v>82</v>
      </c>
      <c r="C18" s="3032">
        <f>'Table1.A(a)s2'!H24</f>
        <v>13867.544056210947</v>
      </c>
      <c r="D18" s="3032">
        <f>'Table1.A(a)s2'!I24</f>
        <v>0.26550517664676743</v>
      </c>
      <c r="E18" s="3032">
        <f>'Table1.A(a)s2'!J24</f>
        <v>0.15465014104088276</v>
      </c>
      <c r="F18" s="3033">
        <v>97.858635070469944</v>
      </c>
      <c r="G18" s="3033">
        <v>15.677976501783464</v>
      </c>
      <c r="H18" s="3033">
        <v>2.2889740137668579</v>
      </c>
      <c r="I18" s="3034">
        <v>56.063410983527852</v>
      </c>
      <c r="J18" s="3035">
        <f t="shared" si="1"/>
        <v>13915.96048853289</v>
      </c>
    </row>
    <row r="19" spans="2:10" s="83" customFormat="1" ht="18" customHeight="1" x14ac:dyDescent="0.2">
      <c r="B19" s="20" t="s">
        <v>83</v>
      </c>
      <c r="C19" s="3032">
        <f>'Table1.A(a)s2'!H31</f>
        <v>6570.5784458041981</v>
      </c>
      <c r="D19" s="3032">
        <f>'Table1.A(a)s2'!I31</f>
        <v>0.22639885085377856</v>
      </c>
      <c r="E19" s="3032">
        <f>'Table1.A(a)s2'!J31</f>
        <v>7.0444353591148035E-2</v>
      </c>
      <c r="F19" s="3033">
        <v>46.912907354186672</v>
      </c>
      <c r="G19" s="3033">
        <v>16.479126263179289</v>
      </c>
      <c r="H19" s="3033">
        <v>10.789520984315695</v>
      </c>
      <c r="I19" s="3034">
        <v>4.4312711152349591</v>
      </c>
      <c r="J19" s="3035">
        <f t="shared" si="1"/>
        <v>6595.5853673297579</v>
      </c>
    </row>
    <row r="20" spans="2:10" s="83" customFormat="1" ht="18" customHeight="1" x14ac:dyDescent="0.2">
      <c r="B20" s="20" t="s">
        <v>84</v>
      </c>
      <c r="C20" s="3032">
        <f>'Table1.A(a)s2'!H38</f>
        <v>1770.9591543256661</v>
      </c>
      <c r="D20" s="3032">
        <f>'Table1.A(a)s2'!I38</f>
        <v>0.24264111665164254</v>
      </c>
      <c r="E20" s="3032">
        <f>'Table1.A(a)s2'!J38</f>
        <v>0.16137317586815389</v>
      </c>
      <c r="F20" s="3033">
        <v>6.9711127892183722</v>
      </c>
      <c r="G20" s="3033">
        <v>5.9223303982804776</v>
      </c>
      <c r="H20" s="3033">
        <v>0.19346909786654781</v>
      </c>
      <c r="I20" s="3034">
        <v>2.6067714667339392</v>
      </c>
      <c r="J20" s="3035">
        <f t="shared" si="1"/>
        <v>1820.5169971969729</v>
      </c>
    </row>
    <row r="21" spans="2:10" s="83" customFormat="1" ht="18" customHeight="1" x14ac:dyDescent="0.2">
      <c r="B21" s="20" t="s">
        <v>85</v>
      </c>
      <c r="C21" s="3032">
        <f>'Table1.A(a)s2'!H45</f>
        <v>3309.006745054241</v>
      </c>
      <c r="D21" s="3032">
        <f>'Table1.A(a)s2'!I45</f>
        <v>0.93449619070877787</v>
      </c>
      <c r="E21" s="3032">
        <f>'Table1.A(a)s2'!J45</f>
        <v>0.60752144803479136</v>
      </c>
      <c r="F21" s="3033">
        <v>24.572835674882938</v>
      </c>
      <c r="G21" s="3033">
        <v>23.722453762561418</v>
      </c>
      <c r="H21" s="3033">
        <v>1.1273448615089536</v>
      </c>
      <c r="I21" s="3034">
        <v>6.7419671365595537</v>
      </c>
      <c r="J21" s="3035">
        <f t="shared" si="1"/>
        <v>3496.1658221233065</v>
      </c>
    </row>
    <row r="22" spans="2:10" s="83" customFormat="1" ht="18" customHeight="1" x14ac:dyDescent="0.2">
      <c r="B22" s="20" t="s">
        <v>86</v>
      </c>
      <c r="C22" s="3032">
        <f>'Table1.A(a)s2'!H52</f>
        <v>6117.5864879602923</v>
      </c>
      <c r="D22" s="3032">
        <f>'Table1.A(a)s2'!I52</f>
        <v>0.30835942225642404</v>
      </c>
      <c r="E22" s="3032">
        <f>'Table1.A(a)s2'!J52</f>
        <v>5.3581616885861105E-2</v>
      </c>
      <c r="F22" s="3033">
        <v>84.329527301314712</v>
      </c>
      <c r="G22" s="3033">
        <v>25.589152012181806</v>
      </c>
      <c r="H22" s="3033">
        <v>16.47035824604562</v>
      </c>
      <c r="I22" s="3034">
        <v>12.190907820977692</v>
      </c>
      <c r="J22" s="3035">
        <f t="shared" si="1"/>
        <v>6140.4196802582246</v>
      </c>
    </row>
    <row r="23" spans="2:10" s="83" customFormat="1" ht="18" customHeight="1" thickBot="1" x14ac:dyDescent="0.25">
      <c r="B23" s="3060" t="s">
        <v>2115</v>
      </c>
      <c r="C23" s="3032">
        <f>'Table1.A(a)s2'!H59</f>
        <v>5982.4087980610975</v>
      </c>
      <c r="D23" s="3032">
        <f>'Table1.A(a)s2'!I59</f>
        <v>0.314035293093751</v>
      </c>
      <c r="E23" s="3032">
        <f>'Table1.A(a)s2'!J59</f>
        <v>0.25497172349817698</v>
      </c>
      <c r="F23" s="3033">
        <v>242.35514867709614</v>
      </c>
      <c r="G23" s="3033">
        <v>77.9938938429313</v>
      </c>
      <c r="H23" s="3033">
        <v>36.647938147345918</v>
      </c>
      <c r="I23" s="3034">
        <v>5.8723659051543819</v>
      </c>
      <c r="J23" s="3035">
        <f t="shared" si="1"/>
        <v>6058.7692929947389</v>
      </c>
    </row>
    <row r="24" spans="2:10" s="83" customFormat="1" ht="18" customHeight="1" x14ac:dyDescent="0.2">
      <c r="B24" s="25" t="s">
        <v>87</v>
      </c>
      <c r="C24" s="3029">
        <f>IF(SUM(C25:C29)=0,"NO",SUM(C25:C29))</f>
        <v>80926.112954754542</v>
      </c>
      <c r="D24" s="3029">
        <f t="shared" ref="D24:I24" si="5">IF(SUM(D25:D29)=0,"NO",SUM(D25:D29))</f>
        <v>21.266576747645065</v>
      </c>
      <c r="E24" s="3029">
        <f t="shared" si="5"/>
        <v>6.8637756581244886</v>
      </c>
      <c r="F24" s="3029">
        <f t="shared" si="5"/>
        <v>329.26721358944121</v>
      </c>
      <c r="G24" s="3029">
        <f t="shared" si="5"/>
        <v>2340.5986260111108</v>
      </c>
      <c r="H24" s="3029">
        <f t="shared" si="5"/>
        <v>281.03833336686927</v>
      </c>
      <c r="I24" s="3030">
        <f t="shared" si="5"/>
        <v>27.109465284917942</v>
      </c>
      <c r="J24" s="3031">
        <f t="shared" si="1"/>
        <v>83340.477653091584</v>
      </c>
    </row>
    <row r="25" spans="2:10" s="83" customFormat="1" ht="18" customHeight="1" x14ac:dyDescent="0.2">
      <c r="B25" s="20" t="s">
        <v>88</v>
      </c>
      <c r="C25" s="1878">
        <f>'Table1.A(a)s3'!H16</f>
        <v>5638.016552313793</v>
      </c>
      <c r="D25" s="1878">
        <f>'Table1.A(a)s3'!I16</f>
        <v>3.2358646167084879E-2</v>
      </c>
      <c r="E25" s="1878">
        <f>'Table1.A(a)s3'!J16</f>
        <v>4.7695134931703111E-2</v>
      </c>
      <c r="F25" s="3033">
        <v>19.12222294190439</v>
      </c>
      <c r="G25" s="3033">
        <v>12.71374492900685</v>
      </c>
      <c r="H25" s="3033">
        <v>1.2579542912889379</v>
      </c>
      <c r="I25" s="3034">
        <v>0.66515709882466612</v>
      </c>
      <c r="J25" s="3035">
        <f t="shared" si="1"/>
        <v>5651.5618051633728</v>
      </c>
    </row>
    <row r="26" spans="2:10" s="83" customFormat="1" ht="18" customHeight="1" x14ac:dyDescent="0.2">
      <c r="B26" s="20" t="s">
        <v>89</v>
      </c>
      <c r="C26" s="1878">
        <f>'Table1.A(a)s3'!H20</f>
        <v>70485.813822353695</v>
      </c>
      <c r="D26" s="1878">
        <f>'Table1.A(a)s3'!I20</f>
        <v>16.82119034833638</v>
      </c>
      <c r="E26" s="1878">
        <f>'Table1.A(a)s3'!J20</f>
        <v>5.9631773387719598</v>
      </c>
      <c r="F26" s="3033">
        <v>245.10555300563519</v>
      </c>
      <c r="G26" s="3033">
        <v>2097.9799116176218</v>
      </c>
      <c r="H26" s="3033">
        <v>240.12051422305575</v>
      </c>
      <c r="I26" s="3034">
        <v>13.843361578430263</v>
      </c>
      <c r="J26" s="3035">
        <f t="shared" si="1"/>
        <v>72537.049146881676</v>
      </c>
    </row>
    <row r="27" spans="2:10" s="83" customFormat="1" ht="18" customHeight="1" x14ac:dyDescent="0.2">
      <c r="B27" s="20" t="s">
        <v>90</v>
      </c>
      <c r="C27" s="1878">
        <f>'Table1.A(a)s3'!H81</f>
        <v>1901.2799999999997</v>
      </c>
      <c r="D27" s="1878">
        <f>'Table1.A(a)s3'!I81</f>
        <v>0.10879999999999999</v>
      </c>
      <c r="E27" s="1878">
        <f>'Table1.A(a)s3'!J81</f>
        <v>0.81599999999999995</v>
      </c>
      <c r="F27" s="3033">
        <v>41.615999999999993</v>
      </c>
      <c r="G27" s="3033">
        <v>5.4943999999999997</v>
      </c>
      <c r="H27" s="3033">
        <v>1.9311999999999996</v>
      </c>
      <c r="I27" s="3034">
        <v>1.5508771929824556</v>
      </c>
      <c r="J27" s="3035">
        <f t="shared" si="1"/>
        <v>2120.5663999999997</v>
      </c>
    </row>
    <row r="28" spans="2:10" s="83" customFormat="1" ht="18" customHeight="1" x14ac:dyDescent="0.2">
      <c r="B28" s="20" t="s">
        <v>91</v>
      </c>
      <c r="C28" s="1878">
        <f>'Table1.A(a)s3'!H88</f>
        <v>2016.8068345483523</v>
      </c>
      <c r="D28" s="1878">
        <f>'Table1.A(a)s3'!I88</f>
        <v>4.143551198009563</v>
      </c>
      <c r="E28" s="1878">
        <f>'Table1.A(a)s3'!J88</f>
        <v>3.5140204569451786E-2</v>
      </c>
      <c r="F28" s="3033">
        <v>20.114232371840583</v>
      </c>
      <c r="G28" s="3033">
        <v>219.09689511388746</v>
      </c>
      <c r="H28" s="3033">
        <v>36.985174524891129</v>
      </c>
      <c r="I28" s="3034">
        <v>11.044688543056585</v>
      </c>
      <c r="J28" s="3035">
        <f t="shared" si="1"/>
        <v>2142.1384223035247</v>
      </c>
    </row>
    <row r="29" spans="2:10" s="83" customFormat="1" ht="18" customHeight="1" thickBot="1" x14ac:dyDescent="0.25">
      <c r="B29" s="22" t="s">
        <v>92</v>
      </c>
      <c r="C29" s="1881">
        <f>'Table1.A(a)s3'!H99</f>
        <v>884.19574553870223</v>
      </c>
      <c r="D29" s="1881">
        <f>'Table1.A(a)s3'!I99</f>
        <v>0.16067655513203979</v>
      </c>
      <c r="E29" s="1881">
        <f>'Table1.A(a)s3'!J99</f>
        <v>1.7629798513740602E-3</v>
      </c>
      <c r="F29" s="3040">
        <v>3.309205270061093</v>
      </c>
      <c r="G29" s="3040">
        <v>5.3136743505949608</v>
      </c>
      <c r="H29" s="3040">
        <v>0.7434903276334669</v>
      </c>
      <c r="I29" s="3041">
        <v>5.3808716239719546E-3</v>
      </c>
      <c r="J29" s="3042">
        <f t="shared" si="1"/>
        <v>889.16187874301352</v>
      </c>
    </row>
    <row r="30" spans="2:10" ht="18" customHeight="1" x14ac:dyDescent="0.2">
      <c r="B30" s="26" t="s">
        <v>93</v>
      </c>
      <c r="C30" s="3029">
        <f>IF(SUM(C31:C33)=0,"NO",SUM(C31:C33))</f>
        <v>18814.081690346997</v>
      </c>
      <c r="D30" s="3029">
        <f t="shared" ref="D30" si="6">IF(SUM(D31:D33)=0,"NO",SUM(D31:D33))</f>
        <v>49.087427960582239</v>
      </c>
      <c r="E30" s="3029">
        <f t="shared" ref="E30" si="7">IF(SUM(E31:E33)=0,"NO",SUM(E31:E33))</f>
        <v>0.66256796242867133</v>
      </c>
      <c r="F30" s="3029">
        <f t="shared" ref="F30" si="8">IF(SUM(F31:F33)=0,"NO",SUM(F31:F33))</f>
        <v>358.33731915853588</v>
      </c>
      <c r="G30" s="3029">
        <f t="shared" ref="G30" si="9">IF(SUM(G31:G33)=0,"NO",SUM(G31:G33))</f>
        <v>782.82565299122143</v>
      </c>
      <c r="H30" s="3029">
        <f t="shared" ref="H30" si="10">IF(SUM(H31:H33)=0,"NO",SUM(H31:H33))</f>
        <v>126.35806206527081</v>
      </c>
      <c r="I30" s="3030">
        <f t="shared" ref="I30" si="11">IF(SUM(I31:I33)=0,"NO",SUM(I31:I33))</f>
        <v>7.6939126211695585</v>
      </c>
      <c r="J30" s="3043">
        <f t="shared" si="1"/>
        <v>20364.110183286895</v>
      </c>
    </row>
    <row r="31" spans="2:10" ht="18" customHeight="1" x14ac:dyDescent="0.2">
      <c r="B31" s="20" t="s">
        <v>94</v>
      </c>
      <c r="C31" s="3032">
        <f>'Table1.A(a)s4'!H17</f>
        <v>4623.8725658947997</v>
      </c>
      <c r="D31" s="3032">
        <f>'Table1.A(a)s4'!I17</f>
        <v>8.9172376979454626E-2</v>
      </c>
      <c r="E31" s="3032">
        <f>'Table1.A(a)s4'!J17</f>
        <v>8.9417113939653958E-2</v>
      </c>
      <c r="F31" s="3033">
        <v>31.046826763569086</v>
      </c>
      <c r="G31" s="3033">
        <v>9.2901625914977757</v>
      </c>
      <c r="H31" s="3033">
        <v>3.7734866316366107</v>
      </c>
      <c r="I31" s="3034">
        <v>2.4546549220199325</v>
      </c>
      <c r="J31" s="3035">
        <f t="shared" si="1"/>
        <v>4650.0649276442327</v>
      </c>
    </row>
    <row r="32" spans="2:10" ht="18" customHeight="1" x14ac:dyDescent="0.2">
      <c r="B32" s="20" t="s">
        <v>95</v>
      </c>
      <c r="C32" s="3032">
        <f>'Table1.A(a)s4'!H38</f>
        <v>8077.287691687613</v>
      </c>
      <c r="D32" s="3032">
        <f>'Table1.A(a)s4'!I38</f>
        <v>48.474306214771616</v>
      </c>
      <c r="E32" s="3032">
        <f>'Table1.A(a)s4'!J38</f>
        <v>0.2553394129911819</v>
      </c>
      <c r="F32" s="3033">
        <v>11.383231788906187</v>
      </c>
      <c r="G32" s="3033">
        <v>645.1915042352216</v>
      </c>
      <c r="H32" s="3033">
        <v>74.637731992941582</v>
      </c>
      <c r="I32" s="3034">
        <v>0.54553655160576708</v>
      </c>
      <c r="J32" s="3035">
        <f t="shared" si="1"/>
        <v>9502.2332101438824</v>
      </c>
    </row>
    <row r="33" spans="2:10" ht="18" customHeight="1" thickBot="1" x14ac:dyDescent="0.25">
      <c r="B33" s="20" t="s">
        <v>96</v>
      </c>
      <c r="C33" s="3032">
        <f>'Table1.A(a)s4'!H59</f>
        <v>6112.9214327645823</v>
      </c>
      <c r="D33" s="3032">
        <f>'Table1.A(a)s4'!I59</f>
        <v>0.5239493688311686</v>
      </c>
      <c r="E33" s="3032">
        <f>'Table1.A(a)s4'!J59</f>
        <v>0.31781143549783542</v>
      </c>
      <c r="F33" s="3033">
        <v>315.90726060606062</v>
      </c>
      <c r="G33" s="3033">
        <v>128.34398616450216</v>
      </c>
      <c r="H33" s="3033">
        <v>47.946843440692625</v>
      </c>
      <c r="I33" s="3034">
        <v>4.6937211475438589</v>
      </c>
      <c r="J33" s="3035">
        <f t="shared" si="1"/>
        <v>6211.8120454987811</v>
      </c>
    </row>
    <row r="34" spans="2:10" ht="18" customHeight="1" x14ac:dyDescent="0.2">
      <c r="B34" s="25" t="s">
        <v>2116</v>
      </c>
      <c r="C34" s="3029">
        <f>IF(SUM(C35:C36)=0,"NO",SUM(C35:C36))</f>
        <v>649.05487369003185</v>
      </c>
      <c r="D34" s="3029">
        <f t="shared" ref="D34:E34" si="12">IF(SUM(D35:D36)=0,"NO",SUM(D35:D36))</f>
        <v>2.2270184726905787E-2</v>
      </c>
      <c r="E34" s="3029">
        <f t="shared" si="12"/>
        <v>1.7996913127003019E-2</v>
      </c>
      <c r="F34" s="3029">
        <f t="shared" ref="F34:I34" si="13">IF(SUM(F35:F36)=0,"NO",SUM(F35:F36))</f>
        <v>4.6281546781340799</v>
      </c>
      <c r="G34" s="3029">
        <f t="shared" si="13"/>
        <v>4.4587047748187283</v>
      </c>
      <c r="H34" s="3029">
        <f t="shared" si="13"/>
        <v>0.45436423888458122</v>
      </c>
      <c r="I34" s="3030">
        <f t="shared" si="13"/>
        <v>0.18251559947900153</v>
      </c>
      <c r="J34" s="3031">
        <f t="shared" si="1"/>
        <v>654.44762084104093</v>
      </c>
    </row>
    <row r="35" spans="2:10" ht="18" customHeight="1" x14ac:dyDescent="0.2">
      <c r="B35" s="20" t="s">
        <v>97</v>
      </c>
      <c r="C35" s="3032" t="str">
        <f>'Table1.A(a)s4'!H100</f>
        <v>NO</v>
      </c>
      <c r="D35" s="3032" t="str">
        <f>'Table1.A(a)s4'!I100</f>
        <v>NO</v>
      </c>
      <c r="E35" s="3032" t="str">
        <f>'Table1.A(a)s4'!J100</f>
        <v>NO</v>
      </c>
      <c r="F35" s="3033" t="s">
        <v>2146</v>
      </c>
      <c r="G35" s="3033" t="s">
        <v>2146</v>
      </c>
      <c r="H35" s="3033" t="s">
        <v>2146</v>
      </c>
      <c r="I35" s="3034" t="s">
        <v>2146</v>
      </c>
      <c r="J35" s="3035" t="str">
        <f t="shared" si="1"/>
        <v>NO</v>
      </c>
    </row>
    <row r="36" spans="2:10" ht="18" customHeight="1" thickBot="1" x14ac:dyDescent="0.25">
      <c r="B36" s="22" t="s">
        <v>98</v>
      </c>
      <c r="C36" s="3044">
        <f>'Table1.A(a)s4'!H108</f>
        <v>649.05487369003185</v>
      </c>
      <c r="D36" s="3044">
        <f>'Table1.A(a)s4'!I108</f>
        <v>2.2270184726905787E-2</v>
      </c>
      <c r="E36" s="3044">
        <f>'Table1.A(a)s4'!J108</f>
        <v>1.7996913127003019E-2</v>
      </c>
      <c r="F36" s="3040">
        <v>4.6281546781340799</v>
      </c>
      <c r="G36" s="3040">
        <v>4.4587047748187283</v>
      </c>
      <c r="H36" s="3040">
        <v>0.45436423888458122</v>
      </c>
      <c r="I36" s="3041">
        <v>0.18251559947900153</v>
      </c>
      <c r="J36" s="3042">
        <f t="shared" si="1"/>
        <v>654.44762084104093</v>
      </c>
    </row>
    <row r="37" spans="2:10" ht="18" customHeight="1" thickBot="1" x14ac:dyDescent="0.25">
      <c r="B37" s="18" t="s">
        <v>99</v>
      </c>
      <c r="C37" s="3029">
        <f>IF(SUM(C38,C42)=0,"NO",SUM(C38,C42))</f>
        <v>7046.3937866027936</v>
      </c>
      <c r="D37" s="3029">
        <f t="shared" ref="D37:I37" si="14">IF(SUM(D38,D42)=0,"NO",SUM(D38,D42))</f>
        <v>1306.2663178066875</v>
      </c>
      <c r="E37" s="3029">
        <f t="shared" si="14"/>
        <v>8.1167093632677129E-2</v>
      </c>
      <c r="F37" s="3029">
        <f t="shared" si="14"/>
        <v>2.5105739719884332</v>
      </c>
      <c r="G37" s="3029">
        <f t="shared" si="14"/>
        <v>14.559729037532914</v>
      </c>
      <c r="H37" s="3029">
        <f t="shared" si="14"/>
        <v>202.88344104455527</v>
      </c>
      <c r="I37" s="3030" t="str">
        <f t="shared" si="14"/>
        <v>NO</v>
      </c>
      <c r="J37" s="3031">
        <f t="shared" si="1"/>
        <v>43643.359965002703</v>
      </c>
    </row>
    <row r="38" spans="2:10" ht="18" customHeight="1" x14ac:dyDescent="0.2">
      <c r="B38" s="26" t="s">
        <v>100</v>
      </c>
      <c r="C38" s="3029">
        <f>IF(SUM(C39:C41)=0,"NO",SUM(C39:C41))</f>
        <v>1212.9142005812864</v>
      </c>
      <c r="D38" s="3029">
        <f t="shared" ref="D38" si="15">IF(SUM(D39:D41)=0,"NO",SUM(D39:D41))</f>
        <v>1100.0892930957064</v>
      </c>
      <c r="E38" s="3029">
        <f t="shared" ref="E38" si="16">IF(SUM(E39:E41)=0,"NO",SUM(E39:E41))</f>
        <v>1.2579774697436016E-4</v>
      </c>
      <c r="F38" s="3029" t="str">
        <f t="shared" ref="F38" si="17">IF(SUM(F39:F41)=0,"NO",SUM(F39:F41))</f>
        <v>NO</v>
      </c>
      <c r="G38" s="3029" t="str">
        <f t="shared" ref="G38" si="18">IF(SUM(G39:G41)=0,"NO",SUM(G39:G41))</f>
        <v>NO</v>
      </c>
      <c r="H38" s="3029" t="str">
        <f t="shared" ref="H38" si="19">IF(SUM(H39:H41)=0,"NO",SUM(H39:H41))</f>
        <v>NO</v>
      </c>
      <c r="I38" s="3030" t="str">
        <f t="shared" ref="I38" si="20">IF(SUM(I39:I41)=0,"NO",SUM(I39:I41))</f>
        <v>NO</v>
      </c>
      <c r="J38" s="3031">
        <f t="shared" si="1"/>
        <v>32015.447743664012</v>
      </c>
    </row>
    <row r="39" spans="2:10" ht="18" customHeight="1" x14ac:dyDescent="0.2">
      <c r="B39" s="20" t="s">
        <v>101</v>
      </c>
      <c r="C39" s="3032">
        <f>'Table1.B.1'!G10</f>
        <v>1212.9142005812864</v>
      </c>
      <c r="D39" s="3032">
        <f>SUM('Table1.B.1'!F10,'Table1.B.1'!H10)</f>
        <v>1100.0892930957064</v>
      </c>
      <c r="E39" s="3033">
        <v>1.2579774697436016E-4</v>
      </c>
      <c r="F39" s="3033" t="s">
        <v>2146</v>
      </c>
      <c r="G39" s="3033" t="s">
        <v>2146</v>
      </c>
      <c r="H39" s="3033" t="s">
        <v>2146</v>
      </c>
      <c r="I39" s="2931"/>
      <c r="J39" s="3035">
        <f t="shared" si="1"/>
        <v>32015.447743664012</v>
      </c>
    </row>
    <row r="40" spans="2:10" ht="18" customHeight="1" x14ac:dyDescent="0.2">
      <c r="B40" s="20" t="s">
        <v>2007</v>
      </c>
      <c r="C40" s="3032" t="str">
        <f>'Table1.B.1'!F23</f>
        <v>IE,NO</v>
      </c>
      <c r="D40" s="3032" t="str">
        <f>'Table1.B.1'!G23</f>
        <v>IE,NO</v>
      </c>
      <c r="E40" s="3033" t="s">
        <v>2147</v>
      </c>
      <c r="F40" s="3033" t="s">
        <v>2147</v>
      </c>
      <c r="G40" s="3033" t="s">
        <v>2147</v>
      </c>
      <c r="H40" s="3033" t="s">
        <v>2147</v>
      </c>
      <c r="I40" s="3034" t="s">
        <v>2147</v>
      </c>
      <c r="J40" s="3035" t="str">
        <f t="shared" si="1"/>
        <v>NO</v>
      </c>
    </row>
    <row r="41" spans="2:10" ht="18" customHeight="1" thickBot="1" x14ac:dyDescent="0.25">
      <c r="B41" s="21" t="s">
        <v>2117</v>
      </c>
      <c r="C41" s="3032" t="str">
        <f>'Table1.B.1'!F31</f>
        <v>NA</v>
      </c>
      <c r="D41" s="3032" t="str">
        <f>'Table1.B.1'!G31</f>
        <v>NA</v>
      </c>
      <c r="E41" s="3045" t="s">
        <v>2147</v>
      </c>
      <c r="F41" s="3040" t="s">
        <v>2147</v>
      </c>
      <c r="G41" s="3040" t="s">
        <v>2147</v>
      </c>
      <c r="H41" s="3040" t="s">
        <v>2147</v>
      </c>
      <c r="I41" s="3041" t="s">
        <v>2147</v>
      </c>
      <c r="J41" s="3035" t="str">
        <f>IF(SUM(C41:E41)=0,"NO",SUM(C41,IFERROR(28*D41,0),IFERROR(265*E41,0)))</f>
        <v>NO</v>
      </c>
    </row>
    <row r="42" spans="2:10" ht="18" customHeight="1" x14ac:dyDescent="0.2">
      <c r="B42" s="25" t="s">
        <v>102</v>
      </c>
      <c r="C42" s="3029">
        <f>IF(SUM(C43:C46)=0,"NO",SUM(C43:C46))</f>
        <v>5833.4795860215072</v>
      </c>
      <c r="D42" s="3029">
        <f t="shared" ref="D42:I42" si="21">IF(SUM(D43:D46)=0,"NO",SUM(D43:D46))</f>
        <v>206.17702471098124</v>
      </c>
      <c r="E42" s="3029">
        <f t="shared" si="21"/>
        <v>8.1041295885702774E-2</v>
      </c>
      <c r="F42" s="3029">
        <f t="shared" si="21"/>
        <v>2.5105739719884332</v>
      </c>
      <c r="G42" s="3029">
        <f t="shared" si="21"/>
        <v>14.559729037532914</v>
      </c>
      <c r="H42" s="3029">
        <f t="shared" si="21"/>
        <v>202.88344104455527</v>
      </c>
      <c r="I42" s="3030" t="str">
        <f t="shared" si="21"/>
        <v>NO</v>
      </c>
      <c r="J42" s="3031">
        <f t="shared" ref="J42:J59" si="22">IF(SUM(C42:E42)=0,"NO",SUM(C42,IFERROR(28*D42,0),IFERROR(265*E42,0)))</f>
        <v>11627.912221338693</v>
      </c>
    </row>
    <row r="43" spans="2:10" ht="18" customHeight="1" x14ac:dyDescent="0.2">
      <c r="B43" s="20" t="s">
        <v>103</v>
      </c>
      <c r="C43" s="3032">
        <f>'Table1.B.2'!I10</f>
        <v>398.12117440353597</v>
      </c>
      <c r="D43" s="3032">
        <f>'Table1.B.2'!J10</f>
        <v>3.0057938012096277</v>
      </c>
      <c r="E43" s="3032">
        <f>'Table1.B.2'!K10</f>
        <v>1.1986443012435894E-2</v>
      </c>
      <c r="F43" s="3033">
        <v>0.22130506666666672</v>
      </c>
      <c r="G43" s="3033">
        <v>1.2835693866666666</v>
      </c>
      <c r="H43" s="3033">
        <v>94.011306208333338</v>
      </c>
      <c r="I43" s="3034" t="s">
        <v>2146</v>
      </c>
      <c r="J43" s="3035">
        <f t="shared" si="22"/>
        <v>485.45980823570108</v>
      </c>
    </row>
    <row r="44" spans="2:10" ht="18" customHeight="1" x14ac:dyDescent="0.2">
      <c r="B44" s="20" t="s">
        <v>104</v>
      </c>
      <c r="C44" s="3032">
        <f>SUM('Table1.B.2'!I21,'Table1.B.2'!L21)</f>
        <v>27.607509577353458</v>
      </c>
      <c r="D44" s="3032">
        <f>'Table1.B.2'!J21</f>
        <v>144.5753991208374</v>
      </c>
      <c r="E44" s="3032">
        <f>'Table1.B.2'!K21</f>
        <v>5.4769184249978706E-4</v>
      </c>
      <c r="F44" s="3033">
        <v>1.0142441527773837E-2</v>
      </c>
      <c r="G44" s="3033">
        <v>5.8826160861088245E-2</v>
      </c>
      <c r="H44" s="3033">
        <v>86.083870198281986</v>
      </c>
      <c r="I44" s="3034" t="s">
        <v>2146</v>
      </c>
      <c r="J44" s="3035">
        <f t="shared" si="22"/>
        <v>4075.8638232990634</v>
      </c>
    </row>
    <row r="45" spans="2:10" ht="18" customHeight="1" x14ac:dyDescent="0.2">
      <c r="B45" s="20" t="s">
        <v>105</v>
      </c>
      <c r="C45" s="3032">
        <f>'Table1.B.2'!I35</f>
        <v>5407.7509020406178</v>
      </c>
      <c r="D45" s="3032">
        <f>'Table1.B.2'!J35</f>
        <v>58.595831788934227</v>
      </c>
      <c r="E45" s="3032">
        <f>'Table1.B.2'!K35</f>
        <v>6.8507161030767094E-2</v>
      </c>
      <c r="F45" s="3033">
        <v>2.2791264637939928</v>
      </c>
      <c r="G45" s="3033">
        <v>13.21733349000516</v>
      </c>
      <c r="H45" s="3033">
        <v>22.788264637939932</v>
      </c>
      <c r="I45" s="3034" t="s">
        <v>2146</v>
      </c>
      <c r="J45" s="3035">
        <f t="shared" si="22"/>
        <v>7066.5885898039296</v>
      </c>
    </row>
    <row r="46" spans="2:10" ht="18" customHeight="1" thickBot="1" x14ac:dyDescent="0.25">
      <c r="B46" s="21" t="s">
        <v>2118</v>
      </c>
      <c r="C46" s="3036" t="str">
        <f>'Table1.B.2'!I44</f>
        <v>NA</v>
      </c>
      <c r="D46" s="3036" t="str">
        <f>'Table1.B.2'!J44</f>
        <v>NA</v>
      </c>
      <c r="E46" s="3036" t="str">
        <f>'Table1.B.2'!K44</f>
        <v>NA</v>
      </c>
      <c r="F46" s="3045" t="s">
        <v>2146</v>
      </c>
      <c r="G46" s="3045" t="s">
        <v>2146</v>
      </c>
      <c r="H46" s="3045" t="s">
        <v>2146</v>
      </c>
      <c r="I46" s="3061" t="s">
        <v>2146</v>
      </c>
      <c r="J46" s="3035" t="str">
        <f t="shared" si="22"/>
        <v>NO</v>
      </c>
    </row>
    <row r="47" spans="2:10" ht="18" customHeight="1" x14ac:dyDescent="0.2">
      <c r="B47" s="2465" t="s">
        <v>106</v>
      </c>
      <c r="C47" s="3029" t="str">
        <f>IF(SUM(C48:C50)=0,"NO",SUM(C48:C50))</f>
        <v>NO</v>
      </c>
      <c r="D47" s="3047"/>
      <c r="E47" s="3047"/>
      <c r="F47" s="3047"/>
      <c r="G47" s="3047"/>
      <c r="H47" s="3047"/>
      <c r="I47" s="3048"/>
      <c r="J47" s="3031" t="str">
        <f t="shared" si="22"/>
        <v>NO</v>
      </c>
    </row>
    <row r="48" spans="2:10" ht="18" customHeight="1" x14ac:dyDescent="0.2">
      <c r="B48" s="163" t="s">
        <v>107</v>
      </c>
      <c r="C48" s="3049" t="str">
        <f>Table1.C!E10</f>
        <v>NO</v>
      </c>
      <c r="D48" s="3050"/>
      <c r="E48" s="3050"/>
      <c r="F48" s="3050"/>
      <c r="G48" s="3050"/>
      <c r="H48" s="3050"/>
      <c r="I48" s="3051"/>
      <c r="J48" s="3043" t="str">
        <f t="shared" si="22"/>
        <v>NO</v>
      </c>
    </row>
    <row r="49" spans="2:10" ht="18" customHeight="1" x14ac:dyDescent="0.2">
      <c r="B49" s="163" t="s">
        <v>108</v>
      </c>
      <c r="C49" s="3049" t="str">
        <f>Table1.C!E15</f>
        <v>NO</v>
      </c>
      <c r="D49" s="3050"/>
      <c r="E49" s="3050"/>
      <c r="F49" s="3050"/>
      <c r="G49" s="3050"/>
      <c r="H49" s="3050"/>
      <c r="I49" s="3051"/>
      <c r="J49" s="3043" t="str">
        <f t="shared" si="22"/>
        <v>NO</v>
      </c>
    </row>
    <row r="50" spans="2:10" ht="18" customHeight="1" thickBot="1" x14ac:dyDescent="0.25">
      <c r="B50" s="163" t="s">
        <v>109</v>
      </c>
      <c r="C50" s="3049" t="str">
        <f>Table1.C!E18</f>
        <v>NA</v>
      </c>
      <c r="D50" s="3050"/>
      <c r="E50" s="3050"/>
      <c r="F50" s="3050"/>
      <c r="G50" s="3050"/>
      <c r="H50" s="3050"/>
      <c r="I50" s="3051"/>
      <c r="J50" s="3043" t="str">
        <f t="shared" si="22"/>
        <v>NO</v>
      </c>
    </row>
    <row r="51" spans="2:10" ht="18" customHeight="1" x14ac:dyDescent="0.2">
      <c r="B51" s="2465" t="s">
        <v>2008</v>
      </c>
      <c r="C51" s="3052"/>
      <c r="D51" s="3052"/>
      <c r="E51" s="3052"/>
      <c r="F51" s="3052"/>
      <c r="G51" s="3052"/>
      <c r="H51" s="3052"/>
      <c r="I51" s="3053"/>
      <c r="J51" s="3054"/>
    </row>
    <row r="52" spans="2:10" ht="18" customHeight="1" x14ac:dyDescent="0.2">
      <c r="B52" s="2466" t="s">
        <v>110</v>
      </c>
      <c r="C52" s="3032">
        <f>IF(SUM(C53:C54)=0,"NO",SUM(C53:C54))</f>
        <v>11554.7</v>
      </c>
      <c r="D52" s="3032">
        <f t="shared" ref="D52:I52" si="23">IF(SUM(D53:D54)=0,"NO",SUM(D53:D54))</f>
        <v>0.31886520499999998</v>
      </c>
      <c r="E52" s="3032">
        <f t="shared" si="23"/>
        <v>0.13091541353421052</v>
      </c>
      <c r="F52" s="3032">
        <f t="shared" si="23"/>
        <v>125.56993010815788</v>
      </c>
      <c r="G52" s="3032">
        <f t="shared" si="23"/>
        <v>16.256941727105261</v>
      </c>
      <c r="H52" s="3032">
        <f t="shared" si="23"/>
        <v>8.9892731942368425</v>
      </c>
      <c r="I52" s="3055">
        <f t="shared" si="23"/>
        <v>45.604641997300952</v>
      </c>
      <c r="J52" s="3035">
        <f t="shared" si="22"/>
        <v>11598.320810326566</v>
      </c>
    </row>
    <row r="53" spans="2:10" ht="18" customHeight="1" x14ac:dyDescent="0.2">
      <c r="B53" s="164" t="s">
        <v>111</v>
      </c>
      <c r="C53" s="3032">
        <f>Table1.D!G10</f>
        <v>8393.76</v>
      </c>
      <c r="D53" s="3032">
        <f>Table1.D!H10</f>
        <v>1.5065205000000002E-2</v>
      </c>
      <c r="E53" s="3032">
        <f>Table1.D!I10</f>
        <v>4.4115413534210515E-2</v>
      </c>
      <c r="F53" s="3033">
        <v>42.549930108157888</v>
      </c>
      <c r="G53" s="3033">
        <v>13.276341727105262</v>
      </c>
      <c r="H53" s="3033">
        <v>6.4080731942368425</v>
      </c>
      <c r="I53" s="3034">
        <v>0.98892000000000024</v>
      </c>
      <c r="J53" s="3035">
        <f t="shared" si="22"/>
        <v>8405.8724103265668</v>
      </c>
    </row>
    <row r="54" spans="2:10" ht="18" customHeight="1" x14ac:dyDescent="0.2">
      <c r="B54" s="164" t="s">
        <v>112</v>
      </c>
      <c r="C54" s="3032">
        <f>Table1.D!G14</f>
        <v>3160.9399999999996</v>
      </c>
      <c r="D54" s="3032">
        <f>Table1.D!H14</f>
        <v>0.30379999999999996</v>
      </c>
      <c r="E54" s="3032">
        <f>Table1.D!I14</f>
        <v>8.6800000000000002E-2</v>
      </c>
      <c r="F54" s="3033">
        <v>83.02</v>
      </c>
      <c r="G54" s="3033">
        <v>2.9805999999999999</v>
      </c>
      <c r="H54" s="3033">
        <v>2.5811999999999999</v>
      </c>
      <c r="I54" s="3034">
        <v>44.615721997300952</v>
      </c>
      <c r="J54" s="3035">
        <f t="shared" si="22"/>
        <v>3192.4483999999998</v>
      </c>
    </row>
    <row r="55" spans="2:10" ht="18" customHeight="1" x14ac:dyDescent="0.2">
      <c r="B55" s="2466" t="s">
        <v>113</v>
      </c>
      <c r="C55" s="3032" t="str">
        <f>Table1.D!G24</f>
        <v>NE</v>
      </c>
      <c r="D55" s="3032" t="str">
        <f>Table1.D!H24</f>
        <v>NE</v>
      </c>
      <c r="E55" s="3032" t="str">
        <f>Table1.D!I24</f>
        <v>NE</v>
      </c>
      <c r="F55" s="3033" t="s">
        <v>2154</v>
      </c>
      <c r="G55" s="3033" t="s">
        <v>2154</v>
      </c>
      <c r="H55" s="3033" t="s">
        <v>2154</v>
      </c>
      <c r="I55" s="3034" t="s">
        <v>2154</v>
      </c>
      <c r="J55" s="3035" t="str">
        <f t="shared" si="22"/>
        <v>NO</v>
      </c>
    </row>
    <row r="56" spans="2:10" ht="18" customHeight="1" x14ac:dyDescent="0.2">
      <c r="B56" s="2467" t="s">
        <v>114</v>
      </c>
      <c r="C56" s="3036">
        <f>'Table1.A(a)s1'!H16</f>
        <v>19106.106086929161</v>
      </c>
      <c r="D56" s="3056"/>
      <c r="E56" s="3056"/>
      <c r="F56" s="3056"/>
      <c r="G56" s="3056"/>
      <c r="H56" s="3056"/>
      <c r="I56" s="2971"/>
      <c r="J56" s="3039">
        <f t="shared" si="22"/>
        <v>19106.106086929161</v>
      </c>
    </row>
    <row r="57" spans="2:10" ht="18" customHeight="1" x14ac:dyDescent="0.2">
      <c r="B57" s="97" t="s">
        <v>115</v>
      </c>
      <c r="C57" s="3032" t="str">
        <f>IF(SUM(C58:C59)=0,"NO",SUM(C58:C59))</f>
        <v>NO</v>
      </c>
      <c r="D57" s="3057"/>
      <c r="E57" s="3057"/>
      <c r="F57" s="3057"/>
      <c r="G57" s="3057"/>
      <c r="H57" s="3057"/>
      <c r="I57" s="2931"/>
      <c r="J57" s="3035" t="str">
        <f t="shared" si="22"/>
        <v>NO</v>
      </c>
    </row>
    <row r="58" spans="2:10" ht="18" customHeight="1" x14ac:dyDescent="0.2">
      <c r="B58" s="2468" t="s">
        <v>116</v>
      </c>
      <c r="C58" s="3045" t="str">
        <f>Table1.C!E21</f>
        <v>NO</v>
      </c>
      <c r="D58" s="3057"/>
      <c r="E58" s="3057"/>
      <c r="F58" s="3057"/>
      <c r="G58" s="3057"/>
      <c r="H58" s="3057"/>
      <c r="I58" s="2931"/>
      <c r="J58" s="3035" t="str">
        <f t="shared" si="22"/>
        <v>NO</v>
      </c>
    </row>
    <row r="59" spans="2:10" ht="18" customHeight="1" thickBot="1" x14ac:dyDescent="0.25">
      <c r="B59" s="2469" t="s">
        <v>117</v>
      </c>
      <c r="C59" s="3058" t="s">
        <v>2146</v>
      </c>
      <c r="D59" s="3059"/>
      <c r="E59" s="3059"/>
      <c r="F59" s="3059"/>
      <c r="G59" s="3059"/>
      <c r="H59" s="3059"/>
      <c r="I59" s="2939"/>
      <c r="J59" s="3042" t="str">
        <f t="shared" si="22"/>
        <v>NO</v>
      </c>
    </row>
    <row r="60" spans="2:10" ht="12" customHeight="1" x14ac:dyDescent="0.2">
      <c r="D60" s="8"/>
      <c r="E60" s="8"/>
      <c r="F60" s="8"/>
      <c r="G60" s="8"/>
      <c r="H60" s="8"/>
      <c r="I60" s="8"/>
    </row>
    <row r="61" spans="2:10" ht="12" customHeight="1" x14ac:dyDescent="0.2">
      <c r="B61" s="1020"/>
      <c r="C61" s="1020"/>
      <c r="D61" s="1020"/>
      <c r="E61" s="1020"/>
      <c r="F61" s="1020"/>
      <c r="G61" s="1020"/>
      <c r="H61" s="1020"/>
      <c r="I61" s="1020"/>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4" t="s">
        <v>118</v>
      </c>
      <c r="C71" s="1015"/>
      <c r="D71" s="1015"/>
      <c r="E71" s="1015"/>
      <c r="F71" s="1015"/>
      <c r="G71" s="1015"/>
      <c r="H71" s="1015"/>
      <c r="I71" s="1015"/>
      <c r="J71" s="1016"/>
    </row>
    <row r="72" spans="2:10" ht="12" customHeight="1" x14ac:dyDescent="0.2">
      <c r="B72" s="1234"/>
      <c r="C72" s="1235"/>
      <c r="D72" s="1235"/>
      <c r="E72" s="1235"/>
      <c r="F72" s="1235"/>
      <c r="G72" s="1235"/>
      <c r="H72" s="1235"/>
      <c r="I72" s="1235"/>
      <c r="J72" s="1236"/>
    </row>
    <row r="73" spans="2:10" ht="12" customHeight="1" x14ac:dyDescent="0.2">
      <c r="B73" s="1234"/>
      <c r="C73" s="1235"/>
      <c r="D73" s="1235"/>
      <c r="E73" s="1235"/>
      <c r="F73" s="1235"/>
      <c r="G73" s="1235"/>
      <c r="H73" s="1235"/>
      <c r="I73" s="1235"/>
      <c r="J73" s="1236"/>
    </row>
    <row r="74" spans="2:10" ht="12" customHeight="1" x14ac:dyDescent="0.2">
      <c r="B74" s="1234"/>
      <c r="C74" s="1235"/>
      <c r="D74" s="1235"/>
      <c r="E74" s="1235"/>
      <c r="F74" s="1235"/>
      <c r="G74" s="1235"/>
      <c r="H74" s="1235"/>
      <c r="I74" s="1235"/>
      <c r="J74" s="1236"/>
    </row>
    <row r="75" spans="2:10" ht="12" customHeight="1" x14ac:dyDescent="0.2">
      <c r="B75" s="1234"/>
      <c r="C75" s="1235"/>
      <c r="D75" s="1235"/>
      <c r="E75" s="1235"/>
      <c r="F75" s="1235"/>
      <c r="G75" s="1235"/>
      <c r="H75" s="1235"/>
      <c r="I75" s="1235"/>
      <c r="J75" s="1236"/>
    </row>
    <row r="76" spans="2:10" ht="12" customHeight="1" x14ac:dyDescent="0.2">
      <c r="B76" s="1017"/>
      <c r="C76" s="1018"/>
      <c r="D76" s="1018"/>
      <c r="E76" s="1018"/>
      <c r="F76" s="1018"/>
      <c r="G76" s="1018"/>
      <c r="H76" s="1018"/>
      <c r="I76" s="1018"/>
      <c r="J76" s="1019"/>
    </row>
    <row r="77" spans="2:10" ht="12" customHeight="1" thickBot="1" x14ac:dyDescent="0.25">
      <c r="B77" s="4468" t="s">
        <v>2179</v>
      </c>
      <c r="C77" s="4469"/>
      <c r="D77" s="4469"/>
      <c r="E77" s="4469"/>
      <c r="F77" s="4469"/>
      <c r="G77" s="4469"/>
      <c r="H77" s="4469"/>
      <c r="I77" s="4469"/>
      <c r="J77" s="4470"/>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1:I70 C76:J76 J10:J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63" t="s">
        <v>998</v>
      </c>
      <c r="C1" s="2264"/>
      <c r="D1" s="2264"/>
      <c r="E1" s="2265"/>
      <c r="F1" s="2265"/>
      <c r="G1" s="2265"/>
      <c r="H1" s="2266"/>
      <c r="I1" s="2266"/>
      <c r="J1" s="2266"/>
      <c r="K1" s="2266"/>
      <c r="L1" s="2266"/>
      <c r="M1" s="14" t="s">
        <v>2521</v>
      </c>
    </row>
    <row r="2" spans="2:13" ht="15.95" customHeight="1" x14ac:dyDescent="0.25">
      <c r="B2" s="2268" t="s">
        <v>1957</v>
      </c>
      <c r="C2" s="2268"/>
      <c r="D2" s="2268"/>
      <c r="E2" s="2268"/>
      <c r="F2" s="2268"/>
      <c r="G2" s="2268"/>
      <c r="H2" s="2268"/>
      <c r="I2" s="2266"/>
      <c r="J2" s="2266"/>
      <c r="K2" s="2266"/>
      <c r="L2" s="2266"/>
      <c r="M2" s="14" t="s">
        <v>2522</v>
      </c>
    </row>
    <row r="3" spans="2:13" ht="12" customHeight="1" x14ac:dyDescent="0.25">
      <c r="B3" s="2266"/>
      <c r="C3" s="2266"/>
      <c r="D3" s="2266"/>
      <c r="E3" s="2266"/>
      <c r="F3" s="2266"/>
      <c r="G3" s="2266"/>
      <c r="H3" s="2266"/>
      <c r="I3" s="2266"/>
      <c r="J3" s="2266"/>
      <c r="K3" s="2266"/>
      <c r="L3" s="2266"/>
      <c r="M3" s="14" t="s">
        <v>2144</v>
      </c>
    </row>
    <row r="4" spans="2:13" ht="12" hidden="1" customHeight="1" x14ac:dyDescent="0.25">
      <c r="B4" s="2266"/>
      <c r="C4" s="2266"/>
      <c r="D4" s="2266"/>
      <c r="E4" s="2266"/>
      <c r="F4" s="2266"/>
      <c r="G4" s="2266"/>
      <c r="H4" s="2266"/>
      <c r="I4" s="2266"/>
      <c r="J4" s="2266"/>
      <c r="K4" s="2266"/>
      <c r="L4" s="2266"/>
      <c r="M4" s="2267"/>
    </row>
    <row r="5" spans="2:13" ht="12" hidden="1" customHeight="1" x14ac:dyDescent="0.25">
      <c r="B5" s="2266"/>
      <c r="C5" s="2266"/>
      <c r="D5" s="2266"/>
      <c r="E5" s="2266"/>
      <c r="F5" s="2266"/>
      <c r="G5" s="2266"/>
      <c r="H5" s="2266"/>
      <c r="I5" s="2266"/>
      <c r="J5" s="2266"/>
      <c r="K5" s="2266"/>
      <c r="L5" s="2266"/>
      <c r="M5" s="2267"/>
    </row>
    <row r="6" spans="2:13" ht="12" hidden="1" customHeight="1" x14ac:dyDescent="0.25">
      <c r="B6" s="2266"/>
      <c r="C6" s="2266"/>
      <c r="D6" s="2266"/>
      <c r="E6" s="2266"/>
      <c r="F6" s="2266"/>
      <c r="G6" s="2266"/>
      <c r="H6" s="2266"/>
      <c r="I6" s="2266"/>
      <c r="J6" s="2266"/>
      <c r="K6" s="2266"/>
      <c r="L6" s="2266"/>
      <c r="M6" s="2267"/>
    </row>
    <row r="7" spans="2:13" ht="12" customHeight="1" thickBot="1" x14ac:dyDescent="0.25">
      <c r="B7" s="2453" t="s">
        <v>64</v>
      </c>
      <c r="C7" s="2269"/>
      <c r="D7" s="2269"/>
      <c r="E7" s="2269"/>
      <c r="F7" s="2269"/>
      <c r="G7" s="2269"/>
      <c r="H7" s="2269"/>
      <c r="I7" s="2269"/>
      <c r="J7" s="2269"/>
      <c r="K7" s="2269"/>
      <c r="L7" s="2269"/>
      <c r="M7" s="2269"/>
    </row>
    <row r="8" spans="2:13" ht="69" customHeight="1" x14ac:dyDescent="0.2">
      <c r="B8" s="2270" t="s">
        <v>999</v>
      </c>
      <c r="C8" s="2271" t="s">
        <v>1000</v>
      </c>
      <c r="D8" s="2271" t="s">
        <v>1001</v>
      </c>
      <c r="E8" s="2271" t="s">
        <v>1002</v>
      </c>
      <c r="F8" s="2271" t="s">
        <v>1003</v>
      </c>
      <c r="G8" s="2271" t="s">
        <v>1004</v>
      </c>
      <c r="H8" s="2271" t="s">
        <v>1005</v>
      </c>
      <c r="I8" s="2271" t="s">
        <v>1006</v>
      </c>
      <c r="J8" s="2271" t="s">
        <v>1007</v>
      </c>
      <c r="K8" s="2271" t="s">
        <v>1008</v>
      </c>
      <c r="L8" s="2271" t="s">
        <v>1009</v>
      </c>
      <c r="M8" s="2272" t="s">
        <v>1010</v>
      </c>
    </row>
    <row r="9" spans="2:13" x14ac:dyDescent="0.2">
      <c r="B9" s="2273" t="s">
        <v>1011</v>
      </c>
      <c r="C9" s="2274" t="s">
        <v>1012</v>
      </c>
      <c r="D9" s="2274"/>
      <c r="E9" s="2274"/>
      <c r="F9" s="2274"/>
      <c r="G9" s="2274"/>
      <c r="H9" s="2274"/>
      <c r="I9" s="2274"/>
      <c r="J9" s="2274"/>
      <c r="K9" s="2274"/>
      <c r="L9" s="2275"/>
      <c r="M9" s="2276"/>
    </row>
    <row r="10" spans="2:13" ht="18" customHeight="1" x14ac:dyDescent="0.2">
      <c r="B10" s="2277" t="s">
        <v>1958</v>
      </c>
      <c r="C10" s="3549">
        <v>130736.393882406</v>
      </c>
      <c r="D10" s="3549" t="s">
        <v>2146</v>
      </c>
      <c r="E10" s="3549">
        <v>26.572640619000001</v>
      </c>
      <c r="F10" s="3549">
        <v>748.72669935700003</v>
      </c>
      <c r="G10" s="3549" t="s">
        <v>2146</v>
      </c>
      <c r="H10" s="3549">
        <v>0.479654786</v>
      </c>
      <c r="I10" s="3549" t="s">
        <v>2146</v>
      </c>
      <c r="J10" s="3549">
        <v>35.295362087999997</v>
      </c>
      <c r="K10" s="3549" t="s">
        <v>2146</v>
      </c>
      <c r="L10" s="3549" t="s">
        <v>2146</v>
      </c>
      <c r="M10" s="3550">
        <f>IF(SUM(C10:L10)=0,"NO",SUM(C10:L10))</f>
        <v>131547.46823925601</v>
      </c>
    </row>
    <row r="11" spans="2:13" ht="18" customHeight="1" x14ac:dyDescent="0.2">
      <c r="B11" s="2277" t="s">
        <v>1959</v>
      </c>
      <c r="C11" s="3549" t="s">
        <v>2146</v>
      </c>
      <c r="D11" s="3549" t="s">
        <v>2146</v>
      </c>
      <c r="E11" s="3549" t="s">
        <v>2146</v>
      </c>
      <c r="F11" s="3549" t="s">
        <v>2146</v>
      </c>
      <c r="G11" s="3549" t="s">
        <v>2146</v>
      </c>
      <c r="H11" s="3549" t="s">
        <v>2146</v>
      </c>
      <c r="I11" s="3549" t="s">
        <v>2146</v>
      </c>
      <c r="J11" s="3549" t="s">
        <v>2146</v>
      </c>
      <c r="K11" s="3549" t="s">
        <v>2146</v>
      </c>
      <c r="L11" s="3549" t="s">
        <v>2146</v>
      </c>
      <c r="M11" s="3550" t="str">
        <f t="shared" ref="M11:M20" si="0">IF(SUM(C11:L11)=0,"NO",SUM(C11:L11))</f>
        <v>NO</v>
      </c>
    </row>
    <row r="12" spans="2:13" ht="18" customHeight="1" x14ac:dyDescent="0.2">
      <c r="B12" s="2277" t="s">
        <v>1960</v>
      </c>
      <c r="C12" s="3549">
        <v>13.040913389</v>
      </c>
      <c r="D12" s="3549" t="s">
        <v>2146</v>
      </c>
      <c r="E12" s="3549">
        <v>39920.801532775004</v>
      </c>
      <c r="F12" s="3549" t="s">
        <v>2153</v>
      </c>
      <c r="G12" s="3549" t="s">
        <v>2146</v>
      </c>
      <c r="H12" s="3549" t="s">
        <v>2153</v>
      </c>
      <c r="I12" s="3549" t="s">
        <v>2146</v>
      </c>
      <c r="J12" s="3549" t="s">
        <v>2153</v>
      </c>
      <c r="K12" s="3549" t="s">
        <v>2146</v>
      </c>
      <c r="L12" s="3549" t="s">
        <v>2146</v>
      </c>
      <c r="M12" s="3550">
        <f t="shared" si="0"/>
        <v>39933.842446164002</v>
      </c>
    </row>
    <row r="13" spans="2:13" ht="18" customHeight="1" x14ac:dyDescent="0.2">
      <c r="B13" s="2277" t="s">
        <v>1961</v>
      </c>
      <c r="C13" s="3549">
        <v>522.47138666199999</v>
      </c>
      <c r="D13" s="3549" t="s">
        <v>2146</v>
      </c>
      <c r="E13" s="3549" t="s">
        <v>2153</v>
      </c>
      <c r="F13" s="3549">
        <v>521462.345821483</v>
      </c>
      <c r="G13" s="3549" t="s">
        <v>2146</v>
      </c>
      <c r="H13" s="3549" t="s">
        <v>2153</v>
      </c>
      <c r="I13" s="3549" t="s">
        <v>2146</v>
      </c>
      <c r="J13" s="3549" t="s">
        <v>2153</v>
      </c>
      <c r="K13" s="3549" t="s">
        <v>2146</v>
      </c>
      <c r="L13" s="3549" t="s">
        <v>2146</v>
      </c>
      <c r="M13" s="3550">
        <f t="shared" si="0"/>
        <v>521984.81720814499</v>
      </c>
    </row>
    <row r="14" spans="2:13" ht="18" customHeight="1" x14ac:dyDescent="0.2">
      <c r="B14" s="2277" t="s">
        <v>1962</v>
      </c>
      <c r="C14" s="3549" t="s">
        <v>2146</v>
      </c>
      <c r="D14" s="3549" t="s">
        <v>2146</v>
      </c>
      <c r="E14" s="3549" t="s">
        <v>2146</v>
      </c>
      <c r="F14" s="3549" t="s">
        <v>2146</v>
      </c>
      <c r="G14" s="3549" t="s">
        <v>2146</v>
      </c>
      <c r="H14" s="3549" t="s">
        <v>2146</v>
      </c>
      <c r="I14" s="3549" t="s">
        <v>2146</v>
      </c>
      <c r="J14" s="3549" t="s">
        <v>2146</v>
      </c>
      <c r="K14" s="3549" t="s">
        <v>2146</v>
      </c>
      <c r="L14" s="3549" t="s">
        <v>2146</v>
      </c>
      <c r="M14" s="3550" t="str">
        <f t="shared" si="0"/>
        <v>NO</v>
      </c>
    </row>
    <row r="15" spans="2:13" ht="18" customHeight="1" x14ac:dyDescent="0.2">
      <c r="B15" s="2277" t="s">
        <v>1963</v>
      </c>
      <c r="C15" s="3549">
        <v>7.6478383030000003</v>
      </c>
      <c r="D15" s="3549" t="s">
        <v>2146</v>
      </c>
      <c r="E15" s="3549">
        <v>0.63304705100000003</v>
      </c>
      <c r="F15" s="3549">
        <v>2.443871627</v>
      </c>
      <c r="G15" s="3549" t="s">
        <v>2146</v>
      </c>
      <c r="H15" s="3549">
        <v>13253.58645096</v>
      </c>
      <c r="I15" s="3549" t="s">
        <v>2146</v>
      </c>
      <c r="J15" s="3549" t="s">
        <v>2146</v>
      </c>
      <c r="K15" s="3549" t="s">
        <v>2146</v>
      </c>
      <c r="L15" s="3549" t="s">
        <v>2146</v>
      </c>
      <c r="M15" s="3550">
        <f t="shared" si="0"/>
        <v>13264.311207941</v>
      </c>
    </row>
    <row r="16" spans="2:13" ht="18" customHeight="1" x14ac:dyDescent="0.2">
      <c r="B16" s="2277" t="s">
        <v>1964</v>
      </c>
      <c r="C16" s="3549" t="s">
        <v>2146</v>
      </c>
      <c r="D16" s="3549" t="s">
        <v>2146</v>
      </c>
      <c r="E16" s="3549" t="s">
        <v>2146</v>
      </c>
      <c r="F16" s="3549" t="s">
        <v>2146</v>
      </c>
      <c r="G16" s="3549" t="s">
        <v>2146</v>
      </c>
      <c r="H16" s="3549" t="s">
        <v>2146</v>
      </c>
      <c r="I16" s="3549" t="s">
        <v>2146</v>
      </c>
      <c r="J16" s="3549" t="s">
        <v>2146</v>
      </c>
      <c r="K16" s="3549" t="s">
        <v>2146</v>
      </c>
      <c r="L16" s="3549" t="s">
        <v>2146</v>
      </c>
      <c r="M16" s="3550" t="str">
        <f t="shared" si="0"/>
        <v>NO</v>
      </c>
    </row>
    <row r="17" spans="2:13" ht="18" customHeight="1" x14ac:dyDescent="0.2">
      <c r="B17" s="2277" t="s">
        <v>1965</v>
      </c>
      <c r="C17" s="3549">
        <v>9.0482374510000003</v>
      </c>
      <c r="D17" s="3549" t="s">
        <v>2146</v>
      </c>
      <c r="E17" s="3549" t="s">
        <v>2146</v>
      </c>
      <c r="F17" s="3549" t="s">
        <v>2146</v>
      </c>
      <c r="G17" s="3549" t="s">
        <v>2146</v>
      </c>
      <c r="H17" s="3549" t="s">
        <v>2146</v>
      </c>
      <c r="I17" s="3549" t="s">
        <v>2146</v>
      </c>
      <c r="J17" s="3549">
        <v>1396.8838152230001</v>
      </c>
      <c r="K17" s="3549" t="s">
        <v>2146</v>
      </c>
      <c r="L17" s="3549" t="s">
        <v>2146</v>
      </c>
      <c r="M17" s="3550">
        <f t="shared" si="0"/>
        <v>1405.932052674</v>
      </c>
    </row>
    <row r="18" spans="2:13" ht="18" customHeight="1" x14ac:dyDescent="0.2">
      <c r="B18" s="2277" t="s">
        <v>1966</v>
      </c>
      <c r="C18" s="3549" t="s">
        <v>2146</v>
      </c>
      <c r="D18" s="3549" t="s">
        <v>2146</v>
      </c>
      <c r="E18" s="3549" t="s">
        <v>2146</v>
      </c>
      <c r="F18" s="3549" t="s">
        <v>2146</v>
      </c>
      <c r="G18" s="3549" t="s">
        <v>2146</v>
      </c>
      <c r="H18" s="3549" t="s">
        <v>2146</v>
      </c>
      <c r="I18" s="3549" t="s">
        <v>2146</v>
      </c>
      <c r="J18" s="3549" t="s">
        <v>2146</v>
      </c>
      <c r="K18" s="3549">
        <v>60692.328845821001</v>
      </c>
      <c r="L18" s="3549" t="s">
        <v>2146</v>
      </c>
      <c r="M18" s="3550">
        <f t="shared" si="0"/>
        <v>60692.328845821001</v>
      </c>
    </row>
    <row r="19" spans="2:13" ht="18" customHeight="1" x14ac:dyDescent="0.2">
      <c r="B19" s="2277" t="s">
        <v>1967</v>
      </c>
      <c r="C19" s="3549" t="s">
        <v>2146</v>
      </c>
      <c r="D19" s="3549" t="s">
        <v>2146</v>
      </c>
      <c r="E19" s="3549" t="s">
        <v>2146</v>
      </c>
      <c r="F19" s="3549" t="s">
        <v>2146</v>
      </c>
      <c r="G19" s="3549" t="s">
        <v>2146</v>
      </c>
      <c r="H19" s="3549" t="s">
        <v>2146</v>
      </c>
      <c r="I19" s="3549" t="s">
        <v>2146</v>
      </c>
      <c r="J19" s="3549" t="s">
        <v>2146</v>
      </c>
      <c r="K19" s="3549" t="s">
        <v>2146</v>
      </c>
      <c r="L19" s="3549" t="s">
        <v>2146</v>
      </c>
      <c r="M19" s="3550" t="str">
        <f t="shared" si="0"/>
        <v>NO</v>
      </c>
    </row>
    <row r="20" spans="2:13" ht="18" customHeight="1" x14ac:dyDescent="0.2">
      <c r="B20" s="2278" t="s">
        <v>1013</v>
      </c>
      <c r="C20" s="3551">
        <f>IF(SUM(C10:C19)=0,"NO",SUM(C10:C19))</f>
        <v>131288.602258211</v>
      </c>
      <c r="D20" s="3551" t="str">
        <f t="shared" ref="D20:L20" si="1">IF(SUM(D10:D19)=0,"NO",SUM(D10:D19))</f>
        <v>NO</v>
      </c>
      <c r="E20" s="3551">
        <f t="shared" si="1"/>
        <v>39948.007220445004</v>
      </c>
      <c r="F20" s="3551">
        <f t="shared" si="1"/>
        <v>522213.51639246696</v>
      </c>
      <c r="G20" s="3551" t="str">
        <f t="shared" si="1"/>
        <v>NO</v>
      </c>
      <c r="H20" s="3551">
        <f t="shared" si="1"/>
        <v>13254.066105746</v>
      </c>
      <c r="I20" s="3551" t="str">
        <f t="shared" si="1"/>
        <v>NO</v>
      </c>
      <c r="J20" s="3551">
        <f t="shared" si="1"/>
        <v>1432.1791773110001</v>
      </c>
      <c r="K20" s="3551">
        <f t="shared" si="1"/>
        <v>60692.328845821001</v>
      </c>
      <c r="L20" s="3551" t="str">
        <f t="shared" si="1"/>
        <v>NO</v>
      </c>
      <c r="M20" s="3550">
        <f t="shared" si="0"/>
        <v>768828.70000000088</v>
      </c>
    </row>
    <row r="21" spans="2:13" ht="18" customHeight="1" thickBot="1" x14ac:dyDescent="0.25">
      <c r="B21" s="2279" t="s">
        <v>1968</v>
      </c>
      <c r="C21" s="3552">
        <f>IF(SUM(C20)=0,"NO",C20-M10)</f>
        <v>-258.86598104500445</v>
      </c>
      <c r="D21" s="3552" t="str">
        <f>IF(SUM(D20)=0,"NO",D20-M11)</f>
        <v>NO</v>
      </c>
      <c r="E21" s="3552">
        <f>IF(SUM(E20)=0,"NO",E20-M12)</f>
        <v>14.164774281001883</v>
      </c>
      <c r="F21" s="3552">
        <f>IF(SUM(F20)=0,"NO",F20-M13)</f>
        <v>228.69918432197301</v>
      </c>
      <c r="G21" s="3552" t="str">
        <f>IF(SUM(G20)=0,"NO",G20-M14)</f>
        <v>NO</v>
      </c>
      <c r="H21" s="3552">
        <f>IF(SUM(H20)=0,"NO",H20-M15)</f>
        <v>-10.245102195000072</v>
      </c>
      <c r="I21" s="3552" t="str">
        <f>IF(SUM(I20)=0,"NO",I20-M16)</f>
        <v>NO</v>
      </c>
      <c r="J21" s="3552">
        <f>IF(SUM(J20)=0,"NO",J20-M17)</f>
        <v>26.24712463700007</v>
      </c>
      <c r="K21" s="3552">
        <f>IF(SUM(K20)=0,"NO",K20-M18)</f>
        <v>0</v>
      </c>
      <c r="L21" s="3552" t="str">
        <f>IF(SUM(L20)=0,"NO",L20-M19)</f>
        <v>NO</v>
      </c>
      <c r="M21" s="3553">
        <f>SUM(C20:L20)-SUM(M10:M19)</f>
        <v>0</v>
      </c>
    </row>
    <row r="22" spans="2:13" ht="15.75" x14ac:dyDescent="0.2">
      <c r="B22" s="2280"/>
      <c r="C22" s="2281"/>
      <c r="D22" s="2281"/>
      <c r="E22" s="2281"/>
      <c r="F22" s="2281"/>
      <c r="G22" s="2281"/>
      <c r="H22" s="2281"/>
      <c r="I22" s="2281"/>
      <c r="J22" s="2281"/>
      <c r="K22" s="2281"/>
      <c r="L22" s="2281"/>
      <c r="M22" s="2281"/>
    </row>
    <row r="23" spans="2:13" ht="15.75" x14ac:dyDescent="0.2">
      <c r="B23" s="2280"/>
      <c r="C23" s="2281"/>
      <c r="D23" s="2281"/>
      <c r="E23" s="2281"/>
      <c r="F23" s="2281"/>
      <c r="G23" s="2281"/>
      <c r="H23" s="2281"/>
      <c r="I23" s="2281"/>
      <c r="J23" s="2281"/>
      <c r="K23" s="2281"/>
      <c r="L23" s="2281"/>
      <c r="M23" s="2281"/>
    </row>
    <row r="24" spans="2:13" ht="15.75" x14ac:dyDescent="0.2">
      <c r="B24" s="2282"/>
      <c r="C24" s="2283"/>
      <c r="D24" s="2283"/>
      <c r="E24" s="2283"/>
      <c r="F24" s="2283"/>
      <c r="G24" s="2283"/>
      <c r="H24" s="2283"/>
      <c r="I24" s="2283"/>
      <c r="J24" s="2283"/>
      <c r="K24" s="2283"/>
      <c r="L24" s="2283"/>
      <c r="M24" s="2283"/>
    </row>
    <row r="25" spans="2:13" ht="15.75" x14ac:dyDescent="0.2">
      <c r="B25" s="2280"/>
      <c r="C25" s="2281"/>
      <c r="D25" s="2281"/>
      <c r="E25" s="2281"/>
      <c r="F25" s="2281"/>
      <c r="G25" s="2281"/>
      <c r="H25" s="2281"/>
      <c r="I25" s="2281"/>
      <c r="J25" s="2281"/>
      <c r="K25" s="2281"/>
      <c r="L25" s="2281"/>
      <c r="M25" s="2281"/>
    </row>
    <row r="26" spans="2:13" x14ac:dyDescent="0.2">
      <c r="B26" s="2284"/>
      <c r="C26" s="2284"/>
      <c r="D26" s="2284"/>
      <c r="E26" s="2284"/>
      <c r="F26" s="2284"/>
      <c r="G26" s="2284"/>
      <c r="H26" s="2284"/>
      <c r="I26" s="2284"/>
      <c r="J26" s="2284"/>
      <c r="K26" s="2284"/>
      <c r="L26" s="2284"/>
      <c r="M26" s="2284"/>
    </row>
    <row r="27" spans="2:13" x14ac:dyDescent="0.2">
      <c r="B27" s="2284"/>
      <c r="C27" s="2284"/>
      <c r="D27" s="2284"/>
      <c r="E27" s="2284"/>
      <c r="F27" s="2284"/>
      <c r="G27" s="2284"/>
      <c r="H27" s="2284"/>
      <c r="I27" s="2284"/>
      <c r="J27" s="2284"/>
      <c r="K27" s="2284"/>
      <c r="L27" s="2284"/>
      <c r="M27" s="2284"/>
    </row>
    <row r="28" spans="2:13" x14ac:dyDescent="0.2">
      <c r="B28" s="2284"/>
      <c r="C28" s="2284"/>
      <c r="D28" s="2284"/>
      <c r="E28" s="2284"/>
      <c r="F28" s="2284"/>
      <c r="G28" s="2284"/>
      <c r="H28" s="2284"/>
      <c r="I28" s="2284"/>
      <c r="J28" s="2284"/>
      <c r="K28" s="2284"/>
      <c r="L28" s="2284"/>
      <c r="M28" s="2284"/>
    </row>
    <row r="29" spans="2:13" x14ac:dyDescent="0.2">
      <c r="B29" s="2284"/>
      <c r="C29" s="2284"/>
      <c r="D29" s="2284"/>
      <c r="E29" s="2284"/>
      <c r="F29" s="2284"/>
      <c r="G29" s="2284"/>
      <c r="H29" s="2284"/>
      <c r="I29" s="2284"/>
      <c r="J29" s="2284"/>
      <c r="K29" s="2284"/>
      <c r="L29" s="2284"/>
      <c r="M29" s="2284"/>
    </row>
    <row r="30" spans="2:13" x14ac:dyDescent="0.2">
      <c r="B30" s="2284"/>
      <c r="C30" s="2284"/>
      <c r="D30" s="2284"/>
      <c r="E30" s="2284"/>
      <c r="F30" s="2284"/>
      <c r="G30" s="2284"/>
      <c r="H30" s="2284"/>
      <c r="I30" s="2284"/>
      <c r="J30" s="2284"/>
      <c r="K30" s="2284"/>
      <c r="L30" s="2284"/>
      <c r="M30" s="2284"/>
    </row>
    <row r="31" spans="2:13" x14ac:dyDescent="0.2">
      <c r="B31" s="2284"/>
      <c r="C31" s="2284"/>
      <c r="D31" s="2284"/>
      <c r="E31" s="2284"/>
      <c r="F31" s="2284"/>
      <c r="G31" s="2284"/>
      <c r="H31" s="2284"/>
      <c r="I31" s="2284"/>
      <c r="J31" s="2284"/>
      <c r="K31" s="2284"/>
      <c r="L31" s="2284"/>
      <c r="M31" s="2284"/>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7.85546875" style="83" customWidth="1"/>
    <col min="3" max="3" width="32" style="83" bestFit="1" customWidth="1"/>
    <col min="4" max="6" width="10.140625"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1014</v>
      </c>
      <c r="U1" s="14" t="s">
        <v>2521</v>
      </c>
    </row>
    <row r="2" spans="2:23" ht="15.75" x14ac:dyDescent="0.25">
      <c r="B2" s="13" t="s">
        <v>1015</v>
      </c>
      <c r="S2" s="83" t="s">
        <v>389</v>
      </c>
      <c r="U2" s="14" t="s">
        <v>2522</v>
      </c>
    </row>
    <row r="3" spans="2:23" ht="15.75" x14ac:dyDescent="0.25">
      <c r="B3" s="13" t="s">
        <v>62</v>
      </c>
      <c r="U3" s="14" t="s">
        <v>2144</v>
      </c>
    </row>
    <row r="4" spans="2:23" ht="12" customHeight="1" x14ac:dyDescent="0.25">
      <c r="B4" s="13"/>
      <c r="U4" s="226"/>
    </row>
    <row r="5" spans="2:23" ht="24.75" thickBot="1" x14ac:dyDescent="0.25">
      <c r="B5" s="2446" t="s">
        <v>64</v>
      </c>
      <c r="U5" s="477"/>
      <c r="W5" s="2569" t="s">
        <v>1049</v>
      </c>
    </row>
    <row r="6" spans="2:23" ht="13.5" x14ac:dyDescent="0.2">
      <c r="B6" s="824" t="s">
        <v>65</v>
      </c>
      <c r="C6" s="825"/>
      <c r="D6" s="826" t="s">
        <v>419</v>
      </c>
      <c r="E6" s="847"/>
      <c r="F6" s="848"/>
      <c r="G6" s="824" t="s">
        <v>1016</v>
      </c>
      <c r="H6" s="826"/>
      <c r="I6" s="826"/>
      <c r="J6" s="826"/>
      <c r="K6" s="826"/>
      <c r="L6" s="826"/>
      <c r="M6" s="825"/>
      <c r="N6" s="824" t="s">
        <v>1017</v>
      </c>
      <c r="O6" s="826"/>
      <c r="P6" s="826"/>
      <c r="Q6" s="826"/>
      <c r="R6" s="826"/>
      <c r="S6" s="826"/>
      <c r="T6" s="826"/>
      <c r="U6" s="458"/>
      <c r="W6" s="2568" t="s">
        <v>2138</v>
      </c>
    </row>
    <row r="7" spans="2:23" ht="48" x14ac:dyDescent="0.2">
      <c r="B7" s="2573" t="s">
        <v>1018</v>
      </c>
      <c r="C7" s="843" t="s">
        <v>1019</v>
      </c>
      <c r="D7" s="2679" t="s">
        <v>1020</v>
      </c>
      <c r="E7" s="793" t="s">
        <v>1021</v>
      </c>
      <c r="F7" s="800" t="s">
        <v>1022</v>
      </c>
      <c r="G7" s="834" t="s">
        <v>1969</v>
      </c>
      <c r="H7" s="835"/>
      <c r="I7" s="836"/>
      <c r="J7" s="793" t="s">
        <v>1023</v>
      </c>
      <c r="K7" s="793" t="s">
        <v>1024</v>
      </c>
      <c r="L7" s="837" t="s">
        <v>1025</v>
      </c>
      <c r="M7" s="838"/>
      <c r="N7" s="2678" t="s">
        <v>1970</v>
      </c>
      <c r="O7" s="2678"/>
      <c r="P7" s="2678"/>
      <c r="Q7" s="794" t="s">
        <v>1026</v>
      </c>
      <c r="R7" s="794" t="s">
        <v>1027</v>
      </c>
      <c r="S7" s="842" t="s">
        <v>1971</v>
      </c>
      <c r="T7" s="2678"/>
      <c r="U7" s="461" t="s">
        <v>2089</v>
      </c>
      <c r="W7" s="2567" t="s">
        <v>2137</v>
      </c>
    </row>
    <row r="8" spans="2:23" ht="24" x14ac:dyDescent="0.2">
      <c r="B8" s="799"/>
      <c r="C8" s="844"/>
      <c r="D8" s="2680" t="s">
        <v>389</v>
      </c>
      <c r="E8" s="1865"/>
      <c r="F8" s="1870"/>
      <c r="G8" s="478" t="s">
        <v>1028</v>
      </c>
      <c r="H8" s="479" t="s">
        <v>1029</v>
      </c>
      <c r="I8" s="479" t="s">
        <v>1030</v>
      </c>
      <c r="J8" s="1865"/>
      <c r="K8" s="1865"/>
      <c r="L8" s="480" t="s">
        <v>1031</v>
      </c>
      <c r="M8" s="481" t="s">
        <v>1032</v>
      </c>
      <c r="N8" s="478" t="s">
        <v>1028</v>
      </c>
      <c r="O8" s="479" t="s">
        <v>1033</v>
      </c>
      <c r="P8" s="479" t="s">
        <v>1030</v>
      </c>
      <c r="Q8" s="1865"/>
      <c r="R8" s="1865"/>
      <c r="S8" s="480" t="s">
        <v>1034</v>
      </c>
      <c r="T8" s="480" t="s">
        <v>1035</v>
      </c>
      <c r="U8" s="846"/>
      <c r="W8" s="846"/>
    </row>
    <row r="9" spans="2:23" ht="14.25" thickBot="1" x14ac:dyDescent="0.25">
      <c r="B9" s="2574"/>
      <c r="C9" s="845"/>
      <c r="D9" s="2681" t="s">
        <v>1036</v>
      </c>
      <c r="E9" s="1866"/>
      <c r="F9" s="1867"/>
      <c r="G9" s="831" t="s">
        <v>1037</v>
      </c>
      <c r="H9" s="832"/>
      <c r="I9" s="832"/>
      <c r="J9" s="832"/>
      <c r="K9" s="832"/>
      <c r="L9" s="832"/>
      <c r="M9" s="833"/>
      <c r="N9" s="831" t="s">
        <v>234</v>
      </c>
      <c r="O9" s="832"/>
      <c r="P9" s="832"/>
      <c r="Q9" s="832"/>
      <c r="R9" s="832"/>
      <c r="S9" s="832"/>
      <c r="T9" s="832"/>
      <c r="U9" s="492" t="s">
        <v>1038</v>
      </c>
      <c r="W9" s="492" t="s">
        <v>1039</v>
      </c>
    </row>
    <row r="10" spans="2:23" ht="18" customHeight="1" thickTop="1" x14ac:dyDescent="0.2">
      <c r="B10" s="2255" t="s">
        <v>1040</v>
      </c>
      <c r="C10" s="2257"/>
      <c r="D10" s="3555">
        <f>IF(SUM(D11,D16)=0,"IE",SUM(D11,D16))</f>
        <v>131426.97453647369</v>
      </c>
      <c r="E10" s="3556">
        <f t="shared" ref="E10:U10" si="0">IF(SUM(E11,E16)=0,"IE",SUM(E11,E16))</f>
        <v>131288.60225821118</v>
      </c>
      <c r="F10" s="3557">
        <f t="shared" si="0"/>
        <v>138.37227826251873</v>
      </c>
      <c r="G10" s="3558">
        <f t="shared" ref="G10:K11" si="1">IFERROR(IF(SUM($D10)=0,"NA",N10/$D10),"NA")</f>
        <v>6.904630209523141E-2</v>
      </c>
      <c r="H10" s="3078">
        <f t="shared" si="1"/>
        <v>-9.879175822871086E-3</v>
      </c>
      <c r="I10" s="3078">
        <f t="shared" si="1"/>
        <v>5.9167126272360322E-2</v>
      </c>
      <c r="J10" s="3078">
        <f t="shared" si="1"/>
        <v>1.1929404756698391E-2</v>
      </c>
      <c r="K10" s="3078">
        <f t="shared" si="1"/>
        <v>1.5696066420327497E-2</v>
      </c>
      <c r="L10" s="3078">
        <f>IFERROR(IF(SUM(E10)=0,"NA",S10/E10),"NA")</f>
        <v>4.928979069107403E-3</v>
      </c>
      <c r="M10" s="3128">
        <f>IFERROR(IF(SUM(F10)=0,"NA",T10/F10),"NA")</f>
        <v>-0.33099352353388528</v>
      </c>
      <c r="N10" s="3559">
        <f t="shared" si="0"/>
        <v>9074.5465873076482</v>
      </c>
      <c r="O10" s="3560">
        <f t="shared" si="0"/>
        <v>-1298.3901893138247</v>
      </c>
      <c r="P10" s="3560">
        <f t="shared" si="0"/>
        <v>7776.1563979938237</v>
      </c>
      <c r="Q10" s="3560">
        <f t="shared" si="0"/>
        <v>1567.8455751938875</v>
      </c>
      <c r="R10" s="3560">
        <f t="shared" si="0"/>
        <v>2062.8865217471816</v>
      </c>
      <c r="S10" s="3560">
        <f t="shared" si="0"/>
        <v>647.11877254308979</v>
      </c>
      <c r="T10" s="3561">
        <f t="shared" si="0"/>
        <v>-45.800327941522319</v>
      </c>
      <c r="U10" s="3562">
        <f t="shared" si="0"/>
        <v>-44030.092111633683</v>
      </c>
      <c r="W10" s="2396"/>
    </row>
    <row r="11" spans="2:23" ht="18" customHeight="1" x14ac:dyDescent="0.2">
      <c r="B11" s="502" t="s">
        <v>982</v>
      </c>
      <c r="C11" s="2256"/>
      <c r="D11" s="3563">
        <f>IF(SUM(D12:D15)=0,"IE",SUM(D12:D15))</f>
        <v>122745.48861107499</v>
      </c>
      <c r="E11" s="3564">
        <f t="shared" ref="E11:U11" si="2">IF(SUM(E12:E15)=0,"IE",SUM(E12:E15))</f>
        <v>122745.48861107499</v>
      </c>
      <c r="F11" s="3565" t="str">
        <f t="shared" si="2"/>
        <v>IE</v>
      </c>
      <c r="G11" s="3558">
        <f t="shared" si="1"/>
        <v>2.6188833730145526E-2</v>
      </c>
      <c r="H11" s="3078">
        <f t="shared" si="1"/>
        <v>-1.0571158522810202E-2</v>
      </c>
      <c r="I11" s="3078">
        <f t="shared" si="1"/>
        <v>1.5617675207335327E-2</v>
      </c>
      <c r="J11" s="3078">
        <f t="shared" si="1"/>
        <v>1.5628596479780636E-4</v>
      </c>
      <c r="K11" s="3078">
        <f t="shared" si="1"/>
        <v>4.7139701630052044E-3</v>
      </c>
      <c r="L11" s="3078">
        <f t="shared" ref="L11:L28" si="3">IFERROR(IF(SUM(E11)=0,"NA",S11/E11),"NA")</f>
        <v>1.7595756642092869E-2</v>
      </c>
      <c r="M11" s="3128" t="str">
        <f t="shared" ref="M11:M28" si="4">IFERROR(IF(SUM(F11)=0,"NA",T11/F11),"NA")</f>
        <v>NA</v>
      </c>
      <c r="N11" s="3109">
        <f t="shared" si="2"/>
        <v>3214.5611923609144</v>
      </c>
      <c r="O11" s="3109">
        <f t="shared" si="2"/>
        <v>-1297.562018067468</v>
      </c>
      <c r="P11" s="3109">
        <f t="shared" si="2"/>
        <v>1916.9991742934467</v>
      </c>
      <c r="Q11" s="3109">
        <f t="shared" si="2"/>
        <v>19.183397112160009</v>
      </c>
      <c r="R11" s="3566">
        <f t="shared" si="2"/>
        <v>578.61857095610264</v>
      </c>
      <c r="S11" s="3566">
        <f t="shared" si="2"/>
        <v>2159.7997465152575</v>
      </c>
      <c r="T11" s="3566" t="str">
        <f t="shared" si="2"/>
        <v>IE</v>
      </c>
      <c r="U11" s="3567">
        <f t="shared" si="2"/>
        <v>-17140.203259215541</v>
      </c>
      <c r="W11" s="2397"/>
    </row>
    <row r="12" spans="2:23" ht="18" customHeight="1" x14ac:dyDescent="0.2">
      <c r="B12" s="500"/>
      <c r="C12" s="508" t="s">
        <v>2220</v>
      </c>
      <c r="D12" s="3568">
        <f>IF(SUM(E12:F12)=0,E12,SUM(E12:F12))</f>
        <v>12280.329698969123</v>
      </c>
      <c r="E12" s="3569">
        <v>12280.329698969123</v>
      </c>
      <c r="F12" s="3554" t="s">
        <v>2153</v>
      </c>
      <c r="G12" s="3558">
        <f>IFERROR(IF(SUM($D12)=0,"NA",N12/$D12),"NA")</f>
        <v>0.26176505608239181</v>
      </c>
      <c r="H12" s="3078" t="str">
        <f>IFERROR(IF(SUM($D12)=0,"NA",O12/$D12),"NA")</f>
        <v>NA</v>
      </c>
      <c r="I12" s="3078">
        <f>IFERROR(IF(SUM($D12)=0,"NA",P12/$D12),"NA")</f>
        <v>0.26176505608239181</v>
      </c>
      <c r="J12" s="3078">
        <f>IFERROR(IF(SUM($D12)=0,"NA",Q12/$D12),"NA")</f>
        <v>1.2729950792572251E-5</v>
      </c>
      <c r="K12" s="3078">
        <f>IFERROR(IF(SUM($D12)=0,"NA",R12/$D12),"NA")</f>
        <v>4.7567010837851434E-2</v>
      </c>
      <c r="L12" s="3078">
        <f t="shared" si="3"/>
        <v>0.12055845516420269</v>
      </c>
      <c r="M12" s="3128" t="str">
        <f t="shared" si="4"/>
        <v>NA</v>
      </c>
      <c r="N12" s="2905">
        <v>3214.5611923609144</v>
      </c>
      <c r="O12" s="2905" t="s">
        <v>2153</v>
      </c>
      <c r="P12" s="3109">
        <f>IF(SUM(N12:O12)=0,N12,SUM(N12:O12))</f>
        <v>3214.5611923609144</v>
      </c>
      <c r="Q12" s="2905">
        <v>0.15632799278444054</v>
      </c>
      <c r="R12" s="2906">
        <v>584.13857588325311</v>
      </c>
      <c r="S12" s="2906">
        <v>1480.4975774147956</v>
      </c>
      <c r="T12" s="2906" t="s">
        <v>2153</v>
      </c>
      <c r="U12" s="3570">
        <f>IF(SUM(P12:T12)=0,P12,SUM(P12:T12)*-44/12)</f>
        <v>-19357.630136723074</v>
      </c>
      <c r="W12" s="2398"/>
    </row>
    <row r="13" spans="2:23" ht="18" customHeight="1" x14ac:dyDescent="0.2">
      <c r="B13" s="500"/>
      <c r="C13" s="508" t="s">
        <v>2221</v>
      </c>
      <c r="D13" s="3568">
        <f t="shared" ref="D13:D15" si="5">IF(SUM(E13:F13)=0,E13,SUM(E13:F13))</f>
        <v>682.24894237664387</v>
      </c>
      <c r="E13" s="3569">
        <v>682.24894237664387</v>
      </c>
      <c r="F13" s="3554" t="s">
        <v>2153</v>
      </c>
      <c r="G13" s="3558" t="str">
        <f t="shared" ref="G13:K28" si="6">IFERROR(IF(SUM($D13)=0,"NA",N13/$D13),"NA")</f>
        <v>NA</v>
      </c>
      <c r="H13" s="3078">
        <f t="shared" si="6"/>
        <v>-0.43880622811359671</v>
      </c>
      <c r="I13" s="3078">
        <f t="shared" si="6"/>
        <v>-0.43880622811359671</v>
      </c>
      <c r="J13" s="3078">
        <f t="shared" si="6"/>
        <v>0.56451420363487415</v>
      </c>
      <c r="K13" s="3078">
        <f t="shared" si="6"/>
        <v>0.36490099632055611</v>
      </c>
      <c r="L13" s="3078">
        <f t="shared" si="3"/>
        <v>0.9956807946584475</v>
      </c>
      <c r="M13" s="3128" t="str">
        <f t="shared" si="4"/>
        <v>NA</v>
      </c>
      <c r="N13" s="2905" t="s">
        <v>2153</v>
      </c>
      <c r="O13" s="2905">
        <v>-299.3750850387857</v>
      </c>
      <c r="P13" s="3109">
        <f t="shared" ref="P13:P15" si="7">IF(SUM(N13:O13)=0,N13,SUM(N13:O13))</f>
        <v>-299.3750850387857</v>
      </c>
      <c r="Q13" s="2905">
        <v>385.13921838648622</v>
      </c>
      <c r="R13" s="2906">
        <v>248.95331881188304</v>
      </c>
      <c r="S13" s="2906">
        <v>679.30216910046215</v>
      </c>
      <c r="T13" s="2906" t="s">
        <v>2153</v>
      </c>
      <c r="U13" s="3570">
        <f t="shared" ref="U13:U15" si="8">IF(SUM(P13:T13)=0,P13,SUM(P13:T13)*-44/12)</f>
        <v>-3718.0719446201674</v>
      </c>
      <c r="W13" s="2398"/>
    </row>
    <row r="14" spans="2:23" ht="18" customHeight="1" x14ac:dyDescent="0.2">
      <c r="B14" s="500"/>
      <c r="C14" s="508" t="s">
        <v>2222</v>
      </c>
      <c r="D14" s="3568">
        <f t="shared" si="5"/>
        <v>109782.90996972923</v>
      </c>
      <c r="E14" s="3569">
        <v>109782.90996972923</v>
      </c>
      <c r="F14" s="3554" t="s">
        <v>2153</v>
      </c>
      <c r="G14" s="3558" t="str">
        <f t="shared" si="6"/>
        <v>NA</v>
      </c>
      <c r="H14" s="3078">
        <f t="shared" si="6"/>
        <v>-1.1627168522534417E-3</v>
      </c>
      <c r="I14" s="3078">
        <f t="shared" si="6"/>
        <v>-1.1627168522534417E-3</v>
      </c>
      <c r="J14" s="3078">
        <f t="shared" si="6"/>
        <v>-2.9802553892256077E-3</v>
      </c>
      <c r="K14" s="3078">
        <f t="shared" si="6"/>
        <v>-2.3179684689465805E-3</v>
      </c>
      <c r="L14" s="3078" t="str">
        <f t="shared" si="3"/>
        <v>NA</v>
      </c>
      <c r="M14" s="3128" t="str">
        <f t="shared" si="4"/>
        <v>NA</v>
      </c>
      <c r="N14" s="2905" t="s">
        <v>2153</v>
      </c>
      <c r="O14" s="2905">
        <v>-127.64643951122655</v>
      </c>
      <c r="P14" s="3109">
        <f t="shared" si="7"/>
        <v>-127.64643951122655</v>
      </c>
      <c r="Q14" s="2905">
        <v>-327.18110908215522</v>
      </c>
      <c r="R14" s="2906">
        <v>-254.47332373903353</v>
      </c>
      <c r="S14" s="2906" t="s">
        <v>2147</v>
      </c>
      <c r="T14" s="2906" t="s">
        <v>2147</v>
      </c>
      <c r="U14" s="3570">
        <f t="shared" si="8"/>
        <v>2600.769865218856</v>
      </c>
      <c r="W14" s="2398"/>
    </row>
    <row r="15" spans="2:23" ht="18" customHeight="1" x14ac:dyDescent="0.2">
      <c r="B15" s="488"/>
      <c r="C15" s="2685" t="s">
        <v>2263</v>
      </c>
      <c r="D15" s="3568" t="str">
        <f t="shared" si="5"/>
        <v>IE</v>
      </c>
      <c r="E15" s="3569" t="s">
        <v>2153</v>
      </c>
      <c r="F15" s="3554" t="s">
        <v>2153</v>
      </c>
      <c r="G15" s="3558" t="str">
        <f t="shared" si="6"/>
        <v>NA</v>
      </c>
      <c r="H15" s="3078" t="str">
        <f t="shared" si="6"/>
        <v>NA</v>
      </c>
      <c r="I15" s="3078" t="str">
        <f t="shared" si="6"/>
        <v>NA</v>
      </c>
      <c r="J15" s="3078" t="str">
        <f t="shared" si="6"/>
        <v>NA</v>
      </c>
      <c r="K15" s="3078" t="str">
        <f t="shared" si="6"/>
        <v>NA</v>
      </c>
      <c r="L15" s="3078" t="str">
        <f t="shared" si="3"/>
        <v>NA</v>
      </c>
      <c r="M15" s="3128" t="str">
        <f t="shared" si="4"/>
        <v>NA</v>
      </c>
      <c r="N15" s="2905" t="s">
        <v>2153</v>
      </c>
      <c r="O15" s="2905">
        <v>-870.54049351745573</v>
      </c>
      <c r="P15" s="3109">
        <f t="shared" si="7"/>
        <v>-870.54049351745573</v>
      </c>
      <c r="Q15" s="2905">
        <v>-38.931040184955435</v>
      </c>
      <c r="R15" s="2906" t="s">
        <v>2147</v>
      </c>
      <c r="S15" s="2906" t="s">
        <v>2147</v>
      </c>
      <c r="T15" s="2906" t="s">
        <v>2147</v>
      </c>
      <c r="U15" s="3570">
        <f t="shared" si="8"/>
        <v>3334.7289569088412</v>
      </c>
      <c r="W15" s="2398"/>
    </row>
    <row r="16" spans="2:23" ht="18" customHeight="1" x14ac:dyDescent="0.2">
      <c r="B16" s="485" t="s">
        <v>1041</v>
      </c>
      <c r="C16" s="504"/>
      <c r="D16" s="3568">
        <f>IF(SUM(D17,D19,D23,D25,D27)=0,"IE",SUM(D17,D19,D23,D25,D27))</f>
        <v>8681.485925398687</v>
      </c>
      <c r="E16" s="3571">
        <f t="shared" ref="E16:T16" si="9">IF(SUM(E17,E19,E23,E25,E27)=0,"IE",SUM(E17,E19,E23,E25,E27))</f>
        <v>8543.1136471361679</v>
      </c>
      <c r="F16" s="3572">
        <f t="shared" si="9"/>
        <v>138.37227826251873</v>
      </c>
      <c r="G16" s="3558">
        <f t="shared" si="6"/>
        <v>0.67499797215620327</v>
      </c>
      <c r="H16" s="3078">
        <f t="shared" si="6"/>
        <v>-9.5395103266110903E-5</v>
      </c>
      <c r="I16" s="3078">
        <f t="shared" si="6"/>
        <v>0.6749025770529371</v>
      </c>
      <c r="J16" s="3078">
        <f t="shared" si="6"/>
        <v>0.17838676367036868</v>
      </c>
      <c r="K16" s="3078">
        <f t="shared" si="6"/>
        <v>0.17096934367522065</v>
      </c>
      <c r="L16" s="3078">
        <f t="shared" si="3"/>
        <v>-0.17706436276652487</v>
      </c>
      <c r="M16" s="3128">
        <f t="shared" si="4"/>
        <v>-0.33099352353388528</v>
      </c>
      <c r="N16" s="3078">
        <f t="shared" si="9"/>
        <v>5859.9853949467333</v>
      </c>
      <c r="O16" s="3078">
        <f t="shared" si="9"/>
        <v>-0.82817124635669614</v>
      </c>
      <c r="P16" s="3078">
        <f t="shared" si="9"/>
        <v>5859.1572237003766</v>
      </c>
      <c r="Q16" s="3078">
        <f t="shared" si="9"/>
        <v>1548.6621780817275</v>
      </c>
      <c r="R16" s="3573">
        <f t="shared" si="9"/>
        <v>1484.2679507910791</v>
      </c>
      <c r="S16" s="3573">
        <f t="shared" si="9"/>
        <v>-1512.6809739721677</v>
      </c>
      <c r="T16" s="3573">
        <f t="shared" si="9"/>
        <v>-45.800327941522319</v>
      </c>
      <c r="U16" s="3570">
        <f>IF(SUM(U17,U19,U23,U25,U27)=0,"IE",SUM(U17,U19,U23,U25,U27))</f>
        <v>-26889.888852418142</v>
      </c>
      <c r="W16" s="2019"/>
    </row>
    <row r="17" spans="2:23" ht="18" customHeight="1" x14ac:dyDescent="0.2">
      <c r="B17" s="487" t="s">
        <v>1042</v>
      </c>
      <c r="C17" s="504"/>
      <c r="D17" s="3568">
        <f>D18</f>
        <v>56.06</v>
      </c>
      <c r="E17" s="3571">
        <f t="shared" ref="E17:U17" si="10">E18</f>
        <v>56.06</v>
      </c>
      <c r="F17" s="3572" t="str">
        <f t="shared" si="10"/>
        <v>NO</v>
      </c>
      <c r="G17" s="3558">
        <f t="shared" si="6"/>
        <v>1.3728326792722083</v>
      </c>
      <c r="H17" s="3078" t="str">
        <f t="shared" si="6"/>
        <v>NA</v>
      </c>
      <c r="I17" s="3078">
        <f t="shared" si="6"/>
        <v>1.3728326792722083</v>
      </c>
      <c r="J17" s="3078">
        <f t="shared" si="6"/>
        <v>4.8323225115947201E-2</v>
      </c>
      <c r="K17" s="3078">
        <f t="shared" si="6"/>
        <v>2.4384587941491259E-2</v>
      </c>
      <c r="L17" s="3078">
        <f t="shared" si="3"/>
        <v>-0.30055297895112376</v>
      </c>
      <c r="M17" s="3128" t="str">
        <f t="shared" si="4"/>
        <v>NA</v>
      </c>
      <c r="N17" s="3078">
        <f t="shared" si="10"/>
        <v>76.960999999999999</v>
      </c>
      <c r="O17" s="3078" t="str">
        <f t="shared" si="10"/>
        <v>IE</v>
      </c>
      <c r="P17" s="3078">
        <f t="shared" si="10"/>
        <v>76.960999999999999</v>
      </c>
      <c r="Q17" s="3078">
        <f t="shared" si="10"/>
        <v>2.7090000000000001</v>
      </c>
      <c r="R17" s="3573">
        <f t="shared" si="10"/>
        <v>1.367</v>
      </c>
      <c r="S17" s="3573">
        <f t="shared" si="10"/>
        <v>-16.849</v>
      </c>
      <c r="T17" s="3573" t="str">
        <f t="shared" si="10"/>
        <v>NO</v>
      </c>
      <c r="U17" s="3570">
        <f t="shared" si="10"/>
        <v>-235.35599999999999</v>
      </c>
      <c r="W17" s="2019"/>
    </row>
    <row r="18" spans="2:23" ht="18" customHeight="1" x14ac:dyDescent="0.2">
      <c r="B18" s="488"/>
      <c r="C18" s="508" t="s">
        <v>278</v>
      </c>
      <c r="D18" s="3568">
        <f>IF(SUM(E18:F18)=0,E18,SUM(E18:F18))</f>
        <v>56.06</v>
      </c>
      <c r="E18" s="3569">
        <v>56.06</v>
      </c>
      <c r="F18" s="3554" t="s">
        <v>2146</v>
      </c>
      <c r="G18" s="3558">
        <f t="shared" si="6"/>
        <v>1.3728326792722083</v>
      </c>
      <c r="H18" s="3078" t="str">
        <f t="shared" si="6"/>
        <v>NA</v>
      </c>
      <c r="I18" s="3078">
        <f t="shared" si="6"/>
        <v>1.3728326792722083</v>
      </c>
      <c r="J18" s="3078">
        <f t="shared" si="6"/>
        <v>4.8323225115947201E-2</v>
      </c>
      <c r="K18" s="3078">
        <f t="shared" si="6"/>
        <v>2.4384587941491259E-2</v>
      </c>
      <c r="L18" s="3078">
        <f t="shared" si="3"/>
        <v>-0.30055297895112376</v>
      </c>
      <c r="M18" s="3128" t="str">
        <f t="shared" si="4"/>
        <v>NA</v>
      </c>
      <c r="N18" s="2905">
        <v>76.960999999999999</v>
      </c>
      <c r="O18" s="2905" t="s">
        <v>2153</v>
      </c>
      <c r="P18" s="3109">
        <f>IF(SUM(N18:O18)=0,N18,SUM(N18:O18))</f>
        <v>76.960999999999999</v>
      </c>
      <c r="Q18" s="2905">
        <v>2.7090000000000001</v>
      </c>
      <c r="R18" s="2906">
        <v>1.367</v>
      </c>
      <c r="S18" s="2906">
        <v>-16.849</v>
      </c>
      <c r="T18" s="2906" t="s">
        <v>2146</v>
      </c>
      <c r="U18" s="3570">
        <f t="shared" ref="U18" si="11">IF(SUM(P18:T18)=0,P18,SUM(P18:T18)*-44/12)</f>
        <v>-235.35599999999999</v>
      </c>
      <c r="W18" s="2398"/>
    </row>
    <row r="19" spans="2:23" ht="18" customHeight="1" x14ac:dyDescent="0.2">
      <c r="B19" s="487" t="s">
        <v>1043</v>
      </c>
      <c r="C19" s="504"/>
      <c r="D19" s="3563">
        <f>IF(SUM(D20:D22)=0,"IE",SUM(D20:D22))</f>
        <v>8441.3406471361686</v>
      </c>
      <c r="E19" s="3571">
        <f t="shared" ref="E19:U19" si="12">IF(SUM(E20:E22)=0,"IE",SUM(E20:E22))</f>
        <v>8441.3406471361686</v>
      </c>
      <c r="F19" s="3572" t="str">
        <f t="shared" si="12"/>
        <v>IE</v>
      </c>
      <c r="G19" s="3558">
        <f t="shared" si="6"/>
        <v>0.54728471199985607</v>
      </c>
      <c r="H19" s="3078">
        <f t="shared" si="6"/>
        <v>-9.8108971190217714E-5</v>
      </c>
      <c r="I19" s="3078">
        <f t="shared" si="6"/>
        <v>0.54718660302866584</v>
      </c>
      <c r="J19" s="3078">
        <f t="shared" si="6"/>
        <v>0.19745487360969358</v>
      </c>
      <c r="K19" s="3078">
        <f t="shared" si="6"/>
        <v>0.17102837237897309</v>
      </c>
      <c r="L19" s="3078">
        <f t="shared" si="3"/>
        <v>-0.17408336369776917</v>
      </c>
      <c r="M19" s="3128" t="str">
        <f t="shared" si="4"/>
        <v>NA</v>
      </c>
      <c r="N19" s="3078">
        <f t="shared" si="12"/>
        <v>4619.8166849605968</v>
      </c>
      <c r="O19" s="3078">
        <f t="shared" si="12"/>
        <v>-0.82817124635669614</v>
      </c>
      <c r="P19" s="3078">
        <f t="shared" si="12"/>
        <v>4618.9885137142401</v>
      </c>
      <c r="Q19" s="3078">
        <f t="shared" si="12"/>
        <v>1666.7838505766413</v>
      </c>
      <c r="R19" s="3573">
        <f t="shared" si="12"/>
        <v>1443.7087515761664</v>
      </c>
      <c r="S19" s="3573">
        <f t="shared" si="12"/>
        <v>-1469.4969739721678</v>
      </c>
      <c r="T19" s="3573" t="str">
        <f t="shared" si="12"/>
        <v>IE</v>
      </c>
      <c r="U19" s="3570">
        <f t="shared" si="12"/>
        <v>-22953.275186947896</v>
      </c>
      <c r="W19" s="2019"/>
    </row>
    <row r="20" spans="2:23" ht="18" customHeight="1" x14ac:dyDescent="0.2">
      <c r="B20" s="496"/>
      <c r="C20" s="508" t="s">
        <v>2223</v>
      </c>
      <c r="D20" s="3568">
        <f>IF(SUM(E20:F20)=0,E20,SUM(E20:F20))</f>
        <v>1882.7869999999984</v>
      </c>
      <c r="E20" s="3569">
        <v>1882.7869999999984</v>
      </c>
      <c r="F20" s="3554" t="s">
        <v>2146</v>
      </c>
      <c r="G20" s="3558">
        <f t="shared" si="6"/>
        <v>1.283518528649285</v>
      </c>
      <c r="H20" s="3078" t="str">
        <f t="shared" si="6"/>
        <v>NA</v>
      </c>
      <c r="I20" s="3078">
        <f t="shared" si="6"/>
        <v>1.283518528649285</v>
      </c>
      <c r="J20" s="3078">
        <f t="shared" si="6"/>
        <v>5.610300049872885E-2</v>
      </c>
      <c r="K20" s="3078">
        <f t="shared" si="6"/>
        <v>2.8996376116894634E-2</v>
      </c>
      <c r="L20" s="3078">
        <f t="shared" si="3"/>
        <v>-0.33975059313666406</v>
      </c>
      <c r="M20" s="3128" t="str">
        <f t="shared" si="4"/>
        <v>NA</v>
      </c>
      <c r="N20" s="2905">
        <v>2416.5919999999992</v>
      </c>
      <c r="O20" s="2905" t="s">
        <v>2153</v>
      </c>
      <c r="P20" s="3109">
        <f>IF(SUM(N20:O20)=0,N20,SUM(N20:O20))</f>
        <v>2416.5919999999992</v>
      </c>
      <c r="Q20" s="2905">
        <v>105.63000000000011</v>
      </c>
      <c r="R20" s="2906">
        <v>54.593999999999653</v>
      </c>
      <c r="S20" s="2906">
        <v>-639.67799999999977</v>
      </c>
      <c r="T20" s="2906" t="s">
        <v>2146</v>
      </c>
      <c r="U20" s="3570">
        <f t="shared" ref="U20:U22" si="13">IF(SUM(P20:T20)=0,P20,SUM(P20:T20)*-44/12)</f>
        <v>-7102.8393333333297</v>
      </c>
      <c r="W20" s="2398"/>
    </row>
    <row r="21" spans="2:23" ht="18" customHeight="1" x14ac:dyDescent="0.2">
      <c r="B21" s="500"/>
      <c r="C21" s="508" t="s">
        <v>2291</v>
      </c>
      <c r="D21" s="3568">
        <f>IF(SUM(E21:F21)=0,E21,SUM(E21:F21))</f>
        <v>6558.5536471361702</v>
      </c>
      <c r="E21" s="3569">
        <v>6558.5536471361702</v>
      </c>
      <c r="F21" s="3554" t="s">
        <v>2146</v>
      </c>
      <c r="G21" s="3558">
        <f t="shared" si="6"/>
        <v>0.33593148787044669</v>
      </c>
      <c r="H21" s="3078" t="str">
        <f t="shared" si="6"/>
        <v>NA</v>
      </c>
      <c r="I21" s="3078">
        <f t="shared" si="6"/>
        <v>0.33593148787044669</v>
      </c>
      <c r="J21" s="3078">
        <f t="shared" si="6"/>
        <v>0.23803805164120598</v>
      </c>
      <c r="K21" s="3078">
        <f t="shared" si="6"/>
        <v>0.21180199573159422</v>
      </c>
      <c r="L21" s="3078">
        <f t="shared" si="3"/>
        <v>-0.12652469105509462</v>
      </c>
      <c r="M21" s="3128" t="str">
        <f t="shared" si="4"/>
        <v>NA</v>
      </c>
      <c r="N21" s="2905">
        <v>2203.2246849605981</v>
      </c>
      <c r="O21" s="2905" t="s">
        <v>2153</v>
      </c>
      <c r="P21" s="3109">
        <f t="shared" ref="P21:P28" si="14">IF(SUM(N21:O21)=0,N21,SUM(N21:O21))</f>
        <v>2203.2246849605981</v>
      </c>
      <c r="Q21" s="2905">
        <v>1561.1853317486195</v>
      </c>
      <c r="R21" s="2906">
        <v>1389.1147515761668</v>
      </c>
      <c r="S21" s="2906">
        <v>-829.81897397216801</v>
      </c>
      <c r="T21" s="2906" t="s">
        <v>2146</v>
      </c>
      <c r="U21" s="3570">
        <f t="shared" si="13"/>
        <v>-15853.587912481793</v>
      </c>
      <c r="W21" s="2398"/>
    </row>
    <row r="22" spans="2:23" ht="18" customHeight="1" x14ac:dyDescent="0.2">
      <c r="B22" s="488"/>
      <c r="C22" s="2685" t="s">
        <v>2263</v>
      </c>
      <c r="D22" s="3568" t="str">
        <f>IF(SUM(E22:F22)=0,E22,SUM(E22:F22))</f>
        <v>IE</v>
      </c>
      <c r="E22" s="3569" t="s">
        <v>2153</v>
      </c>
      <c r="F22" s="3554" t="s">
        <v>2153</v>
      </c>
      <c r="G22" s="3558" t="str">
        <f t="shared" si="6"/>
        <v>NA</v>
      </c>
      <c r="H22" s="3078" t="str">
        <f t="shared" si="6"/>
        <v>NA</v>
      </c>
      <c r="I22" s="3078" t="str">
        <f t="shared" si="6"/>
        <v>NA</v>
      </c>
      <c r="J22" s="3078" t="str">
        <f t="shared" si="6"/>
        <v>NA</v>
      </c>
      <c r="K22" s="3078" t="str">
        <f t="shared" si="6"/>
        <v>NA</v>
      </c>
      <c r="L22" s="3078" t="str">
        <f t="shared" si="3"/>
        <v>NA</v>
      </c>
      <c r="M22" s="3128" t="str">
        <f t="shared" si="4"/>
        <v>NA</v>
      </c>
      <c r="N22" s="2905" t="s">
        <v>2153</v>
      </c>
      <c r="O22" s="2905">
        <v>-0.82817124635669614</v>
      </c>
      <c r="P22" s="3109">
        <f t="shared" si="14"/>
        <v>-0.82817124635669614</v>
      </c>
      <c r="Q22" s="2905">
        <v>-3.1481171978487946E-2</v>
      </c>
      <c r="R22" s="2906" t="s">
        <v>2147</v>
      </c>
      <c r="S22" s="2906" t="s">
        <v>2147</v>
      </c>
      <c r="T22" s="2906" t="s">
        <v>2147</v>
      </c>
      <c r="U22" s="3570">
        <f t="shared" si="13"/>
        <v>3.1520588672290084</v>
      </c>
      <c r="W22" s="2398"/>
    </row>
    <row r="23" spans="2:23" ht="18" customHeight="1" x14ac:dyDescent="0.2">
      <c r="B23" s="487" t="s">
        <v>1044</v>
      </c>
      <c r="C23" s="504"/>
      <c r="D23" s="3568">
        <f>D24</f>
        <v>138.37227826251873</v>
      </c>
      <c r="E23" s="3571" t="str">
        <f t="shared" ref="E23" si="15">E24</f>
        <v>NO</v>
      </c>
      <c r="F23" s="3572">
        <f t="shared" ref="F23" si="16">F24</f>
        <v>138.37227826251873</v>
      </c>
      <c r="G23" s="3558">
        <f t="shared" si="6"/>
        <v>7.8182618915451814</v>
      </c>
      <c r="H23" s="3078" t="str">
        <f t="shared" si="6"/>
        <v>NA</v>
      </c>
      <c r="I23" s="3078">
        <f t="shared" si="6"/>
        <v>7.8182618915451814</v>
      </c>
      <c r="J23" s="3078">
        <f t="shared" si="6"/>
        <v>-0.89412181434340576</v>
      </c>
      <c r="K23" s="3078">
        <f t="shared" si="6"/>
        <v>0.26949183523715697</v>
      </c>
      <c r="L23" s="3078" t="str">
        <f t="shared" si="3"/>
        <v>NA</v>
      </c>
      <c r="M23" s="3128">
        <f t="shared" si="4"/>
        <v>-0.33099352353388528</v>
      </c>
      <c r="N23" s="3078">
        <f t="shared" ref="N23" si="17">N24</f>
        <v>1081.8307099861358</v>
      </c>
      <c r="O23" s="3078" t="str">
        <f t="shared" ref="O23" si="18">O24</f>
        <v>IE</v>
      </c>
      <c r="P23" s="3078">
        <f t="shared" ref="P23" si="19">P24</f>
        <v>1081.8307099861358</v>
      </c>
      <c r="Q23" s="3078">
        <f t="shared" ref="Q23" si="20">Q24</f>
        <v>-123.72167249491386</v>
      </c>
      <c r="R23" s="3573">
        <f t="shared" ref="R23" si="21">R24</f>
        <v>37.290199214912732</v>
      </c>
      <c r="S23" s="3573" t="str">
        <f t="shared" ref="S23" si="22">S24</f>
        <v>NO</v>
      </c>
      <c r="T23" s="3573">
        <f t="shared" ref="T23" si="23">T24</f>
        <v>-45.800327941522319</v>
      </c>
      <c r="U23" s="3570">
        <f t="shared" ref="U23" si="24">U24</f>
        <v>-3481.8626654702452</v>
      </c>
      <c r="W23" s="2019"/>
    </row>
    <row r="24" spans="2:23" ht="18" customHeight="1" x14ac:dyDescent="0.2">
      <c r="B24" s="488"/>
      <c r="C24" s="508" t="s">
        <v>278</v>
      </c>
      <c r="D24" s="3568">
        <f>IF(SUM(E24:F24)=0,E24,SUM(E24:F24))</f>
        <v>138.37227826251873</v>
      </c>
      <c r="E24" s="3569" t="s">
        <v>2146</v>
      </c>
      <c r="F24" s="3554">
        <v>138.37227826251873</v>
      </c>
      <c r="G24" s="3558">
        <f t="shared" si="6"/>
        <v>7.8182618915451814</v>
      </c>
      <c r="H24" s="3078" t="str">
        <f t="shared" si="6"/>
        <v>NA</v>
      </c>
      <c r="I24" s="3078">
        <f t="shared" si="6"/>
        <v>7.8182618915451814</v>
      </c>
      <c r="J24" s="3078">
        <f t="shared" si="6"/>
        <v>-0.89412181434340576</v>
      </c>
      <c r="K24" s="3078">
        <f t="shared" si="6"/>
        <v>0.26949183523715697</v>
      </c>
      <c r="L24" s="3078" t="str">
        <f t="shared" si="3"/>
        <v>NA</v>
      </c>
      <c r="M24" s="3128">
        <f t="shared" si="4"/>
        <v>-0.33099352353388528</v>
      </c>
      <c r="N24" s="2905">
        <v>1081.8307099861358</v>
      </c>
      <c r="O24" s="2905" t="s">
        <v>2153</v>
      </c>
      <c r="P24" s="3109">
        <f t="shared" si="14"/>
        <v>1081.8307099861358</v>
      </c>
      <c r="Q24" s="2905">
        <v>-123.72167249491386</v>
      </c>
      <c r="R24" s="2906">
        <v>37.290199214912732</v>
      </c>
      <c r="S24" s="2906" t="s">
        <v>2146</v>
      </c>
      <c r="T24" s="2906">
        <v>-45.800327941522319</v>
      </c>
      <c r="U24" s="3570">
        <f t="shared" ref="U24" si="25">IF(SUM(P24:T24)=0,P24,SUM(P24:T24)*-44/12)</f>
        <v>-3481.8626654702452</v>
      </c>
      <c r="W24" s="2398"/>
    </row>
    <row r="25" spans="2:23" ht="18" customHeight="1" x14ac:dyDescent="0.2">
      <c r="B25" s="487" t="s">
        <v>1045</v>
      </c>
      <c r="C25" s="504"/>
      <c r="D25" s="3568">
        <f>D26</f>
        <v>45.713000000000001</v>
      </c>
      <c r="E25" s="3571">
        <f t="shared" ref="E25" si="26">E26</f>
        <v>45.713000000000001</v>
      </c>
      <c r="F25" s="3572" t="str">
        <f t="shared" ref="F25" si="27">F26</f>
        <v>NO</v>
      </c>
      <c r="G25" s="3558">
        <f t="shared" si="6"/>
        <v>1.7801719423358782</v>
      </c>
      <c r="H25" s="3078" t="str">
        <f t="shared" si="6"/>
        <v>NA</v>
      </c>
      <c r="I25" s="3078">
        <f t="shared" si="6"/>
        <v>1.7801719423358782</v>
      </c>
      <c r="J25" s="3078">
        <f t="shared" si="6"/>
        <v>6.3242403692603866E-2</v>
      </c>
      <c r="K25" s="3078">
        <f t="shared" si="6"/>
        <v>4.1607420208693374E-2</v>
      </c>
      <c r="L25" s="3078">
        <f t="shared" si="3"/>
        <v>-0.5760943276529652</v>
      </c>
      <c r="M25" s="3128" t="str">
        <f t="shared" si="4"/>
        <v>NA</v>
      </c>
      <c r="N25" s="3078">
        <f t="shared" ref="N25" si="28">N26</f>
        <v>81.376999999999995</v>
      </c>
      <c r="O25" s="3078" t="str">
        <f t="shared" ref="O25" si="29">O26</f>
        <v>IE</v>
      </c>
      <c r="P25" s="3078">
        <f t="shared" ref="P25" si="30">P26</f>
        <v>81.376999999999995</v>
      </c>
      <c r="Q25" s="3078">
        <f t="shared" ref="Q25" si="31">Q26</f>
        <v>2.8910000000000005</v>
      </c>
      <c r="R25" s="3573">
        <f t="shared" ref="R25" si="32">R26</f>
        <v>1.9020000000000001</v>
      </c>
      <c r="S25" s="3573">
        <f t="shared" ref="S25" si="33">S26</f>
        <v>-26.335000000000001</v>
      </c>
      <c r="T25" s="3573" t="str">
        <f t="shared" ref="T25" si="34">T26</f>
        <v>NO</v>
      </c>
      <c r="U25" s="3570">
        <f t="shared" ref="U25" si="35">U26</f>
        <v>-219.39500000000001</v>
      </c>
      <c r="W25" s="2019"/>
    </row>
    <row r="26" spans="2:23" ht="18" customHeight="1" x14ac:dyDescent="0.2">
      <c r="B26" s="488"/>
      <c r="C26" s="508" t="s">
        <v>278</v>
      </c>
      <c r="D26" s="3568">
        <f>IF(SUM(E26:F26)=0,E26,SUM(E26:F26))</f>
        <v>45.713000000000001</v>
      </c>
      <c r="E26" s="3569">
        <v>45.713000000000001</v>
      </c>
      <c r="F26" s="3554" t="s">
        <v>2146</v>
      </c>
      <c r="G26" s="3558">
        <f t="shared" si="6"/>
        <v>1.7801719423358782</v>
      </c>
      <c r="H26" s="3078" t="str">
        <f t="shared" si="6"/>
        <v>NA</v>
      </c>
      <c r="I26" s="3078">
        <f t="shared" si="6"/>
        <v>1.7801719423358782</v>
      </c>
      <c r="J26" s="3078">
        <f t="shared" si="6"/>
        <v>6.3242403692603866E-2</v>
      </c>
      <c r="K26" s="3078">
        <f t="shared" si="6"/>
        <v>4.1607420208693374E-2</v>
      </c>
      <c r="L26" s="3078">
        <f t="shared" si="3"/>
        <v>-0.5760943276529652</v>
      </c>
      <c r="M26" s="3128" t="str">
        <f t="shared" si="4"/>
        <v>NA</v>
      </c>
      <c r="N26" s="2905">
        <v>81.376999999999995</v>
      </c>
      <c r="O26" s="2905" t="s">
        <v>2153</v>
      </c>
      <c r="P26" s="3109">
        <f t="shared" si="14"/>
        <v>81.376999999999995</v>
      </c>
      <c r="Q26" s="2905">
        <v>2.8910000000000005</v>
      </c>
      <c r="R26" s="2906">
        <v>1.9020000000000001</v>
      </c>
      <c r="S26" s="2906">
        <v>-26.335000000000001</v>
      </c>
      <c r="T26" s="2906" t="s">
        <v>2146</v>
      </c>
      <c r="U26" s="3570">
        <f t="shared" ref="U26" si="36">IF(SUM(P26:T26)=0,P26,SUM(P26:T26)*-44/12)</f>
        <v>-219.39500000000001</v>
      </c>
      <c r="W26" s="2398"/>
    </row>
    <row r="27" spans="2:23" ht="18" customHeight="1" x14ac:dyDescent="0.2">
      <c r="B27" s="487" t="s">
        <v>1046</v>
      </c>
      <c r="C27" s="504"/>
      <c r="D27" s="3568" t="str">
        <f>D28</f>
        <v>NO</v>
      </c>
      <c r="E27" s="3571" t="str">
        <f t="shared" ref="E27" si="37">E28</f>
        <v>NO</v>
      </c>
      <c r="F27" s="3572" t="str">
        <f t="shared" ref="F27" si="38">F28</f>
        <v>NO</v>
      </c>
      <c r="G27" s="3558" t="str">
        <f t="shared" si="6"/>
        <v>NA</v>
      </c>
      <c r="H27" s="3078" t="str">
        <f t="shared" si="6"/>
        <v>NA</v>
      </c>
      <c r="I27" s="3078" t="str">
        <f t="shared" si="6"/>
        <v>NA</v>
      </c>
      <c r="J27" s="3078" t="str">
        <f t="shared" si="6"/>
        <v>NA</v>
      </c>
      <c r="K27" s="3078" t="str">
        <f t="shared" si="6"/>
        <v>NA</v>
      </c>
      <c r="L27" s="3078" t="str">
        <f t="shared" si="3"/>
        <v>NA</v>
      </c>
      <c r="M27" s="3128" t="str">
        <f t="shared" si="4"/>
        <v>NA</v>
      </c>
      <c r="N27" s="3078" t="str">
        <f t="shared" ref="N27" si="39">N28</f>
        <v>NO</v>
      </c>
      <c r="O27" s="3078" t="str">
        <f t="shared" ref="O27" si="40">O28</f>
        <v>NO</v>
      </c>
      <c r="P27" s="3078" t="str">
        <f t="shared" ref="P27" si="41">P28</f>
        <v>NO</v>
      </c>
      <c r="Q27" s="3078" t="str">
        <f t="shared" ref="Q27" si="42">Q28</f>
        <v>NO</v>
      </c>
      <c r="R27" s="3573" t="str">
        <f t="shared" ref="R27" si="43">R28</f>
        <v>NO</v>
      </c>
      <c r="S27" s="3573" t="str">
        <f t="shared" ref="S27" si="44">S28</f>
        <v>NO</v>
      </c>
      <c r="T27" s="3573" t="str">
        <f t="shared" ref="T27" si="45">T28</f>
        <v>NO</v>
      </c>
      <c r="U27" s="3570" t="str">
        <f t="shared" ref="U27" si="46">U28</f>
        <v>NO</v>
      </c>
      <c r="W27" s="2019"/>
    </row>
    <row r="28" spans="2:23" ht="18" customHeight="1" thickBot="1" x14ac:dyDescent="0.25">
      <c r="B28" s="858"/>
      <c r="C28" s="510" t="s">
        <v>278</v>
      </c>
      <c r="D28" s="3574" t="str">
        <f>IF(SUM(E28:F28)=0,E28,SUM(E28:F28))</f>
        <v>NO</v>
      </c>
      <c r="E28" s="3575" t="s">
        <v>2146</v>
      </c>
      <c r="F28" s="3576" t="s">
        <v>2146</v>
      </c>
      <c r="G28" s="3577" t="str">
        <f t="shared" si="6"/>
        <v>NA</v>
      </c>
      <c r="H28" s="3138" t="str">
        <f t="shared" si="6"/>
        <v>NA</v>
      </c>
      <c r="I28" s="3138" t="str">
        <f t="shared" si="6"/>
        <v>NA</v>
      </c>
      <c r="J28" s="3138" t="str">
        <f t="shared" si="6"/>
        <v>NA</v>
      </c>
      <c r="K28" s="3138" t="str">
        <f t="shared" si="6"/>
        <v>NA</v>
      </c>
      <c r="L28" s="3138" t="str">
        <f t="shared" si="3"/>
        <v>NA</v>
      </c>
      <c r="M28" s="3578" t="str">
        <f t="shared" si="4"/>
        <v>NA</v>
      </c>
      <c r="N28" s="3137" t="s">
        <v>2146</v>
      </c>
      <c r="O28" s="3137" t="s">
        <v>2146</v>
      </c>
      <c r="P28" s="3579" t="str">
        <f t="shared" si="14"/>
        <v>NO</v>
      </c>
      <c r="Q28" s="3137" t="s">
        <v>2146</v>
      </c>
      <c r="R28" s="3580" t="s">
        <v>2146</v>
      </c>
      <c r="S28" s="3580" t="s">
        <v>2146</v>
      </c>
      <c r="T28" s="3580" t="s">
        <v>2146</v>
      </c>
      <c r="U28" s="3581" t="str">
        <f t="shared" ref="U28" si="47">IF(SUM(P28:T28)=0,P28,SUM(P28:T28)*-44/12)</f>
        <v>NO</v>
      </c>
      <c r="W28" s="2399"/>
    </row>
    <row r="29" spans="2:23" customFormat="1" ht="13.5" x14ac:dyDescent="0.2">
      <c r="B29" s="787"/>
    </row>
    <row r="30" spans="2:23" customFormat="1" ht="12.75" x14ac:dyDescent="0.2">
      <c r="B30" s="861"/>
    </row>
    <row r="31" spans="2:23" customFormat="1" ht="12.75" x14ac:dyDescent="0.2">
      <c r="B31" s="861"/>
    </row>
    <row r="32" spans="2:23" s="489" customFormat="1" ht="13.5" x14ac:dyDescent="0.2">
      <c r="B32" s="787"/>
      <c r="C32" s="787"/>
      <c r="D32" s="787"/>
      <c r="E32" s="787"/>
      <c r="F32" s="787"/>
      <c r="G32" s="787"/>
      <c r="H32" s="787"/>
      <c r="I32" s="787"/>
      <c r="J32" s="787"/>
      <c r="K32" s="787"/>
      <c r="L32" s="787"/>
      <c r="M32" s="787"/>
      <c r="N32" s="787"/>
      <c r="O32" s="787"/>
      <c r="P32" s="787"/>
      <c r="Q32" s="787"/>
      <c r="R32" s="787"/>
      <c r="S32" s="787"/>
      <c r="T32" s="787"/>
      <c r="U32" s="787"/>
      <c r="V32" s="83"/>
    </row>
    <row r="33" spans="2:22" s="489" customFormat="1" ht="13.5" x14ac:dyDescent="0.2">
      <c r="B33" s="860"/>
      <c r="C33" s="787"/>
      <c r="D33" s="787"/>
      <c r="E33" s="787"/>
      <c r="F33" s="787"/>
      <c r="G33" s="787"/>
      <c r="H33" s="787"/>
      <c r="I33" s="787"/>
      <c r="J33" s="787"/>
      <c r="K33" s="787"/>
      <c r="L33" s="787"/>
      <c r="M33" s="787"/>
      <c r="N33" s="787"/>
      <c r="O33" s="787"/>
      <c r="P33" s="787"/>
      <c r="Q33" s="787"/>
      <c r="R33" s="787"/>
      <c r="S33" s="787"/>
      <c r="T33" s="787"/>
      <c r="U33" s="787"/>
      <c r="V33" s="83"/>
    </row>
    <row r="34" spans="2:22" ht="13.5" x14ac:dyDescent="0.2">
      <c r="B34" s="787"/>
      <c r="C34" s="787"/>
      <c r="D34" s="787"/>
      <c r="E34" s="787"/>
      <c r="F34" s="787"/>
      <c r="G34" s="787"/>
      <c r="H34" s="787"/>
      <c r="I34" s="787"/>
      <c r="J34" s="787"/>
      <c r="K34" s="787"/>
      <c r="L34" s="787"/>
      <c r="M34" s="787"/>
      <c r="N34" s="787"/>
      <c r="O34" s="787"/>
      <c r="P34" s="787"/>
      <c r="Q34" s="787"/>
      <c r="R34" s="787"/>
      <c r="S34" s="787"/>
      <c r="T34" s="787"/>
      <c r="U34" s="787"/>
    </row>
    <row r="35" spans="2:22" ht="18.75" x14ac:dyDescent="0.2">
      <c r="B35" s="787"/>
      <c r="C35" s="787"/>
      <c r="D35" s="787"/>
      <c r="E35" s="787"/>
      <c r="F35" s="787"/>
      <c r="G35" s="787"/>
      <c r="H35" s="787"/>
      <c r="I35" s="787"/>
      <c r="J35" s="787"/>
      <c r="K35" s="787"/>
      <c r="L35" s="787"/>
      <c r="M35" s="787"/>
      <c r="N35" s="787"/>
      <c r="O35" s="787"/>
      <c r="P35" s="787"/>
      <c r="Q35" s="787"/>
      <c r="R35" s="787"/>
      <c r="S35" s="787"/>
      <c r="T35" s="787"/>
      <c r="U35" s="490"/>
    </row>
    <row r="36" spans="2:22" ht="13.5" x14ac:dyDescent="0.2">
      <c r="B36" s="788"/>
      <c r="C36" s="788"/>
      <c r="D36" s="788"/>
      <c r="E36" s="788"/>
      <c r="F36" s="788"/>
      <c r="G36" s="788"/>
      <c r="H36" s="788"/>
      <c r="I36" s="788"/>
      <c r="J36" s="788"/>
      <c r="K36" s="788"/>
      <c r="L36" s="788"/>
      <c r="M36" s="788"/>
      <c r="N36" s="788"/>
      <c r="O36" s="788"/>
      <c r="P36" s="788"/>
      <c r="Q36" s="788"/>
      <c r="R36" s="788"/>
      <c r="S36" s="788"/>
      <c r="T36" s="788"/>
      <c r="U36" s="788"/>
    </row>
    <row r="37" spans="2:22" ht="13.5" x14ac:dyDescent="0.2">
      <c r="B37" s="788"/>
      <c r="C37" s="788"/>
      <c r="D37" s="788"/>
      <c r="E37" s="788"/>
      <c r="F37" s="788"/>
      <c r="G37" s="788"/>
      <c r="H37" s="788"/>
      <c r="I37" s="788"/>
      <c r="J37" s="788"/>
      <c r="K37" s="788"/>
      <c r="L37" s="788"/>
      <c r="M37" s="788"/>
      <c r="N37" s="788"/>
      <c r="O37" s="788"/>
      <c r="P37" s="788"/>
      <c r="Q37" s="788"/>
      <c r="R37" s="788"/>
      <c r="S37" s="788"/>
      <c r="T37" s="788"/>
      <c r="U37" s="788"/>
    </row>
    <row r="38" spans="2:22" ht="13.5" x14ac:dyDescent="0.2">
      <c r="B38" s="788"/>
      <c r="C38" s="788"/>
      <c r="D38" s="788"/>
      <c r="E38" s="788"/>
      <c r="F38" s="788"/>
      <c r="G38" s="788"/>
      <c r="H38" s="788"/>
      <c r="I38" s="788"/>
      <c r="J38" s="788"/>
      <c r="K38" s="788"/>
      <c r="L38" s="788"/>
      <c r="M38" s="788"/>
      <c r="N38" s="788"/>
      <c r="O38" s="788"/>
      <c r="P38" s="788"/>
      <c r="Q38" s="788"/>
      <c r="R38" s="788"/>
      <c r="S38" s="788"/>
      <c r="T38" s="788"/>
      <c r="U38" s="788"/>
    </row>
    <row r="39" spans="2:22" ht="13.5" x14ac:dyDescent="0.2">
      <c r="B39" s="788"/>
      <c r="C39" s="788"/>
      <c r="D39" s="788"/>
      <c r="E39" s="788"/>
      <c r="F39" s="788"/>
      <c r="G39" s="788"/>
      <c r="H39" s="788"/>
      <c r="I39" s="788"/>
      <c r="J39" s="788"/>
      <c r="K39" s="788"/>
      <c r="L39" s="788"/>
      <c r="M39" s="788"/>
      <c r="N39" s="788"/>
      <c r="O39" s="788"/>
      <c r="P39" s="788"/>
      <c r="Q39" s="788"/>
      <c r="R39" s="788"/>
      <c r="S39" s="788"/>
      <c r="T39" s="788"/>
      <c r="U39" s="788"/>
    </row>
    <row r="40" spans="2:22" ht="13.5" x14ac:dyDescent="0.2">
      <c r="B40" s="788"/>
      <c r="C40" s="788"/>
      <c r="D40" s="788"/>
      <c r="E40" s="788"/>
      <c r="F40" s="788"/>
      <c r="G40" s="788"/>
      <c r="H40" s="788"/>
      <c r="I40" s="788"/>
      <c r="J40" s="788"/>
      <c r="K40" s="788"/>
      <c r="L40" s="788"/>
      <c r="M40" s="788"/>
      <c r="N40" s="788"/>
      <c r="O40" s="788"/>
      <c r="P40" s="788"/>
      <c r="Q40" s="788"/>
      <c r="R40" s="788"/>
      <c r="S40" s="788"/>
      <c r="T40" s="788"/>
      <c r="U40" s="788"/>
    </row>
    <row r="41" spans="2:22" ht="13.5" x14ac:dyDescent="0.2">
      <c r="B41" s="788"/>
      <c r="C41" s="788"/>
      <c r="D41" s="788"/>
      <c r="E41" s="788"/>
      <c r="F41" s="788"/>
      <c r="G41" s="788"/>
      <c r="H41" s="788"/>
      <c r="I41" s="788"/>
      <c r="J41" s="788"/>
      <c r="K41" s="788"/>
      <c r="L41" s="788"/>
      <c r="M41" s="788"/>
      <c r="N41" s="788"/>
      <c r="O41" s="788"/>
      <c r="P41" s="788"/>
      <c r="Q41" s="788"/>
      <c r="R41" s="788"/>
      <c r="S41" s="788"/>
      <c r="T41" s="788"/>
      <c r="U41" s="788"/>
    </row>
    <row r="42" spans="2:22" ht="13.5" x14ac:dyDescent="0.2">
      <c r="B42" s="788"/>
      <c r="C42" s="788"/>
      <c r="D42" s="788"/>
      <c r="E42" s="788"/>
      <c r="F42" s="788"/>
      <c r="G42" s="788"/>
      <c r="H42" s="788"/>
      <c r="I42" s="788"/>
      <c r="J42" s="788"/>
      <c r="K42" s="788"/>
      <c r="L42" s="788"/>
      <c r="M42" s="788"/>
      <c r="N42" s="788"/>
      <c r="O42" s="788"/>
      <c r="P42" s="788"/>
      <c r="Q42" s="788"/>
      <c r="R42" s="788"/>
      <c r="S42" s="788"/>
      <c r="T42" s="788"/>
      <c r="U42" s="788"/>
    </row>
    <row r="43" spans="2:22" ht="13.5" x14ac:dyDescent="0.2">
      <c r="B43" s="788"/>
      <c r="C43" s="788"/>
      <c r="D43" s="788"/>
      <c r="E43" s="788"/>
      <c r="F43" s="788"/>
      <c r="G43" s="788"/>
      <c r="H43" s="788"/>
      <c r="I43" s="788"/>
      <c r="J43" s="788"/>
      <c r="K43" s="788"/>
      <c r="L43" s="788"/>
      <c r="M43" s="788"/>
      <c r="N43" s="788"/>
      <c r="O43" s="788"/>
      <c r="P43" s="788"/>
      <c r="Q43" s="788"/>
      <c r="R43" s="788"/>
      <c r="S43" s="788"/>
      <c r="T43" s="788"/>
      <c r="U43" s="788"/>
    </row>
    <row r="44" spans="2:22" ht="14.25" thickBot="1" x14ac:dyDescent="0.25">
      <c r="B44" s="788"/>
      <c r="C44" s="788"/>
      <c r="D44" s="788"/>
      <c r="E44" s="788"/>
      <c r="F44" s="788"/>
      <c r="G44" s="788"/>
      <c r="H44" s="788"/>
      <c r="I44" s="788"/>
      <c r="J44" s="788"/>
      <c r="K44" s="788"/>
      <c r="L44" s="788"/>
      <c r="M44" s="788"/>
      <c r="N44" s="788"/>
      <c r="O44" s="788"/>
      <c r="P44" s="788"/>
      <c r="Q44" s="788"/>
      <c r="R44" s="788"/>
      <c r="S44" s="788"/>
      <c r="T44" s="788"/>
      <c r="U44" s="788"/>
    </row>
    <row r="45" spans="2:22" ht="12.75" x14ac:dyDescent="0.2">
      <c r="B45" s="849" t="s">
        <v>390</v>
      </c>
      <c r="C45" s="850"/>
      <c r="D45" s="850"/>
      <c r="E45" s="850"/>
      <c r="F45" s="850"/>
      <c r="G45" s="850"/>
      <c r="H45" s="850"/>
      <c r="I45" s="850"/>
      <c r="J45" s="850"/>
      <c r="K45" s="850"/>
      <c r="L45" s="850"/>
      <c r="M45" s="850"/>
      <c r="N45" s="850"/>
      <c r="O45" s="850"/>
      <c r="P45" s="850"/>
      <c r="Q45" s="850"/>
      <c r="R45" s="850"/>
      <c r="S45" s="850"/>
      <c r="T45" s="850"/>
      <c r="U45" s="851"/>
    </row>
    <row r="46" spans="2:22" ht="12.75" x14ac:dyDescent="0.2">
      <c r="B46" s="1329"/>
      <c r="C46" s="1333"/>
      <c r="D46" s="1333"/>
      <c r="E46" s="1333"/>
      <c r="F46" s="1333"/>
      <c r="G46" s="1333"/>
      <c r="H46" s="1333"/>
      <c r="I46" s="1333"/>
      <c r="J46" s="1333"/>
      <c r="K46" s="1333"/>
      <c r="L46" s="1333"/>
      <c r="M46" s="1333"/>
      <c r="N46" s="1333"/>
      <c r="O46" s="1333"/>
      <c r="P46" s="1333"/>
      <c r="Q46" s="1333"/>
      <c r="R46" s="1333"/>
      <c r="S46" s="1333"/>
      <c r="T46" s="1333"/>
      <c r="U46" s="1334"/>
    </row>
    <row r="47" spans="2:22" ht="12.75" x14ac:dyDescent="0.2">
      <c r="B47" s="1329"/>
      <c r="C47" s="1333"/>
      <c r="D47" s="1333"/>
      <c r="E47" s="1333"/>
      <c r="F47" s="1333"/>
      <c r="G47" s="1333"/>
      <c r="H47" s="1333"/>
      <c r="I47" s="1333"/>
      <c r="J47" s="1333"/>
      <c r="K47" s="1333"/>
      <c r="L47" s="1333"/>
      <c r="M47" s="1333"/>
      <c r="N47" s="1333"/>
      <c r="O47" s="1333"/>
      <c r="P47" s="1333"/>
      <c r="Q47" s="1333"/>
      <c r="R47" s="1333"/>
      <c r="S47" s="1333"/>
      <c r="T47" s="1333"/>
      <c r="U47" s="1334"/>
    </row>
    <row r="48" spans="2:22" ht="13.5" thickBot="1" x14ac:dyDescent="0.25">
      <c r="B48" s="855"/>
      <c r="C48" s="856"/>
      <c r="D48" s="856"/>
      <c r="E48" s="856"/>
      <c r="F48" s="856"/>
      <c r="G48" s="856"/>
      <c r="H48" s="856"/>
      <c r="I48" s="856"/>
      <c r="J48" s="856"/>
      <c r="K48" s="856"/>
      <c r="L48" s="856"/>
      <c r="M48" s="856"/>
      <c r="N48" s="856"/>
      <c r="O48" s="856"/>
      <c r="P48" s="856"/>
      <c r="Q48" s="856"/>
      <c r="R48" s="856"/>
      <c r="S48" s="856"/>
      <c r="T48" s="856"/>
      <c r="U48" s="857"/>
    </row>
    <row r="49" spans="2:21" ht="36" customHeight="1" thickBot="1" x14ac:dyDescent="0.25">
      <c r="B49" s="4480" t="s">
        <v>2224</v>
      </c>
      <c r="C49" s="4481"/>
      <c r="D49" s="4481"/>
      <c r="E49" s="4481"/>
      <c r="F49" s="4481"/>
      <c r="G49" s="4481"/>
      <c r="H49" s="4481"/>
      <c r="I49" s="4481"/>
      <c r="J49" s="4481"/>
      <c r="K49" s="4481"/>
      <c r="L49" s="4481"/>
      <c r="M49" s="4481"/>
      <c r="N49" s="4481"/>
      <c r="O49" s="4481"/>
      <c r="P49" s="4481"/>
      <c r="Q49" s="4481"/>
      <c r="R49" s="4481"/>
      <c r="S49" s="4481"/>
      <c r="T49" s="4481"/>
      <c r="U49" s="4482"/>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5.140625" style="83" customWidth="1"/>
    <col min="3" max="3" width="11.140625" style="83" bestFit="1" customWidth="1"/>
    <col min="4" max="6" width="9.8554687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1047</v>
      </c>
      <c r="O1" s="83" t="s">
        <v>389</v>
      </c>
      <c r="S1" s="14" t="s">
        <v>2521</v>
      </c>
    </row>
    <row r="2" spans="2:21" ht="15.75" x14ac:dyDescent="0.25">
      <c r="B2" s="13" t="s">
        <v>1048</v>
      </c>
      <c r="S2" s="14" t="s">
        <v>2522</v>
      </c>
    </row>
    <row r="3" spans="2:21" ht="15.75" x14ac:dyDescent="0.25">
      <c r="B3" s="13" t="s">
        <v>62</v>
      </c>
      <c r="S3" s="14" t="s">
        <v>2144</v>
      </c>
    </row>
    <row r="4" spans="2:21" ht="15.75" x14ac:dyDescent="0.25">
      <c r="B4" s="13"/>
      <c r="S4" s="226"/>
    </row>
    <row r="5" spans="2:21" ht="24.75" thickBot="1" x14ac:dyDescent="0.25">
      <c r="B5" s="2454" t="s">
        <v>64</v>
      </c>
      <c r="C5" s="477"/>
      <c r="D5" s="477"/>
      <c r="E5" s="477"/>
      <c r="F5" s="477"/>
      <c r="G5" s="477"/>
      <c r="H5" s="477"/>
      <c r="I5" s="477"/>
      <c r="J5" s="477"/>
      <c r="K5" s="477"/>
      <c r="L5" s="477"/>
      <c r="M5" s="477"/>
      <c r="N5" s="477"/>
      <c r="O5" s="477"/>
      <c r="P5" s="491"/>
      <c r="Q5" s="491"/>
      <c r="R5" s="491"/>
      <c r="S5" s="491"/>
      <c r="U5" s="2569" t="s">
        <v>1049</v>
      </c>
    </row>
    <row r="6" spans="2:21" ht="38.25" customHeight="1" x14ac:dyDescent="0.2">
      <c r="B6" s="824" t="s">
        <v>65</v>
      </c>
      <c r="C6" s="826"/>
      <c r="D6" s="824" t="s">
        <v>419</v>
      </c>
      <c r="E6" s="826"/>
      <c r="F6" s="826"/>
      <c r="G6" s="824" t="s">
        <v>1016</v>
      </c>
      <c r="H6" s="826"/>
      <c r="I6" s="826"/>
      <c r="J6" s="826"/>
      <c r="K6" s="826"/>
      <c r="L6" s="825"/>
      <c r="M6" s="824" t="s">
        <v>1017</v>
      </c>
      <c r="N6" s="826"/>
      <c r="O6" s="826"/>
      <c r="P6" s="826"/>
      <c r="Q6" s="826"/>
      <c r="R6" s="826"/>
      <c r="S6" s="458"/>
      <c r="U6" s="2568" t="s">
        <v>2138</v>
      </c>
    </row>
    <row r="7" spans="2:21" ht="47.25" customHeight="1" x14ac:dyDescent="0.2">
      <c r="B7" s="2573" t="s">
        <v>1018</v>
      </c>
      <c r="C7" s="796" t="s">
        <v>1019</v>
      </c>
      <c r="D7" s="859" t="s">
        <v>1020</v>
      </c>
      <c r="E7" s="793" t="s">
        <v>1021</v>
      </c>
      <c r="F7" s="800" t="s">
        <v>1022</v>
      </c>
      <c r="G7" s="834" t="s">
        <v>1969</v>
      </c>
      <c r="H7" s="835"/>
      <c r="I7" s="836"/>
      <c r="J7" s="793" t="s">
        <v>1050</v>
      </c>
      <c r="K7" s="837" t="s">
        <v>1025</v>
      </c>
      <c r="L7" s="838"/>
      <c r="M7" s="835" t="s">
        <v>1972</v>
      </c>
      <c r="N7" s="835"/>
      <c r="O7" s="835"/>
      <c r="P7" s="793" t="s">
        <v>1051</v>
      </c>
      <c r="Q7" s="837" t="s">
        <v>1973</v>
      </c>
      <c r="R7" s="835"/>
      <c r="S7" s="461" t="s">
        <v>2088</v>
      </c>
      <c r="U7" s="2567" t="s">
        <v>2137</v>
      </c>
    </row>
    <row r="8" spans="2:21" ht="25.5" customHeight="1" x14ac:dyDescent="0.2">
      <c r="B8" s="799"/>
      <c r="C8" s="797"/>
      <c r="D8" s="1869" t="s">
        <v>389</v>
      </c>
      <c r="E8" s="1865"/>
      <c r="F8" s="1870"/>
      <c r="G8" s="478" t="s">
        <v>1028</v>
      </c>
      <c r="H8" s="479" t="s">
        <v>1029</v>
      </c>
      <c r="I8" s="479" t="s">
        <v>1030</v>
      </c>
      <c r="J8" s="795"/>
      <c r="K8" s="480" t="s">
        <v>1034</v>
      </c>
      <c r="L8" s="480" t="s">
        <v>1035</v>
      </c>
      <c r="M8" s="478" t="s">
        <v>1028</v>
      </c>
      <c r="N8" s="479" t="s">
        <v>1052</v>
      </c>
      <c r="O8" s="479" t="s">
        <v>1030</v>
      </c>
      <c r="P8" s="795"/>
      <c r="Q8" s="480" t="s">
        <v>1034</v>
      </c>
      <c r="R8" s="480" t="s">
        <v>1032</v>
      </c>
      <c r="S8" s="798"/>
      <c r="U8" s="846"/>
    </row>
    <row r="9" spans="2:21" ht="15.95" customHeight="1" thickBot="1" x14ac:dyDescent="0.25">
      <c r="B9" s="2574"/>
      <c r="C9" s="789"/>
      <c r="D9" s="1868" t="s">
        <v>1036</v>
      </c>
      <c r="E9" s="1866"/>
      <c r="F9" s="1867"/>
      <c r="G9" s="832" t="s">
        <v>1037</v>
      </c>
      <c r="H9" s="832"/>
      <c r="I9" s="832"/>
      <c r="J9" s="832"/>
      <c r="K9" s="832"/>
      <c r="L9" s="832"/>
      <c r="M9" s="831" t="s">
        <v>234</v>
      </c>
      <c r="N9" s="832"/>
      <c r="O9" s="832"/>
      <c r="P9" s="832"/>
      <c r="Q9" s="832"/>
      <c r="R9" s="832"/>
      <c r="S9" s="492" t="s">
        <v>1038</v>
      </c>
      <c r="U9" s="492" t="s">
        <v>1039</v>
      </c>
    </row>
    <row r="10" spans="2:21" ht="31.5" customHeight="1" thickTop="1" x14ac:dyDescent="0.2">
      <c r="B10" s="2255" t="s">
        <v>1053</v>
      </c>
      <c r="C10" s="2262"/>
      <c r="D10" s="3582">
        <f>IF(SUM(D11,D13)=0,"IE",SUM(D11,D13))</f>
        <v>39948.007220444815</v>
      </c>
      <c r="E10" s="3583">
        <f t="shared" ref="E10:F10" si="0">IF(SUM(E11,E13)=0,"IE",SUM(E11,E13))</f>
        <v>39945.007220444815</v>
      </c>
      <c r="F10" s="3584">
        <f t="shared" si="0"/>
        <v>3</v>
      </c>
      <c r="G10" s="3558">
        <f>IFERROR(IF(SUM($D10)=0,"NA",M10/$D10),"NA")</f>
        <v>1.2274030111509599E-3</v>
      </c>
      <c r="H10" s="3583">
        <f t="shared" ref="H10:J10" si="1">IFERROR(IF(SUM($D10)=0,"NA",N10/$D10),"NA")</f>
        <v>-2.425430121340634E-2</v>
      </c>
      <c r="I10" s="3583">
        <f t="shared" si="1"/>
        <v>-2.3026898202255383E-2</v>
      </c>
      <c r="J10" s="3583">
        <f t="shared" si="1"/>
        <v>-5.5260578777261453E-3</v>
      </c>
      <c r="K10" s="3585">
        <f>IFERROR(IF(SUM(E10)=0,"NA",Q10/E10),"NA")</f>
        <v>-4.1729858929140023E-2</v>
      </c>
      <c r="L10" s="3584">
        <f>IFERROR(IF(SUM(F10)=0,"NA",R10/F10),"NA")</f>
        <v>-12.475</v>
      </c>
      <c r="M10" s="3586">
        <f>IF(SUM(M11,M13)=0,"IE",SUM(M11,M13))</f>
        <v>49.032304351854251</v>
      </c>
      <c r="N10" s="3583">
        <f t="shared" ref="N10:S10" si="2">IF(SUM(N11,N13)=0,"IE",SUM(N11,N13))</f>
        <v>-968.91099999999994</v>
      </c>
      <c r="O10" s="3587">
        <f t="shared" si="2"/>
        <v>-919.87869564814571</v>
      </c>
      <c r="P10" s="3583">
        <f t="shared" si="2"/>
        <v>-220.755</v>
      </c>
      <c r="Q10" s="3585">
        <f t="shared" si="2"/>
        <v>-1666.8995162326419</v>
      </c>
      <c r="R10" s="3585">
        <f t="shared" si="2"/>
        <v>-37.424999999999997</v>
      </c>
      <c r="S10" s="3588">
        <f t="shared" si="2"/>
        <v>10431.513443562886</v>
      </c>
      <c r="U10" s="2261"/>
    </row>
    <row r="11" spans="2:21" ht="18" customHeight="1" x14ac:dyDescent="0.2">
      <c r="B11" s="499" t="s">
        <v>985</v>
      </c>
      <c r="C11" s="2256"/>
      <c r="D11" s="3589">
        <f>D12</f>
        <v>37670.980279417003</v>
      </c>
      <c r="E11" s="3078">
        <f t="shared" ref="E11" si="3">E12</f>
        <v>37670.980279417003</v>
      </c>
      <c r="F11" s="3078" t="str">
        <f t="shared" ref="F11" si="4">F12</f>
        <v>IE</v>
      </c>
      <c r="G11" s="3558">
        <f t="shared" ref="G11:G23" si="5">IFERROR(IF(SUM($D11)=0,"NA",M11/$D11),"NA")</f>
        <v>1.3015935340192075E-3</v>
      </c>
      <c r="H11" s="3078" t="str">
        <f t="shared" ref="H11:H23" si="6">IFERROR(IF(SUM($D11)=0,"NA",N11/$D11),"NA")</f>
        <v>NA</v>
      </c>
      <c r="I11" s="3078">
        <f t="shared" ref="I11:I23" si="7">IFERROR(IF(SUM($D11)=0,"NA",O11/$D11),"NA")</f>
        <v>1.3015935340192075E-3</v>
      </c>
      <c r="J11" s="3078" t="str">
        <f t="shared" ref="J11:J23" si="8">IFERROR(IF(SUM($D11)=0,"NA",P11/$D11),"NA")</f>
        <v>NA</v>
      </c>
      <c r="K11" s="3573">
        <f t="shared" ref="K11:K23" si="9">IFERROR(IF(SUM(E11)=0,"NA",Q11/E11),"NA")</f>
        <v>-3.6973944700068588E-2</v>
      </c>
      <c r="L11" s="3128" t="str">
        <f t="shared" ref="L11:L23" si="10">IFERROR(IF(SUM(F11)=0,"NA",R11/F11),"NA")</f>
        <v>NA</v>
      </c>
      <c r="M11" s="3590">
        <f t="shared" ref="M11" si="11">M12</f>
        <v>49.032304351854251</v>
      </c>
      <c r="N11" s="3591" t="str">
        <f t="shared" ref="N11" si="12">N12</f>
        <v>IE</v>
      </c>
      <c r="O11" s="3592">
        <f t="shared" ref="O11" si="13">O12</f>
        <v>49.032304351854251</v>
      </c>
      <c r="P11" s="3591" t="str">
        <f t="shared" ref="P11" si="14">P12</f>
        <v>NA</v>
      </c>
      <c r="Q11" s="3593">
        <f t="shared" ref="Q11" si="15">Q12</f>
        <v>-1392.8447416485385</v>
      </c>
      <c r="R11" s="3593" t="str">
        <f t="shared" ref="R11" si="16">R12</f>
        <v>IE</v>
      </c>
      <c r="S11" s="3594">
        <f t="shared" ref="S11" si="17">S12</f>
        <v>4927.3122700878421</v>
      </c>
      <c r="U11" s="2258"/>
    </row>
    <row r="12" spans="2:21" ht="18" customHeight="1" x14ac:dyDescent="0.2">
      <c r="B12" s="501"/>
      <c r="C12" s="508" t="s">
        <v>278</v>
      </c>
      <c r="D12" s="3568">
        <f>IF(SUM(E12:F12)=0,E12,SUM(E12:F12))</f>
        <v>37670.980279417003</v>
      </c>
      <c r="E12" s="3569">
        <v>37670.980279417003</v>
      </c>
      <c r="F12" s="3554" t="s">
        <v>2153</v>
      </c>
      <c r="G12" s="3558">
        <f t="shared" si="5"/>
        <v>1.3015935340192075E-3</v>
      </c>
      <c r="H12" s="3078" t="str">
        <f t="shared" si="6"/>
        <v>NA</v>
      </c>
      <c r="I12" s="3078">
        <f t="shared" si="7"/>
        <v>1.3015935340192075E-3</v>
      </c>
      <c r="J12" s="3078" t="str">
        <f t="shared" si="8"/>
        <v>NA</v>
      </c>
      <c r="K12" s="3573">
        <f t="shared" si="9"/>
        <v>-3.6973944700068588E-2</v>
      </c>
      <c r="L12" s="3128" t="str">
        <f t="shared" si="10"/>
        <v>NA</v>
      </c>
      <c r="M12" s="2905">
        <v>49.032304351854251</v>
      </c>
      <c r="N12" s="2905" t="s">
        <v>2153</v>
      </c>
      <c r="O12" s="3109">
        <f>IF(SUM(M12:N12)=0,M12,SUM(M12:N12))</f>
        <v>49.032304351854251</v>
      </c>
      <c r="P12" s="2905" t="s">
        <v>2147</v>
      </c>
      <c r="Q12" s="2906">
        <v>-1392.8447416485385</v>
      </c>
      <c r="R12" s="2906" t="s">
        <v>2153</v>
      </c>
      <c r="S12" s="3594">
        <f>IF(SUM(O12:R12)=0,Q12,SUM(O12:R12)*-44/12)</f>
        <v>4927.3122700878421</v>
      </c>
      <c r="U12" s="2398"/>
    </row>
    <row r="13" spans="2:21" ht="18" customHeight="1" x14ac:dyDescent="0.2">
      <c r="B13" s="485" t="s">
        <v>1054</v>
      </c>
      <c r="C13" s="504"/>
      <c r="D13" s="3589">
        <f>IF(SUM(D14,D16,D18,D20,D22)=0,"IE",SUM(D14,D16,D18,D20,D22))</f>
        <v>2277.026941027812</v>
      </c>
      <c r="E13" s="3591">
        <f t="shared" ref="E13:F13" si="18">IF(SUM(E14,E16,E18,E20,E22)=0,"IE",SUM(E14,E16,E18,E20,E22))</f>
        <v>2274.026941027812</v>
      </c>
      <c r="F13" s="3595">
        <f t="shared" si="18"/>
        <v>3</v>
      </c>
      <c r="G13" s="3558" t="str">
        <f t="shared" si="5"/>
        <v>NA</v>
      </c>
      <c r="H13" s="3078">
        <f t="shared" si="6"/>
        <v>-0.42551582615998812</v>
      </c>
      <c r="I13" s="3078">
        <f t="shared" si="7"/>
        <v>-0.42551582615998812</v>
      </c>
      <c r="J13" s="3078">
        <f t="shared" si="8"/>
        <v>-9.6948787044370613E-2</v>
      </c>
      <c r="K13" s="3573">
        <f t="shared" si="9"/>
        <v>-0.12051518372083858</v>
      </c>
      <c r="L13" s="3128">
        <f t="shared" si="10"/>
        <v>-12.475</v>
      </c>
      <c r="M13" s="3590" t="str">
        <f>IF(SUM(M14,M16,M18,M20,M22)=0,"IE",SUM(M14,M16,M18,M20,M22))</f>
        <v>IE</v>
      </c>
      <c r="N13" s="3591">
        <f t="shared" ref="N13" si="19">IF(SUM(N14,N16,N18,N20,N22)=0,"IE",SUM(N14,N16,N18,N20,N22))</f>
        <v>-968.91099999999994</v>
      </c>
      <c r="O13" s="3592">
        <f t="shared" ref="O13" si="20">IF(SUM(O14,O16,O18,O20,O22)=0,"IE",SUM(O14,O16,O18,O20,O22))</f>
        <v>-968.91099999999994</v>
      </c>
      <c r="P13" s="3592">
        <f t="shared" ref="P13" si="21">IF(SUM(P14,P16,P18,P20,P22)=0,"IE",SUM(P14,P16,P18,P20,P22))</f>
        <v>-220.755</v>
      </c>
      <c r="Q13" s="3592">
        <f t="shared" ref="Q13" si="22">IF(SUM(Q14,Q16,Q18,Q20,Q22)=0,"IE",SUM(Q14,Q16,Q18,Q20,Q22))</f>
        <v>-274.05477458410331</v>
      </c>
      <c r="R13" s="3592">
        <f t="shared" ref="R13" si="23">IF(SUM(R14,R16,R18,R20,R22)=0,"IE",SUM(R14,R16,R18,R20,R22))</f>
        <v>-37.424999999999997</v>
      </c>
      <c r="S13" s="3594">
        <f t="shared" ref="S13" si="24">IF(SUM(S14,S16,S18,S20,S22)=0,"IE",SUM(S14,S16,S18,S20,S22))</f>
        <v>5504.2011734750449</v>
      </c>
      <c r="U13" s="503"/>
    </row>
    <row r="14" spans="2:21" ht="18" customHeight="1" x14ac:dyDescent="0.2">
      <c r="B14" s="487" t="s">
        <v>1055</v>
      </c>
      <c r="C14" s="504"/>
      <c r="D14" s="3589">
        <f>D15</f>
        <v>2264.366</v>
      </c>
      <c r="E14" s="3078">
        <f t="shared" ref="E14" si="25">E15</f>
        <v>2264.366</v>
      </c>
      <c r="F14" s="3078" t="str">
        <f t="shared" ref="F14" si="26">F15</f>
        <v>IE</v>
      </c>
      <c r="G14" s="3558" t="str">
        <f t="shared" si="5"/>
        <v>NA</v>
      </c>
      <c r="H14" s="3078">
        <f t="shared" si="6"/>
        <v>-0.42789504876861778</v>
      </c>
      <c r="I14" s="3078">
        <f t="shared" si="7"/>
        <v>-0.42789504876861778</v>
      </c>
      <c r="J14" s="3078">
        <f t="shared" si="8"/>
        <v>-9.749086499267344E-2</v>
      </c>
      <c r="K14" s="3573">
        <f t="shared" si="9"/>
        <v>-0.10856504646333676</v>
      </c>
      <c r="L14" s="3128" t="str">
        <f t="shared" si="10"/>
        <v>NA</v>
      </c>
      <c r="M14" s="3590" t="str">
        <f t="shared" ref="M14" si="27">M15</f>
        <v>IE</v>
      </c>
      <c r="N14" s="3591">
        <f t="shared" ref="N14" si="28">N15</f>
        <v>-968.91099999999994</v>
      </c>
      <c r="O14" s="3592">
        <f t="shared" ref="O14" si="29">O15</f>
        <v>-968.91099999999994</v>
      </c>
      <c r="P14" s="3591">
        <f t="shared" ref="P14" si="30">P15</f>
        <v>-220.755</v>
      </c>
      <c r="Q14" s="3593">
        <f t="shared" ref="Q14" si="31">Q15</f>
        <v>-245.83099999999999</v>
      </c>
      <c r="R14" s="3593" t="str">
        <f t="shared" ref="R14" si="32">R15</f>
        <v>IE</v>
      </c>
      <c r="S14" s="3594">
        <f t="shared" ref="S14" si="33">S15</f>
        <v>5263.4889999999996</v>
      </c>
      <c r="U14" s="503"/>
    </row>
    <row r="15" spans="2:21" ht="18" customHeight="1" x14ac:dyDescent="0.2">
      <c r="B15" s="501"/>
      <c r="C15" s="508" t="s">
        <v>278</v>
      </c>
      <c r="D15" s="3568">
        <f>IF(SUM(E15:F15)=0,E15,SUM(E15:F15))</f>
        <v>2264.366</v>
      </c>
      <c r="E15" s="3569">
        <v>2264.366</v>
      </c>
      <c r="F15" s="3554" t="s">
        <v>2153</v>
      </c>
      <c r="G15" s="3558" t="str">
        <f t="shared" si="5"/>
        <v>NA</v>
      </c>
      <c r="H15" s="3078">
        <f t="shared" si="6"/>
        <v>-0.42789504876861778</v>
      </c>
      <c r="I15" s="3078">
        <f t="shared" si="7"/>
        <v>-0.42789504876861778</v>
      </c>
      <c r="J15" s="3078">
        <f t="shared" si="8"/>
        <v>-9.749086499267344E-2</v>
      </c>
      <c r="K15" s="3573">
        <f t="shared" si="9"/>
        <v>-0.10856504646333676</v>
      </c>
      <c r="L15" s="3128" t="str">
        <f t="shared" si="10"/>
        <v>NA</v>
      </c>
      <c r="M15" s="2905" t="s">
        <v>2153</v>
      </c>
      <c r="N15" s="2905">
        <v>-968.91099999999994</v>
      </c>
      <c r="O15" s="3109">
        <f>IF(SUM(M15:N15)=0,M15,SUM(M15:N15))</f>
        <v>-968.91099999999994</v>
      </c>
      <c r="P15" s="2905">
        <v>-220.755</v>
      </c>
      <c r="Q15" s="2906">
        <v>-245.83099999999999</v>
      </c>
      <c r="R15" s="2906" t="s">
        <v>2153</v>
      </c>
      <c r="S15" s="3594">
        <f>IF(SUM(O15:R15)=0,Q15,SUM(O15:R15)*-44/12)</f>
        <v>5263.4889999999996</v>
      </c>
      <c r="U15" s="2398"/>
    </row>
    <row r="16" spans="2:21" ht="18" customHeight="1" x14ac:dyDescent="0.2">
      <c r="B16" s="487" t="s">
        <v>1056</v>
      </c>
      <c r="C16" s="504"/>
      <c r="D16" s="3589" t="str">
        <f>D17</f>
        <v>IE</v>
      </c>
      <c r="E16" s="3078" t="str">
        <f t="shared" ref="E16" si="34">E17</f>
        <v>IE</v>
      </c>
      <c r="F16" s="3078" t="str">
        <f t="shared" ref="F16" si="35">F17</f>
        <v>IE</v>
      </c>
      <c r="G16" s="3558" t="str">
        <f t="shared" si="5"/>
        <v>NA</v>
      </c>
      <c r="H16" s="3078" t="str">
        <f t="shared" si="6"/>
        <v>NA</v>
      </c>
      <c r="I16" s="3078" t="str">
        <f t="shared" si="7"/>
        <v>NA</v>
      </c>
      <c r="J16" s="3078" t="str">
        <f t="shared" si="8"/>
        <v>NA</v>
      </c>
      <c r="K16" s="3573" t="str">
        <f t="shared" si="9"/>
        <v>NA</v>
      </c>
      <c r="L16" s="3128" t="str">
        <f t="shared" si="10"/>
        <v>NA</v>
      </c>
      <c r="M16" s="3590" t="str">
        <f t="shared" ref="M16" si="36">M17</f>
        <v>NA</v>
      </c>
      <c r="N16" s="3591" t="str">
        <f t="shared" ref="N16" si="37">N17</f>
        <v>NA</v>
      </c>
      <c r="O16" s="3592" t="str">
        <f t="shared" ref="O16" si="38">O17</f>
        <v>NA</v>
      </c>
      <c r="P16" s="3591" t="str">
        <f t="shared" ref="P16" si="39">P17</f>
        <v>NA</v>
      </c>
      <c r="Q16" s="3593" t="str">
        <f t="shared" ref="Q16" si="40">Q17</f>
        <v>IE</v>
      </c>
      <c r="R16" s="3593" t="str">
        <f t="shared" ref="R16" si="41">R17</f>
        <v>IE</v>
      </c>
      <c r="S16" s="3594" t="str">
        <f t="shared" ref="S16" si="42">S17</f>
        <v>IE</v>
      </c>
      <c r="U16" s="503"/>
    </row>
    <row r="17" spans="2:21" ht="18" customHeight="1" x14ac:dyDescent="0.2">
      <c r="B17" s="500"/>
      <c r="C17" s="508" t="s">
        <v>278</v>
      </c>
      <c r="D17" s="3568" t="str">
        <f>IF(SUM(E17:F17)=0,E17,SUM(E17:F17))</f>
        <v>IE</v>
      </c>
      <c r="E17" s="3569" t="s">
        <v>2153</v>
      </c>
      <c r="F17" s="3554" t="s">
        <v>2153</v>
      </c>
      <c r="G17" s="3558" t="str">
        <f t="shared" si="5"/>
        <v>NA</v>
      </c>
      <c r="H17" s="3078" t="str">
        <f t="shared" si="6"/>
        <v>NA</v>
      </c>
      <c r="I17" s="3078" t="str">
        <f t="shared" si="7"/>
        <v>NA</v>
      </c>
      <c r="J17" s="3078" t="str">
        <f t="shared" si="8"/>
        <v>NA</v>
      </c>
      <c r="K17" s="3573" t="str">
        <f t="shared" si="9"/>
        <v>NA</v>
      </c>
      <c r="L17" s="3128" t="str">
        <f t="shared" si="10"/>
        <v>NA</v>
      </c>
      <c r="M17" s="2905" t="s">
        <v>2147</v>
      </c>
      <c r="N17" s="2905" t="s">
        <v>2147</v>
      </c>
      <c r="O17" s="3109" t="str">
        <f>IF(SUM(M17:N17)=0,M17,SUM(M17:N17))</f>
        <v>NA</v>
      </c>
      <c r="P17" s="2905" t="s">
        <v>2147</v>
      </c>
      <c r="Q17" s="2906" t="s">
        <v>2153</v>
      </c>
      <c r="R17" s="2906" t="s">
        <v>2153</v>
      </c>
      <c r="S17" s="3594" t="str">
        <f>IF(SUM(O17:R17)=0,Q17,SUM(O17:R17)*-44/12)</f>
        <v>IE</v>
      </c>
      <c r="U17" s="2398"/>
    </row>
    <row r="18" spans="2:21" ht="18" customHeight="1" x14ac:dyDescent="0.2">
      <c r="B18" s="487" t="s">
        <v>1057</v>
      </c>
      <c r="C18" s="504"/>
      <c r="D18" s="3589">
        <f>D19</f>
        <v>12.660941027812148</v>
      </c>
      <c r="E18" s="3078">
        <f t="shared" ref="E18" si="43">E19</f>
        <v>9.6609410278121484</v>
      </c>
      <c r="F18" s="3078">
        <f t="shared" ref="F18" si="44">F19</f>
        <v>3</v>
      </c>
      <c r="G18" s="3558" t="str">
        <f t="shared" si="5"/>
        <v>NA</v>
      </c>
      <c r="H18" s="3078" t="str">
        <f t="shared" si="6"/>
        <v>NA</v>
      </c>
      <c r="I18" s="3078" t="str">
        <f t="shared" si="7"/>
        <v>NA</v>
      </c>
      <c r="J18" s="3078" t="str">
        <f t="shared" si="8"/>
        <v>NA</v>
      </c>
      <c r="K18" s="3573">
        <f t="shared" si="9"/>
        <v>-2.9214312045640329</v>
      </c>
      <c r="L18" s="3128">
        <f t="shared" si="10"/>
        <v>-12.475</v>
      </c>
      <c r="M18" s="3590" t="str">
        <f t="shared" ref="M18" si="45">M19</f>
        <v>NA</v>
      </c>
      <c r="N18" s="3591" t="str">
        <f t="shared" ref="N18" si="46">N19</f>
        <v>NA</v>
      </c>
      <c r="O18" s="3592" t="str">
        <f t="shared" ref="O18" si="47">O19</f>
        <v>NA</v>
      </c>
      <c r="P18" s="3591" t="str">
        <f t="shared" ref="P18" si="48">P19</f>
        <v>NA</v>
      </c>
      <c r="Q18" s="3593">
        <f t="shared" ref="Q18" si="49">Q19</f>
        <v>-28.223774584103332</v>
      </c>
      <c r="R18" s="3593">
        <f t="shared" ref="R18" si="50">R19</f>
        <v>-37.424999999999997</v>
      </c>
      <c r="S18" s="3594">
        <f t="shared" ref="S18" si="51">S19</f>
        <v>240.71217347504557</v>
      </c>
      <c r="U18" s="503"/>
    </row>
    <row r="19" spans="2:21" ht="18" customHeight="1" x14ac:dyDescent="0.2">
      <c r="B19" s="500"/>
      <c r="C19" s="508" t="s">
        <v>278</v>
      </c>
      <c r="D19" s="3568">
        <f>IF(SUM(E19:F19)=0,E19,SUM(E19:F19))</f>
        <v>12.660941027812148</v>
      </c>
      <c r="E19" s="3569">
        <v>9.6609410278121484</v>
      </c>
      <c r="F19" s="3554">
        <v>3</v>
      </c>
      <c r="G19" s="3558" t="str">
        <f t="shared" si="5"/>
        <v>NA</v>
      </c>
      <c r="H19" s="3078" t="str">
        <f t="shared" si="6"/>
        <v>NA</v>
      </c>
      <c r="I19" s="3078" t="str">
        <f t="shared" si="7"/>
        <v>NA</v>
      </c>
      <c r="J19" s="3078" t="str">
        <f t="shared" si="8"/>
        <v>NA</v>
      </c>
      <c r="K19" s="3573">
        <f t="shared" si="9"/>
        <v>-2.9214312045640329</v>
      </c>
      <c r="L19" s="3128">
        <f t="shared" si="10"/>
        <v>-12.475</v>
      </c>
      <c r="M19" s="2905" t="s">
        <v>2147</v>
      </c>
      <c r="N19" s="2905" t="s">
        <v>2147</v>
      </c>
      <c r="O19" s="3109" t="str">
        <f>IF(SUM(M19:N19)=0,M19,SUM(M19:N19))</f>
        <v>NA</v>
      </c>
      <c r="P19" s="2905" t="s">
        <v>2147</v>
      </c>
      <c r="Q19" s="2906">
        <v>-28.223774584103332</v>
      </c>
      <c r="R19" s="2906">
        <v>-37.424999999999997</v>
      </c>
      <c r="S19" s="3594">
        <f>IF(SUM(O19:R19)=0,Q19,SUM(O19:R19)*-44/12)</f>
        <v>240.71217347504557</v>
      </c>
      <c r="U19" s="2398"/>
    </row>
    <row r="20" spans="2:21" ht="18" customHeight="1" x14ac:dyDescent="0.2">
      <c r="B20" s="487" t="s">
        <v>1058</v>
      </c>
      <c r="C20" s="504"/>
      <c r="D20" s="3589" t="str">
        <f>D21</f>
        <v>NO</v>
      </c>
      <c r="E20" s="3078" t="str">
        <f t="shared" ref="E20" si="52">E21</f>
        <v>NO</v>
      </c>
      <c r="F20" s="3078" t="str">
        <f t="shared" ref="F20" si="53">F21</f>
        <v>NO</v>
      </c>
      <c r="G20" s="3558" t="str">
        <f t="shared" si="5"/>
        <v>NA</v>
      </c>
      <c r="H20" s="3078" t="str">
        <f t="shared" si="6"/>
        <v>NA</v>
      </c>
      <c r="I20" s="3078" t="str">
        <f t="shared" si="7"/>
        <v>NA</v>
      </c>
      <c r="J20" s="3078" t="str">
        <f t="shared" si="8"/>
        <v>NA</v>
      </c>
      <c r="K20" s="3573" t="str">
        <f t="shared" si="9"/>
        <v>NA</v>
      </c>
      <c r="L20" s="3128" t="str">
        <f t="shared" si="10"/>
        <v>NA</v>
      </c>
      <c r="M20" s="3590" t="str">
        <f t="shared" ref="M20" si="54">M21</f>
        <v>NO</v>
      </c>
      <c r="N20" s="3591" t="str">
        <f t="shared" ref="N20" si="55">N21</f>
        <v>NO</v>
      </c>
      <c r="O20" s="3592" t="str">
        <f t="shared" ref="O20" si="56">O21</f>
        <v>NO</v>
      </c>
      <c r="P20" s="3591" t="str">
        <f t="shared" ref="P20" si="57">P21</f>
        <v>NO</v>
      </c>
      <c r="Q20" s="3593" t="str">
        <f t="shared" ref="Q20" si="58">Q21</f>
        <v>NO</v>
      </c>
      <c r="R20" s="3593" t="str">
        <f t="shared" ref="R20" si="59">R21</f>
        <v>NO</v>
      </c>
      <c r="S20" s="3594" t="str">
        <f t="shared" ref="S20" si="60">S21</f>
        <v>NO</v>
      </c>
      <c r="U20" s="503"/>
    </row>
    <row r="21" spans="2:21" ht="18" customHeight="1" x14ac:dyDescent="0.2">
      <c r="B21" s="500"/>
      <c r="C21" s="508" t="s">
        <v>278</v>
      </c>
      <c r="D21" s="3568" t="str">
        <f>IF(SUM(E21:F21)=0,E21,SUM(E21:F21))</f>
        <v>NO</v>
      </c>
      <c r="E21" s="3569" t="s">
        <v>2146</v>
      </c>
      <c r="F21" s="3554" t="s">
        <v>2146</v>
      </c>
      <c r="G21" s="3558" t="str">
        <f t="shared" si="5"/>
        <v>NA</v>
      </c>
      <c r="H21" s="3078" t="str">
        <f t="shared" si="6"/>
        <v>NA</v>
      </c>
      <c r="I21" s="3078" t="str">
        <f t="shared" si="7"/>
        <v>NA</v>
      </c>
      <c r="J21" s="3078" t="str">
        <f t="shared" si="8"/>
        <v>NA</v>
      </c>
      <c r="K21" s="3573" t="str">
        <f t="shared" si="9"/>
        <v>NA</v>
      </c>
      <c r="L21" s="3128" t="str">
        <f t="shared" si="10"/>
        <v>NA</v>
      </c>
      <c r="M21" s="2905" t="s">
        <v>2146</v>
      </c>
      <c r="N21" s="2905" t="s">
        <v>2146</v>
      </c>
      <c r="O21" s="3109" t="str">
        <f>IF(SUM(M21:N21)=0,M21,SUM(M21:N21))</f>
        <v>NO</v>
      </c>
      <c r="P21" s="2905" t="s">
        <v>2146</v>
      </c>
      <c r="Q21" s="2906" t="s">
        <v>2146</v>
      </c>
      <c r="R21" s="2906" t="s">
        <v>2146</v>
      </c>
      <c r="S21" s="3594" t="str">
        <f>IF(SUM(O21:R21)=0,Q21,SUM(O21:R21)*-44/12)</f>
        <v>NO</v>
      </c>
      <c r="U21" s="2398"/>
    </row>
    <row r="22" spans="2:21" ht="18" customHeight="1" x14ac:dyDescent="0.2">
      <c r="B22" s="487" t="s">
        <v>1059</v>
      </c>
      <c r="C22" s="504"/>
      <c r="D22" s="3589" t="str">
        <f>D23</f>
        <v>NO</v>
      </c>
      <c r="E22" s="3078" t="str">
        <f t="shared" ref="E22:S22" si="61">E23</f>
        <v>NO</v>
      </c>
      <c r="F22" s="3078" t="str">
        <f t="shared" si="61"/>
        <v>NO</v>
      </c>
      <c r="G22" s="3558" t="str">
        <f t="shared" si="5"/>
        <v>NA</v>
      </c>
      <c r="H22" s="3078" t="str">
        <f t="shared" si="6"/>
        <v>NA</v>
      </c>
      <c r="I22" s="3078" t="str">
        <f t="shared" si="7"/>
        <v>NA</v>
      </c>
      <c r="J22" s="3078" t="str">
        <f t="shared" si="8"/>
        <v>NA</v>
      </c>
      <c r="K22" s="3573" t="str">
        <f t="shared" si="9"/>
        <v>NA</v>
      </c>
      <c r="L22" s="3128" t="str">
        <f t="shared" si="10"/>
        <v>NA</v>
      </c>
      <c r="M22" s="3590" t="str">
        <f t="shared" si="61"/>
        <v>NO</v>
      </c>
      <c r="N22" s="3591" t="str">
        <f t="shared" si="61"/>
        <v>NO</v>
      </c>
      <c r="O22" s="3592" t="str">
        <f t="shared" si="61"/>
        <v>NO</v>
      </c>
      <c r="P22" s="3591" t="str">
        <f t="shared" si="61"/>
        <v>NO</v>
      </c>
      <c r="Q22" s="3593" t="str">
        <f t="shared" si="61"/>
        <v>NO</v>
      </c>
      <c r="R22" s="3593" t="str">
        <f t="shared" si="61"/>
        <v>NO</v>
      </c>
      <c r="S22" s="3594" t="str">
        <f t="shared" si="61"/>
        <v>NO</v>
      </c>
      <c r="U22" s="503"/>
    </row>
    <row r="23" spans="2:21" ht="18" customHeight="1" thickBot="1" x14ac:dyDescent="0.25">
      <c r="B23" s="858"/>
      <c r="C23" s="510" t="s">
        <v>278</v>
      </c>
      <c r="D23" s="3596" t="str">
        <f>IF(SUM(E23:F23)=0,E23,SUM(E23:F23))</f>
        <v>NO</v>
      </c>
      <c r="E23" s="3575" t="s">
        <v>2146</v>
      </c>
      <c r="F23" s="3576" t="s">
        <v>2146</v>
      </c>
      <c r="G23" s="3577" t="str">
        <f t="shared" si="5"/>
        <v>NA</v>
      </c>
      <c r="H23" s="3138" t="str">
        <f t="shared" si="6"/>
        <v>NA</v>
      </c>
      <c r="I23" s="3138" t="str">
        <f t="shared" si="7"/>
        <v>NA</v>
      </c>
      <c r="J23" s="3138" t="str">
        <f t="shared" si="8"/>
        <v>NA</v>
      </c>
      <c r="K23" s="3597" t="str">
        <f t="shared" si="9"/>
        <v>NA</v>
      </c>
      <c r="L23" s="3578" t="str">
        <f t="shared" si="10"/>
        <v>NA</v>
      </c>
      <c r="M23" s="3137" t="s">
        <v>2146</v>
      </c>
      <c r="N23" s="3137" t="s">
        <v>2146</v>
      </c>
      <c r="O23" s="3579" t="str">
        <f>IF(SUM(M23:N23)=0,M23,SUM(M23:N23))</f>
        <v>NO</v>
      </c>
      <c r="P23" s="3137" t="s">
        <v>2146</v>
      </c>
      <c r="Q23" s="3580" t="s">
        <v>2146</v>
      </c>
      <c r="R23" s="3580" t="s">
        <v>2146</v>
      </c>
      <c r="S23" s="3598" t="str">
        <f>IF(SUM(O23:R23)=0,Q23,SUM(O23:R23)*-44/12)</f>
        <v>NO</v>
      </c>
      <c r="U23" s="2399"/>
    </row>
    <row r="24" spans="2:21" ht="13.5" x14ac:dyDescent="0.2">
      <c r="B24" s="792"/>
      <c r="C24" s="792"/>
      <c r="D24" s="792"/>
      <c r="E24" s="792"/>
      <c r="F24" s="792"/>
      <c r="G24" s="792"/>
      <c r="H24" s="792"/>
      <c r="I24" s="792"/>
      <c r="J24" s="792"/>
      <c r="K24" s="792"/>
      <c r="L24" s="792"/>
      <c r="M24" s="792"/>
      <c r="N24" s="792"/>
      <c r="O24"/>
      <c r="P24"/>
      <c r="Q24"/>
      <c r="R24"/>
      <c r="S24"/>
    </row>
    <row r="25" spans="2:21" ht="13.5" x14ac:dyDescent="0.2">
      <c r="B25" s="866"/>
      <c r="C25" s="792"/>
      <c r="D25" s="792"/>
      <c r="E25" s="792"/>
      <c r="F25" s="792"/>
      <c r="G25" s="792"/>
      <c r="H25" s="792"/>
      <c r="I25" s="792"/>
      <c r="J25" s="792"/>
      <c r="K25" s="792"/>
      <c r="L25" s="792"/>
      <c r="M25" s="792"/>
      <c r="N25" s="792"/>
      <c r="O25"/>
      <c r="P25"/>
      <c r="Q25"/>
      <c r="R25"/>
      <c r="S25"/>
    </row>
    <row r="26" spans="2:21" ht="13.5" x14ac:dyDescent="0.2">
      <c r="B26" s="866"/>
      <c r="C26" s="792"/>
      <c r="D26" s="792"/>
      <c r="E26" s="792"/>
      <c r="F26" s="792"/>
      <c r="G26" s="792"/>
      <c r="H26" s="792"/>
      <c r="I26" s="792"/>
      <c r="J26" s="792"/>
      <c r="K26" s="792"/>
      <c r="L26" s="792"/>
      <c r="M26" s="792"/>
      <c r="N26" s="792"/>
      <c r="O26"/>
      <c r="P26"/>
      <c r="Q26"/>
      <c r="R26"/>
      <c r="S26"/>
    </row>
    <row r="27" spans="2:21" ht="13.5" x14ac:dyDescent="0.2">
      <c r="B27" s="792"/>
      <c r="C27" s="792"/>
      <c r="D27" s="792"/>
      <c r="E27" s="792"/>
      <c r="F27" s="792"/>
      <c r="G27" s="792"/>
      <c r="H27" s="792"/>
      <c r="I27" s="792"/>
      <c r="J27" s="792"/>
      <c r="K27" s="792"/>
      <c r="L27" s="792"/>
      <c r="M27" s="792"/>
      <c r="N27" s="792"/>
      <c r="O27" s="247"/>
      <c r="P27" s="247"/>
      <c r="Q27" s="247"/>
      <c r="R27" s="247"/>
      <c r="S27" s="247"/>
    </row>
    <row r="28" spans="2:21" ht="13.5" x14ac:dyDescent="0.2">
      <c r="B28" s="791"/>
      <c r="C28" s="791"/>
      <c r="D28" s="791"/>
      <c r="E28" s="791"/>
      <c r="F28" s="791"/>
      <c r="G28" s="791"/>
      <c r="H28" s="791"/>
      <c r="I28" s="791"/>
      <c r="J28" s="791"/>
      <c r="K28" s="791"/>
      <c r="L28" s="791"/>
      <c r="M28" s="791"/>
      <c r="N28" s="791"/>
      <c r="O28" s="247"/>
      <c r="P28" s="247"/>
      <c r="Q28" s="247"/>
      <c r="R28" s="247"/>
      <c r="S28" s="247"/>
    </row>
    <row r="29" spans="2:21" ht="13.5" x14ac:dyDescent="0.2">
      <c r="B29" s="790"/>
      <c r="C29" s="790"/>
      <c r="D29" s="790"/>
      <c r="E29" s="790"/>
      <c r="F29" s="790"/>
      <c r="G29" s="790"/>
      <c r="H29" s="790"/>
      <c r="I29" s="790"/>
      <c r="J29" s="790"/>
      <c r="K29" s="790"/>
      <c r="L29" s="790"/>
      <c r="M29" s="790"/>
      <c r="N29" s="247"/>
      <c r="O29" s="247"/>
      <c r="P29" s="247"/>
      <c r="Q29" s="247"/>
      <c r="R29" s="247"/>
      <c r="S29" s="247"/>
    </row>
    <row r="30" spans="2:21" ht="13.5" x14ac:dyDescent="0.2">
      <c r="B30" s="790"/>
      <c r="C30" s="790"/>
      <c r="D30" s="790"/>
      <c r="E30" s="790"/>
      <c r="F30" s="790"/>
      <c r="G30" s="790"/>
      <c r="H30" s="790"/>
      <c r="I30" s="790"/>
      <c r="J30" s="790"/>
      <c r="K30" s="790"/>
      <c r="L30" s="790"/>
      <c r="M30" s="247"/>
      <c r="N30" s="247"/>
      <c r="O30" s="247"/>
      <c r="P30" s="247"/>
      <c r="Q30" s="247"/>
      <c r="R30" s="247"/>
      <c r="S30" s="247"/>
    </row>
    <row r="31" spans="2:21" ht="13.5" x14ac:dyDescent="0.2">
      <c r="B31" s="790"/>
      <c r="C31" s="790"/>
      <c r="D31" s="790"/>
      <c r="E31" s="790"/>
      <c r="F31" s="790"/>
      <c r="G31" s="790"/>
      <c r="H31" s="790"/>
      <c r="I31" s="790"/>
      <c r="J31" s="790"/>
      <c r="K31" s="790"/>
      <c r="L31" s="790"/>
      <c r="M31" s="790"/>
      <c r="N31" s="247"/>
      <c r="O31" s="247"/>
      <c r="P31" s="247"/>
      <c r="Q31" s="247"/>
      <c r="R31" s="247"/>
      <c r="S31" s="247"/>
    </row>
    <row r="32" spans="2:21" ht="13.5" x14ac:dyDescent="0.2">
      <c r="B32" s="790"/>
      <c r="C32" s="790"/>
      <c r="D32" s="790"/>
      <c r="E32" s="790"/>
      <c r="F32" s="790"/>
      <c r="G32" s="790"/>
      <c r="H32" s="790"/>
      <c r="I32" s="790"/>
      <c r="J32" s="790"/>
      <c r="K32" s="790"/>
      <c r="L32" s="790"/>
      <c r="M32" s="790"/>
      <c r="N32" s="247"/>
      <c r="O32" s="247"/>
      <c r="P32" s="247"/>
      <c r="Q32" s="247"/>
      <c r="R32" s="247"/>
      <c r="S32" s="247"/>
    </row>
    <row r="33" spans="2:19" ht="13.5" x14ac:dyDescent="0.2">
      <c r="B33" s="788"/>
      <c r="C33" s="788"/>
      <c r="D33" s="788"/>
      <c r="E33" s="788"/>
      <c r="F33" s="788"/>
      <c r="G33" s="788"/>
      <c r="H33" s="788"/>
      <c r="I33" s="788"/>
      <c r="J33" s="788"/>
      <c r="K33" s="788"/>
      <c r="L33" s="788"/>
      <c r="M33" s="788"/>
      <c r="N33" s="247"/>
      <c r="O33" s="247"/>
      <c r="P33" s="247"/>
      <c r="Q33" s="247"/>
      <c r="R33" s="247"/>
      <c r="S33" s="247"/>
    </row>
    <row r="34" spans="2:19" ht="13.5" x14ac:dyDescent="0.2">
      <c r="B34" s="788"/>
      <c r="C34" s="788"/>
      <c r="D34" s="788"/>
      <c r="E34" s="788"/>
      <c r="F34" s="788"/>
      <c r="G34" s="788"/>
      <c r="H34" s="788"/>
      <c r="I34" s="788"/>
      <c r="J34" s="788"/>
      <c r="K34" s="788"/>
      <c r="L34" s="788"/>
      <c r="M34" s="788"/>
      <c r="N34" s="247"/>
      <c r="O34" s="247"/>
      <c r="P34" s="247"/>
      <c r="Q34" s="247"/>
      <c r="R34" s="247"/>
      <c r="S34" s="247"/>
    </row>
    <row r="35" spans="2:19" ht="13.5" x14ac:dyDescent="0.2">
      <c r="B35" s="788"/>
      <c r="C35" s="788"/>
      <c r="D35" s="788"/>
      <c r="E35" s="788"/>
      <c r="F35" s="788"/>
      <c r="G35" s="788"/>
      <c r="H35" s="788"/>
      <c r="I35" s="788"/>
      <c r="J35" s="788"/>
      <c r="K35" s="788"/>
      <c r="L35" s="788"/>
      <c r="M35" s="788"/>
      <c r="N35" s="247"/>
      <c r="O35" s="247"/>
      <c r="P35" s="247"/>
      <c r="Q35" s="247"/>
      <c r="R35" s="247"/>
      <c r="S35" s="247"/>
    </row>
    <row r="36" spans="2:19" ht="13.5" x14ac:dyDescent="0.2">
      <c r="B36" s="788"/>
      <c r="C36" s="788"/>
      <c r="D36" s="788"/>
      <c r="E36" s="788"/>
      <c r="F36" s="788"/>
      <c r="G36" s="788"/>
      <c r="H36" s="788"/>
      <c r="I36" s="788"/>
      <c r="J36" s="788"/>
      <c r="K36" s="788"/>
      <c r="L36" s="788"/>
      <c r="M36" s="788"/>
      <c r="N36" s="247"/>
      <c r="O36" s="247"/>
      <c r="P36" s="247"/>
      <c r="Q36" s="247"/>
      <c r="R36" s="247"/>
      <c r="S36" s="247"/>
    </row>
    <row r="37" spans="2:19" ht="13.5" x14ac:dyDescent="0.2">
      <c r="B37" s="788"/>
      <c r="C37" s="788"/>
      <c r="D37" s="788"/>
      <c r="E37" s="788"/>
      <c r="F37" s="788"/>
      <c r="G37" s="788"/>
      <c r="H37" s="788"/>
      <c r="I37" s="788"/>
      <c r="J37" s="788"/>
      <c r="K37" s="788"/>
      <c r="L37" s="788"/>
      <c r="M37" s="788"/>
      <c r="N37" s="247"/>
      <c r="O37" s="247"/>
      <c r="P37" s="247"/>
      <c r="Q37" s="247"/>
      <c r="R37" s="247"/>
      <c r="S37" s="247"/>
    </row>
    <row r="38" spans="2:19" ht="13.5" x14ac:dyDescent="0.2">
      <c r="B38" s="788"/>
      <c r="C38" s="788"/>
      <c r="D38" s="788"/>
      <c r="E38" s="788"/>
      <c r="F38" s="788"/>
      <c r="G38" s="788"/>
      <c r="H38" s="788"/>
      <c r="I38" s="788"/>
      <c r="J38" s="788"/>
      <c r="K38" s="788"/>
      <c r="L38" s="788"/>
      <c r="M38" s="788"/>
      <c r="N38" s="247"/>
      <c r="O38" s="247"/>
      <c r="P38" s="247"/>
      <c r="Q38" s="247"/>
      <c r="R38" s="247"/>
      <c r="S38" s="247"/>
    </row>
    <row r="39" spans="2:19" ht="13.5" x14ac:dyDescent="0.2">
      <c r="B39" s="788"/>
      <c r="C39" s="788"/>
      <c r="D39" s="788"/>
      <c r="E39" s="788"/>
      <c r="F39" s="788"/>
      <c r="G39" s="788"/>
      <c r="H39" s="788"/>
      <c r="I39" s="788"/>
      <c r="J39" s="788"/>
      <c r="K39" s="788"/>
      <c r="L39" s="788"/>
      <c r="M39" s="788"/>
      <c r="N39" s="247"/>
      <c r="O39" s="247"/>
      <c r="P39" s="247"/>
      <c r="Q39" s="247"/>
      <c r="R39" s="247"/>
      <c r="S39" s="247"/>
    </row>
    <row r="40" spans="2:19" ht="13.5" x14ac:dyDescent="0.2">
      <c r="B40" s="788"/>
      <c r="C40" s="788"/>
      <c r="D40" s="788"/>
      <c r="E40" s="788"/>
      <c r="F40" s="788"/>
      <c r="G40" s="788"/>
      <c r="H40" s="788"/>
      <c r="I40" s="788"/>
      <c r="J40" s="788"/>
      <c r="K40" s="788"/>
      <c r="L40" s="788"/>
      <c r="M40" s="788"/>
      <c r="N40" s="247"/>
      <c r="O40" s="247"/>
      <c r="P40" s="247"/>
      <c r="Q40" s="247"/>
      <c r="R40" s="247"/>
      <c r="S40" s="247"/>
    </row>
    <row r="41" spans="2:19" ht="14.25" thickBot="1" x14ac:dyDescent="0.25">
      <c r="B41" s="498"/>
      <c r="C41" s="498"/>
      <c r="D41" s="498"/>
      <c r="E41" s="498"/>
      <c r="F41" s="498"/>
      <c r="G41" s="498"/>
      <c r="H41" s="498"/>
      <c r="I41" s="498"/>
      <c r="J41" s="498"/>
      <c r="K41" s="498"/>
      <c r="L41" s="498"/>
      <c r="M41" s="498"/>
      <c r="N41" s="498"/>
      <c r="O41" s="247"/>
      <c r="P41" s="247"/>
      <c r="Q41" s="247"/>
      <c r="R41" s="247"/>
      <c r="S41" s="247"/>
    </row>
    <row r="42" spans="2:19" ht="12.75" x14ac:dyDescent="0.2">
      <c r="B42" s="849" t="s">
        <v>390</v>
      </c>
      <c r="C42" s="850"/>
      <c r="D42" s="850"/>
      <c r="E42" s="850"/>
      <c r="F42" s="850"/>
      <c r="G42" s="850"/>
      <c r="H42" s="850"/>
      <c r="I42" s="850"/>
      <c r="J42" s="850"/>
      <c r="K42" s="850"/>
      <c r="L42" s="850"/>
      <c r="M42" s="850"/>
      <c r="N42" s="850"/>
      <c r="O42" s="850"/>
      <c r="P42" s="850"/>
      <c r="Q42" s="850"/>
      <c r="R42" s="850"/>
      <c r="S42" s="851"/>
    </row>
    <row r="43" spans="2:19" ht="12.75" x14ac:dyDescent="0.2">
      <c r="B43" s="1329"/>
      <c r="C43" s="1333"/>
      <c r="D43" s="1333"/>
      <c r="E43" s="1333"/>
      <c r="F43" s="1333"/>
      <c r="G43" s="1333"/>
      <c r="H43" s="1333"/>
      <c r="I43" s="1333"/>
      <c r="J43" s="1333"/>
      <c r="K43" s="1333"/>
      <c r="L43" s="1333"/>
      <c r="M43" s="1333"/>
      <c r="N43" s="1333"/>
      <c r="O43" s="1333"/>
      <c r="P43" s="1333"/>
      <c r="Q43" s="1333"/>
      <c r="R43" s="1333"/>
      <c r="S43" s="1334"/>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3.5" thickBot="1" x14ac:dyDescent="0.25">
      <c r="B45" s="855"/>
      <c r="C45" s="864"/>
      <c r="D45" s="864"/>
      <c r="E45" s="864"/>
      <c r="F45" s="864"/>
      <c r="G45" s="864"/>
      <c r="H45" s="864"/>
      <c r="I45" s="864"/>
      <c r="J45" s="864"/>
      <c r="K45" s="864"/>
      <c r="L45" s="864"/>
      <c r="M45" s="864"/>
      <c r="N45" s="864"/>
      <c r="O45" s="864"/>
      <c r="P45" s="864"/>
      <c r="Q45" s="864"/>
      <c r="R45" s="864"/>
      <c r="S45" s="865"/>
    </row>
    <row r="46" spans="2:19" ht="27.75" customHeight="1" thickBot="1" x14ac:dyDescent="0.25">
      <c r="B46" s="4480" t="s">
        <v>2225</v>
      </c>
      <c r="C46" s="4481"/>
      <c r="D46" s="4481"/>
      <c r="E46" s="4481"/>
      <c r="F46" s="4481"/>
      <c r="G46" s="4481"/>
      <c r="H46" s="4481"/>
      <c r="I46" s="4481"/>
      <c r="J46" s="4481"/>
      <c r="K46" s="4481"/>
      <c r="L46" s="4481"/>
      <c r="M46" s="4481"/>
      <c r="N46" s="4481"/>
      <c r="O46" s="4481"/>
      <c r="P46" s="4481"/>
      <c r="Q46" s="4481"/>
      <c r="R46" s="4481"/>
      <c r="S46" s="4482"/>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0" sqref="D10"/>
    </sheetView>
  </sheetViews>
  <sheetFormatPr defaultColWidth="8" defaultRowHeight="12" customHeight="1" x14ac:dyDescent="0.2"/>
  <cols>
    <col min="1" max="1" width="1.85546875" style="83" customWidth="1"/>
    <col min="2" max="2" width="36.5703125" style="83" customWidth="1"/>
    <col min="3" max="3" width="18.5703125" style="83" bestFit="1" customWidth="1"/>
    <col min="4" max="6" width="11.28515625" style="83" customWidth="1"/>
    <col min="7" max="9" width="9.140625" style="83" customWidth="1"/>
    <col min="10" max="10" width="18.140625" style="83" customWidth="1"/>
    <col min="11" max="12" width="11.85546875" style="83" customWidth="1"/>
    <col min="13" max="15" width="10.570312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1060</v>
      </c>
      <c r="S1" s="14" t="s">
        <v>2521</v>
      </c>
    </row>
    <row r="2" spans="2:21" ht="15.75" x14ac:dyDescent="0.25">
      <c r="B2" s="13" t="s">
        <v>1061</v>
      </c>
      <c r="S2" s="14" t="s">
        <v>2522</v>
      </c>
    </row>
    <row r="3" spans="2:21" ht="15.75" x14ac:dyDescent="0.25">
      <c r="B3" s="13" t="s">
        <v>62</v>
      </c>
      <c r="S3" s="14" t="s">
        <v>2144</v>
      </c>
    </row>
    <row r="4" spans="2:21" ht="15.75" x14ac:dyDescent="0.25">
      <c r="B4" s="13"/>
      <c r="S4" s="2"/>
    </row>
    <row r="5" spans="2:21" ht="24.75" thickBot="1" x14ac:dyDescent="0.25">
      <c r="B5" s="2446" t="s">
        <v>64</v>
      </c>
      <c r="S5" s="491"/>
      <c r="U5" s="2569" t="s">
        <v>1049</v>
      </c>
    </row>
    <row r="6" spans="2:21" ht="13.5" x14ac:dyDescent="0.2">
      <c r="B6" s="829" t="s">
        <v>65</v>
      </c>
      <c r="C6" s="830"/>
      <c r="D6" s="824" t="s">
        <v>419</v>
      </c>
      <c r="E6" s="826"/>
      <c r="F6" s="826"/>
      <c r="G6" s="824" t="s">
        <v>1016</v>
      </c>
      <c r="H6" s="826"/>
      <c r="I6" s="826"/>
      <c r="J6" s="826"/>
      <c r="K6" s="826"/>
      <c r="L6" s="825"/>
      <c r="M6" s="824" t="s">
        <v>1017</v>
      </c>
      <c r="N6" s="826"/>
      <c r="O6" s="826"/>
      <c r="P6" s="826"/>
      <c r="Q6" s="826"/>
      <c r="R6" s="826"/>
      <c r="S6" s="458"/>
      <c r="U6" s="2568" t="s">
        <v>2138</v>
      </c>
    </row>
    <row r="7" spans="2:21" ht="48" x14ac:dyDescent="0.2">
      <c r="B7" s="859" t="s">
        <v>1018</v>
      </c>
      <c r="C7" s="796" t="s">
        <v>1019</v>
      </c>
      <c r="D7" s="859" t="s">
        <v>1020</v>
      </c>
      <c r="E7" s="793" t="s">
        <v>1021</v>
      </c>
      <c r="F7" s="800" t="s">
        <v>1022</v>
      </c>
      <c r="G7" s="834" t="s">
        <v>1969</v>
      </c>
      <c r="H7" s="835"/>
      <c r="I7" s="836"/>
      <c r="J7" s="793" t="s">
        <v>1050</v>
      </c>
      <c r="K7" s="837" t="s">
        <v>1025</v>
      </c>
      <c r="L7" s="838"/>
      <c r="M7" s="835" t="s">
        <v>1974</v>
      </c>
      <c r="N7" s="835"/>
      <c r="O7" s="835"/>
      <c r="P7" s="793" t="s">
        <v>1062</v>
      </c>
      <c r="Q7" s="837" t="s">
        <v>1975</v>
      </c>
      <c r="R7" s="835"/>
      <c r="S7" s="461" t="s">
        <v>2087</v>
      </c>
      <c r="U7" s="2567" t="s">
        <v>2137</v>
      </c>
    </row>
    <row r="8" spans="2:21" ht="24" x14ac:dyDescent="0.2">
      <c r="B8" s="862"/>
      <c r="C8" s="797"/>
      <c r="D8" s="1869" t="s">
        <v>389</v>
      </c>
      <c r="E8" s="1865"/>
      <c r="F8" s="1870"/>
      <c r="G8" s="478" t="s">
        <v>1028</v>
      </c>
      <c r="H8" s="479" t="s">
        <v>1029</v>
      </c>
      <c r="I8" s="479" t="s">
        <v>1030</v>
      </c>
      <c r="J8" s="795"/>
      <c r="K8" s="480" t="s">
        <v>1034</v>
      </c>
      <c r="L8" s="480" t="s">
        <v>1063</v>
      </c>
      <c r="M8" s="478" t="s">
        <v>1028</v>
      </c>
      <c r="N8" s="479" t="s">
        <v>1064</v>
      </c>
      <c r="O8" s="479" t="s">
        <v>1030</v>
      </c>
      <c r="P8" s="795"/>
      <c r="Q8" s="480" t="s">
        <v>1034</v>
      </c>
      <c r="R8" s="480" t="s">
        <v>1032</v>
      </c>
      <c r="S8" s="798"/>
      <c r="U8" s="846"/>
    </row>
    <row r="9" spans="2:21" ht="14.25" thickBot="1" x14ac:dyDescent="0.25">
      <c r="B9" s="863"/>
      <c r="C9" s="797"/>
      <c r="D9" s="1868" t="s">
        <v>1036</v>
      </c>
      <c r="E9" s="1866"/>
      <c r="F9" s="1867"/>
      <c r="G9" s="832" t="s">
        <v>1037</v>
      </c>
      <c r="H9" s="832"/>
      <c r="I9" s="832"/>
      <c r="J9" s="832"/>
      <c r="K9" s="832"/>
      <c r="L9" s="832"/>
      <c r="M9" s="831" t="s">
        <v>234</v>
      </c>
      <c r="N9" s="832"/>
      <c r="O9" s="832"/>
      <c r="P9" s="832"/>
      <c r="Q9" s="832"/>
      <c r="R9" s="832"/>
      <c r="S9" s="492" t="s">
        <v>1038</v>
      </c>
      <c r="U9" s="492" t="s">
        <v>1039</v>
      </c>
    </row>
    <row r="10" spans="2:21" ht="18" customHeight="1" thickTop="1" x14ac:dyDescent="0.2">
      <c r="B10" s="2255" t="s">
        <v>1065</v>
      </c>
      <c r="C10" s="2262"/>
      <c r="D10" s="3582">
        <f>IF(SUM(D11,D15)=0,"IE",SUM(D11,D15))</f>
        <v>522213.51639246743</v>
      </c>
      <c r="E10" s="3583">
        <f t="shared" ref="E10:F10" si="0">IF(SUM(E11,E15)=0,"IE",SUM(E11,E15))</f>
        <v>522212.51639246743</v>
      </c>
      <c r="F10" s="3584">
        <f t="shared" si="0"/>
        <v>1</v>
      </c>
      <c r="G10" s="3558" t="str">
        <f>IFERROR(IF(SUM($D10)=0,"NA",M10/$D10),"NA")</f>
        <v>NA</v>
      </c>
      <c r="H10" s="3583">
        <f t="shared" ref="H10:J10" si="1">IFERROR(IF(SUM($D10)=0,"NA",N10/$D10),"NA")</f>
        <v>-3.8975995590710612E-2</v>
      </c>
      <c r="I10" s="3583">
        <f t="shared" si="1"/>
        <v>-3.8975995590710612E-2</v>
      </c>
      <c r="J10" s="3583">
        <f t="shared" si="1"/>
        <v>-5.6134278584489099E-3</v>
      </c>
      <c r="K10" s="3585">
        <f>IFERROR(IF(SUM(E10)=0,"NA",Q10/E10),"NA")</f>
        <v>-5.3754545442852462E-3</v>
      </c>
      <c r="L10" s="3584">
        <f>IFERROR(IF(SUM(F10)=0,"NA",R10/F10),"NA")</f>
        <v>-8.7249999999999996</v>
      </c>
      <c r="M10" s="3586" t="str">
        <f>IF(SUM(M11,M15)=0,"IE",SUM(M11,M15))</f>
        <v>IE</v>
      </c>
      <c r="N10" s="3583">
        <f t="shared" ref="N10:S10" si="2">IF(SUM(N11,N15)=0,"IE",SUM(N11,N15))</f>
        <v>-20353.791712322294</v>
      </c>
      <c r="O10" s="3587">
        <f t="shared" si="2"/>
        <v>-20353.791712322294</v>
      </c>
      <c r="P10" s="3583">
        <f t="shared" si="2"/>
        <v>-2931.407900976043</v>
      </c>
      <c r="Q10" s="3585">
        <f t="shared" si="2"/>
        <v>-2807.1296443245228</v>
      </c>
      <c r="R10" s="3585">
        <f t="shared" si="2"/>
        <v>-8.7249999999999996</v>
      </c>
      <c r="S10" s="3588">
        <f t="shared" si="2"/>
        <v>95703.865611283807</v>
      </c>
      <c r="U10" s="2261"/>
    </row>
    <row r="11" spans="2:21" ht="18" customHeight="1" x14ac:dyDescent="0.2">
      <c r="B11" s="493" t="s">
        <v>988</v>
      </c>
      <c r="C11" s="483"/>
      <c r="D11" s="3599">
        <f>IF(SUM(D12:D14)=0,"IE",SUM(D12:D14))</f>
        <v>509014.39757102099</v>
      </c>
      <c r="E11" s="3564">
        <f t="shared" ref="E11:F11" si="3">IF(SUM(E12:E14)=0,"IE",SUM(E12:E14))</f>
        <v>509014.39757102099</v>
      </c>
      <c r="F11" s="3565" t="str">
        <f t="shared" si="3"/>
        <v>IE</v>
      </c>
      <c r="G11" s="3599" t="str">
        <f t="shared" ref="G11:G26" si="4">IFERROR(IF(SUM($D11)=0,"NA",M11/$D11),"NA")</f>
        <v>NA</v>
      </c>
      <c r="H11" s="3109">
        <f t="shared" ref="H11:H26" si="5">IFERROR(IF(SUM($D11)=0,"NA",N11/$D11),"NA")</f>
        <v>-4.8472820017506028E-3</v>
      </c>
      <c r="I11" s="3109">
        <f t="shared" ref="I11:I26" si="6">IFERROR(IF(SUM($D11)=0,"NA",O11/$D11),"NA")</f>
        <v>-4.8472820017506028E-3</v>
      </c>
      <c r="J11" s="3109">
        <f t="shared" ref="J11:J26" si="7">IFERROR(IF(SUM($D11)=0,"NA",P11/$D11),"NA")</f>
        <v>-1.700320861080368E-4</v>
      </c>
      <c r="K11" s="3566">
        <f t="shared" ref="K11:K26" si="8">IFERROR(IF(SUM(E11)=0,"NA",Q11/E11),"NA")</f>
        <v>-1.4118456923627415E-3</v>
      </c>
      <c r="L11" s="3249" t="str">
        <f t="shared" ref="L11:L26" si="9">IFERROR(IF(SUM(F11)=0,"NA",R11/F11),"NA")</f>
        <v>NA</v>
      </c>
      <c r="M11" s="3109" t="str">
        <f>IF(SUM(M12:M14)=0,"IE",SUM(M12:M14))</f>
        <v>IE</v>
      </c>
      <c r="N11" s="3109">
        <f t="shared" ref="N11:O11" si="10">IF(SUM(N12:N14)=0,"IE",SUM(N12:N14))</f>
        <v>-2467.336327977936</v>
      </c>
      <c r="O11" s="3109">
        <f t="shared" si="10"/>
        <v>-2467.336327977936</v>
      </c>
      <c r="P11" s="3109">
        <f t="shared" ref="P11" si="11">IF(SUM(P12:P14)=0,"IE",SUM(P12:P14))</f>
        <v>-86.548779878026323</v>
      </c>
      <c r="Q11" s="3566">
        <f t="shared" ref="Q11" si="12">IF(SUM(Q12:Q14)=0,"IE",SUM(Q12:Q14))</f>
        <v>-718.64978456126187</v>
      </c>
      <c r="R11" s="3566" t="str">
        <f t="shared" ref="R11" si="13">IF(SUM(R12:R14)=0,"IE",SUM(R12:R14))</f>
        <v>IE</v>
      </c>
      <c r="S11" s="3567">
        <f t="shared" ref="S11" si="14">IF(SUM(S12:S14)=0,"IE",SUM(S12:S14))</f>
        <v>11999.294605529823</v>
      </c>
      <c r="U11" s="2397"/>
    </row>
    <row r="12" spans="2:21" ht="18" customHeight="1" x14ac:dyDescent="0.2">
      <c r="B12" s="499"/>
      <c r="C12" s="484" t="s">
        <v>2226</v>
      </c>
      <c r="D12" s="3600">
        <f>IF(SUM(E12:F12)=0,E12,SUM(E12:F12))</f>
        <v>70456.100045431216</v>
      </c>
      <c r="E12" s="3569">
        <v>70456.100045431216</v>
      </c>
      <c r="F12" s="3554" t="s">
        <v>2153</v>
      </c>
      <c r="G12" s="3558" t="str">
        <f t="shared" si="4"/>
        <v>NA</v>
      </c>
      <c r="H12" s="3078">
        <f t="shared" si="5"/>
        <v>-5.3975169405338433E-3</v>
      </c>
      <c r="I12" s="3078">
        <f t="shared" si="6"/>
        <v>-5.3975169405338433E-3</v>
      </c>
      <c r="J12" s="3078">
        <f t="shared" si="7"/>
        <v>-1.0795033881067675E-3</v>
      </c>
      <c r="K12" s="3573">
        <f t="shared" si="8"/>
        <v>-4.3180135524270701E-3</v>
      </c>
      <c r="L12" s="3128" t="str">
        <f t="shared" si="9"/>
        <v>NA</v>
      </c>
      <c r="M12" s="2905" t="s">
        <v>2153</v>
      </c>
      <c r="N12" s="2905">
        <v>-380.28799355916226</v>
      </c>
      <c r="O12" s="3109">
        <f>IF(SUM(M12:N12)=0,M12,SUM(M12:N12))</f>
        <v>-380.28799355916226</v>
      </c>
      <c r="P12" s="2905">
        <v>-76.05759871183237</v>
      </c>
      <c r="Q12" s="2906">
        <v>-304.23039484732948</v>
      </c>
      <c r="R12" s="2906" t="s">
        <v>2153</v>
      </c>
      <c r="S12" s="3570">
        <f>IF(SUM(O12:R12)=0,Q12,SUM(O12:R12)*-44/12)</f>
        <v>2788.7786194338551</v>
      </c>
      <c r="U12" s="2398"/>
    </row>
    <row r="13" spans="2:21" ht="18" customHeight="1" x14ac:dyDescent="0.2">
      <c r="B13" s="499"/>
      <c r="C13" s="484" t="s">
        <v>2227</v>
      </c>
      <c r="D13" s="3600">
        <f>IF(SUM(E13:F13)=0,E13,SUM(E13:F13))</f>
        <v>438558.29752558976</v>
      </c>
      <c r="E13" s="3569">
        <v>438558.29752558976</v>
      </c>
      <c r="F13" s="3554" t="s">
        <v>2153</v>
      </c>
      <c r="G13" s="3558" t="str">
        <f t="shared" si="4"/>
        <v>NA</v>
      </c>
      <c r="H13" s="3078" t="str">
        <f t="shared" si="5"/>
        <v>NA</v>
      </c>
      <c r="I13" s="3078" t="str">
        <f t="shared" si="6"/>
        <v>NA</v>
      </c>
      <c r="J13" s="3078" t="str">
        <f t="shared" si="7"/>
        <v>NA</v>
      </c>
      <c r="K13" s="3573">
        <f t="shared" si="8"/>
        <v>-9.4495849708498827E-4</v>
      </c>
      <c r="L13" s="3128" t="str">
        <f t="shared" si="9"/>
        <v>NA</v>
      </c>
      <c r="M13" s="2905" t="s">
        <v>2147</v>
      </c>
      <c r="N13" s="2905" t="s">
        <v>2147</v>
      </c>
      <c r="O13" s="3109" t="str">
        <f>IF(SUM(M13:N13)=0,M13,SUM(M13:N13))</f>
        <v>NA</v>
      </c>
      <c r="P13" s="2905" t="s">
        <v>2147</v>
      </c>
      <c r="Q13" s="2906">
        <v>-414.41938971393245</v>
      </c>
      <c r="R13" s="2906" t="s">
        <v>2153</v>
      </c>
      <c r="S13" s="3570">
        <f>IF(SUM(O13:R13)=0,Q13,SUM(O13:R13)*-44/12)</f>
        <v>1519.5377622844189</v>
      </c>
      <c r="U13" s="2398"/>
    </row>
    <row r="14" spans="2:21" ht="18" customHeight="1" x14ac:dyDescent="0.2">
      <c r="B14" s="499"/>
      <c r="C14" s="2683" t="s">
        <v>2233</v>
      </c>
      <c r="D14" s="3600" t="str">
        <f>IF(SUM(E14:F14)=0,E14,SUM(E14:F14))</f>
        <v>IE</v>
      </c>
      <c r="E14" s="3569" t="s">
        <v>2153</v>
      </c>
      <c r="F14" s="3554" t="s">
        <v>2153</v>
      </c>
      <c r="G14" s="3558" t="str">
        <f t="shared" si="4"/>
        <v>NA</v>
      </c>
      <c r="H14" s="3078" t="str">
        <f t="shared" si="5"/>
        <v>NA</v>
      </c>
      <c r="I14" s="3078" t="str">
        <f t="shared" si="6"/>
        <v>NA</v>
      </c>
      <c r="J14" s="3078" t="str">
        <f t="shared" si="7"/>
        <v>NA</v>
      </c>
      <c r="K14" s="3573" t="str">
        <f t="shared" si="8"/>
        <v>NA</v>
      </c>
      <c r="L14" s="3128" t="str">
        <f t="shared" si="9"/>
        <v>NA</v>
      </c>
      <c r="M14" s="2905" t="s">
        <v>2153</v>
      </c>
      <c r="N14" s="2905">
        <v>-2087.0483344187737</v>
      </c>
      <c r="O14" s="3109">
        <f>IF(SUM(M14:N14)=0,M14,SUM(M14:N14))</f>
        <v>-2087.0483344187737</v>
      </c>
      <c r="P14" s="2905">
        <v>-10.491181166193954</v>
      </c>
      <c r="Q14" s="2906" t="s">
        <v>2147</v>
      </c>
      <c r="R14" s="2906" t="s">
        <v>2147</v>
      </c>
      <c r="S14" s="3570">
        <f>IF(SUM(O14:R14)=0,Q14,SUM(O14:R14)*-44/12)</f>
        <v>7690.9782238115486</v>
      </c>
      <c r="U14" s="2398"/>
    </row>
    <row r="15" spans="2:21" ht="18" customHeight="1" x14ac:dyDescent="0.2">
      <c r="B15" s="485" t="s">
        <v>1066</v>
      </c>
      <c r="C15" s="486"/>
      <c r="D15" s="3589">
        <f>IF(SUM(D16,D19,D21,D23,D25)=0,"IE",SUM(D16,D19,D21,D23,D25))</f>
        <v>13199.118821446424</v>
      </c>
      <c r="E15" s="3591">
        <f t="shared" ref="E15:F15" si="15">IF(SUM(E16,E19,E21,E23,E25)=0,"IE",SUM(E16,E19,E21,E23,E25))</f>
        <v>13198.118821446424</v>
      </c>
      <c r="F15" s="3595">
        <f t="shared" si="15"/>
        <v>1</v>
      </c>
      <c r="G15" s="3558" t="str">
        <f t="shared" si="4"/>
        <v>NA</v>
      </c>
      <c r="H15" s="3078">
        <f t="shared" si="5"/>
        <v>-1.3551249614695318</v>
      </c>
      <c r="I15" s="3078">
        <f t="shared" si="6"/>
        <v>-1.3551249614695318</v>
      </c>
      <c r="J15" s="3078">
        <f t="shared" si="7"/>
        <v>-0.21553401856460166</v>
      </c>
      <c r="K15" s="3573">
        <f t="shared" si="8"/>
        <v>-0.15824072263765068</v>
      </c>
      <c r="L15" s="3128">
        <f t="shared" si="9"/>
        <v>-8.7249999999999996</v>
      </c>
      <c r="M15" s="3590" t="str">
        <f>IF(SUM(M16,M19,M21,M23,M25)=0,"IE",SUM(M16,M19,M21,M23,M25))</f>
        <v>IE</v>
      </c>
      <c r="N15" s="3591">
        <f t="shared" ref="N15:S15" si="16">IF(SUM(N16,N19,N21,N23,N25)=0,"IE",SUM(N16,N19,N21,N23,N25))</f>
        <v>-17886.455384344357</v>
      </c>
      <c r="O15" s="3592">
        <f t="shared" si="16"/>
        <v>-17886.455384344357</v>
      </c>
      <c r="P15" s="3592">
        <f t="shared" si="16"/>
        <v>-2844.8591210980167</v>
      </c>
      <c r="Q15" s="3592">
        <f t="shared" si="16"/>
        <v>-2088.4798597632607</v>
      </c>
      <c r="R15" s="3592">
        <f t="shared" si="16"/>
        <v>-8.7249999999999996</v>
      </c>
      <c r="S15" s="3594">
        <f t="shared" si="16"/>
        <v>83704.571005753984</v>
      </c>
      <c r="U15" s="2019"/>
    </row>
    <row r="16" spans="2:21" ht="18" customHeight="1" x14ac:dyDescent="0.2">
      <c r="B16" s="500" t="s">
        <v>1067</v>
      </c>
      <c r="C16" s="486"/>
      <c r="D16" s="3599">
        <f>IF(SUM(D17:D18)=0,"IE",SUM(D17:D18))</f>
        <v>13150.241388909877</v>
      </c>
      <c r="E16" s="3564">
        <f t="shared" ref="E16:F16" si="17">IF(SUM(E17:E18)=0,"IE",SUM(E17:E18))</f>
        <v>13150.241388909877</v>
      </c>
      <c r="F16" s="3565" t="str">
        <f t="shared" si="17"/>
        <v>IE</v>
      </c>
      <c r="G16" s="3558" t="str">
        <f t="shared" si="4"/>
        <v>NA</v>
      </c>
      <c r="H16" s="3078">
        <f t="shared" si="5"/>
        <v>-1.3601617533369934</v>
      </c>
      <c r="I16" s="3078">
        <f t="shared" si="6"/>
        <v>-1.3601617533369934</v>
      </c>
      <c r="J16" s="3078">
        <f t="shared" si="7"/>
        <v>-0.2163351254903351</v>
      </c>
      <c r="K16" s="3573">
        <f t="shared" si="8"/>
        <v>-0.14981368056138647</v>
      </c>
      <c r="L16" s="3128" t="str">
        <f t="shared" si="9"/>
        <v>NA</v>
      </c>
      <c r="M16" s="3506" t="str">
        <f>IF(SUM(M17:M18)=0,"IE",SUM(M17:M18))</f>
        <v>IE</v>
      </c>
      <c r="N16" s="3506">
        <f t="shared" ref="N16:O16" si="18">IF(SUM(N17:N18)=0,"IE",SUM(N17:N18))</f>
        <v>-17886.455384344357</v>
      </c>
      <c r="O16" s="3506">
        <f t="shared" si="18"/>
        <v>-17886.455384344357</v>
      </c>
      <c r="P16" s="3506">
        <f t="shared" ref="P16" si="19">IF(SUM(P17:P18)=0,"IE",SUM(P17:P18))</f>
        <v>-2844.8591210980167</v>
      </c>
      <c r="Q16" s="3601">
        <f t="shared" ref="Q16" si="20">IF(SUM(Q17:Q18)=0,"IE",SUM(Q17:Q18))</f>
        <v>-1970.0860627432673</v>
      </c>
      <c r="R16" s="3601" t="str">
        <f t="shared" ref="R16" si="21">IF(SUM(R17:R18)=0,"IE",SUM(R17:R18))</f>
        <v>IE</v>
      </c>
      <c r="S16" s="3287">
        <f t="shared" ref="S16" si="22">IF(SUM(S17:S18)=0,"IE",SUM(S17:S18))</f>
        <v>83238.468750014013</v>
      </c>
      <c r="U16" s="2400"/>
    </row>
    <row r="17" spans="2:21" ht="18" customHeight="1" x14ac:dyDescent="0.2">
      <c r="B17" s="500"/>
      <c r="C17" s="484" t="s">
        <v>2228</v>
      </c>
      <c r="D17" s="3600">
        <f>IF(SUM(E17:F17)=0,E17,SUM(E17:F17))</f>
        <v>13150.241388909877</v>
      </c>
      <c r="E17" s="3569">
        <v>13150.241388909877</v>
      </c>
      <c r="F17" s="3554" t="s">
        <v>2153</v>
      </c>
      <c r="G17" s="3558" t="str">
        <f t="shared" si="4"/>
        <v>NA</v>
      </c>
      <c r="H17" s="3078">
        <f t="shared" si="5"/>
        <v>-1.3594816595847474</v>
      </c>
      <c r="I17" s="3078">
        <f t="shared" si="6"/>
        <v>-1.3594816595847474</v>
      </c>
      <c r="J17" s="3078">
        <f t="shared" si="7"/>
        <v>-0.21626598011864942</v>
      </c>
      <c r="K17" s="3573">
        <f t="shared" si="8"/>
        <v>-0.14981368056138647</v>
      </c>
      <c r="L17" s="3128" t="str">
        <f t="shared" si="9"/>
        <v>NA</v>
      </c>
      <c r="M17" s="2905" t="s">
        <v>2153</v>
      </c>
      <c r="N17" s="2905">
        <v>-17877.511987335234</v>
      </c>
      <c r="O17" s="3109">
        <f>IF(SUM(M17:N17)=0,M17,SUM(M17:N17))</f>
        <v>-17877.511987335234</v>
      </c>
      <c r="P17" s="2905">
        <v>-2843.9498427694243</v>
      </c>
      <c r="Q17" s="2906">
        <v>-1970.0860627432673</v>
      </c>
      <c r="R17" s="2906" t="s">
        <v>2153</v>
      </c>
      <c r="S17" s="3570">
        <f>IF(SUM(O17:R17)=0,Q17,SUM(O17:R17)*-44/12)</f>
        <v>83202.342273775721</v>
      </c>
      <c r="U17" s="2398"/>
    </row>
    <row r="18" spans="2:21" ht="18" customHeight="1" x14ac:dyDescent="0.2">
      <c r="B18" s="500"/>
      <c r="C18" s="2683" t="s">
        <v>2233</v>
      </c>
      <c r="D18" s="3600" t="str">
        <f>IF(SUM(E18:F18)=0,E18,SUM(E18:F18))</f>
        <v>IE</v>
      </c>
      <c r="E18" s="3602" t="s">
        <v>2153</v>
      </c>
      <c r="F18" s="3603" t="s">
        <v>2153</v>
      </c>
      <c r="G18" s="3558" t="str">
        <f t="shared" si="4"/>
        <v>NA</v>
      </c>
      <c r="H18" s="3078" t="str">
        <f t="shared" si="5"/>
        <v>NA</v>
      </c>
      <c r="I18" s="3078" t="str">
        <f t="shared" si="6"/>
        <v>NA</v>
      </c>
      <c r="J18" s="3078" t="str">
        <f t="shared" si="7"/>
        <v>NA</v>
      </c>
      <c r="K18" s="3573" t="str">
        <f t="shared" si="8"/>
        <v>NA</v>
      </c>
      <c r="L18" s="3128" t="str">
        <f t="shared" si="9"/>
        <v>NA</v>
      </c>
      <c r="M18" s="2905" t="s">
        <v>2153</v>
      </c>
      <c r="N18" s="2905">
        <v>-8.94339700912297</v>
      </c>
      <c r="O18" s="3109">
        <f>IF(SUM(M18:N18)=0,M18,SUM(M18:N18))</f>
        <v>-8.94339700912297</v>
      </c>
      <c r="P18" s="2905">
        <v>-0.90927832859245072</v>
      </c>
      <c r="Q18" s="2906" t="s">
        <v>2147</v>
      </c>
      <c r="R18" s="2906" t="s">
        <v>2147</v>
      </c>
      <c r="S18" s="3570">
        <f>IF(SUM(O18:R18)=0,Q18,SUM(O18:R18)*-44/12)</f>
        <v>36.126476238289875</v>
      </c>
      <c r="U18" s="2398"/>
    </row>
    <row r="19" spans="2:21" ht="18" customHeight="1" x14ac:dyDescent="0.2">
      <c r="B19" s="487" t="s">
        <v>1068</v>
      </c>
      <c r="C19" s="486"/>
      <c r="D19" s="3600" t="str">
        <f>D20</f>
        <v>IE</v>
      </c>
      <c r="E19" s="3564" t="str">
        <f t="shared" ref="E19:F19" si="23">E20</f>
        <v>IE</v>
      </c>
      <c r="F19" s="3565" t="str">
        <f t="shared" si="23"/>
        <v>IE</v>
      </c>
      <c r="G19" s="3558" t="str">
        <f t="shared" si="4"/>
        <v>NA</v>
      </c>
      <c r="H19" s="3078" t="str">
        <f t="shared" si="5"/>
        <v>NA</v>
      </c>
      <c r="I19" s="3078" t="str">
        <f t="shared" si="6"/>
        <v>NA</v>
      </c>
      <c r="J19" s="3078" t="str">
        <f t="shared" si="7"/>
        <v>NA</v>
      </c>
      <c r="K19" s="3573" t="str">
        <f t="shared" si="8"/>
        <v>NA</v>
      </c>
      <c r="L19" s="3128" t="str">
        <f t="shared" si="9"/>
        <v>NA</v>
      </c>
      <c r="M19" s="3506" t="str">
        <f t="shared" ref="M19:S19" si="24">M20</f>
        <v>IE</v>
      </c>
      <c r="N19" s="3506" t="str">
        <f t="shared" si="24"/>
        <v>IE</v>
      </c>
      <c r="O19" s="3506" t="str">
        <f t="shared" ref="M19:S23" si="25">O20</f>
        <v>IE</v>
      </c>
      <c r="P19" s="3506" t="str">
        <f t="shared" si="24"/>
        <v>IE</v>
      </c>
      <c r="Q19" s="3601" t="str">
        <f t="shared" si="24"/>
        <v>IE</v>
      </c>
      <c r="R19" s="3601" t="str">
        <f t="shared" si="24"/>
        <v>IE</v>
      </c>
      <c r="S19" s="3287" t="str">
        <f t="shared" si="24"/>
        <v>IE</v>
      </c>
      <c r="U19" s="2400"/>
    </row>
    <row r="20" spans="2:21" ht="18" customHeight="1" x14ac:dyDescent="0.2">
      <c r="B20" s="500"/>
      <c r="C20" s="484" t="s">
        <v>278</v>
      </c>
      <c r="D20" s="3600" t="str">
        <f>IF(SUM(E20:F20)=0,E20,SUM(E20:F20))</f>
        <v>IE</v>
      </c>
      <c r="E20" s="3569" t="s">
        <v>2153</v>
      </c>
      <c r="F20" s="3554" t="s">
        <v>2153</v>
      </c>
      <c r="G20" s="3558" t="str">
        <f t="shared" si="4"/>
        <v>NA</v>
      </c>
      <c r="H20" s="3078" t="str">
        <f t="shared" si="5"/>
        <v>NA</v>
      </c>
      <c r="I20" s="3078" t="str">
        <f t="shared" si="6"/>
        <v>NA</v>
      </c>
      <c r="J20" s="3078" t="str">
        <f t="shared" si="7"/>
        <v>NA</v>
      </c>
      <c r="K20" s="3573" t="str">
        <f t="shared" si="8"/>
        <v>NA</v>
      </c>
      <c r="L20" s="3128" t="str">
        <f t="shared" si="9"/>
        <v>NA</v>
      </c>
      <c r="M20" s="2905" t="s">
        <v>2153</v>
      </c>
      <c r="N20" s="2905" t="s">
        <v>2153</v>
      </c>
      <c r="O20" s="3109" t="str">
        <f>IF(SUM(M20:N20)=0,M20,SUM(M20:N20))</f>
        <v>IE</v>
      </c>
      <c r="P20" s="2905" t="s">
        <v>2153</v>
      </c>
      <c r="Q20" s="2906" t="s">
        <v>2153</v>
      </c>
      <c r="R20" s="2906" t="s">
        <v>2153</v>
      </c>
      <c r="S20" s="3570" t="str">
        <f>IF(SUM(O20:R20)=0,Q20,SUM(O20:R20)*-44/12)</f>
        <v>IE</v>
      </c>
      <c r="U20" s="2398"/>
    </row>
    <row r="21" spans="2:21" ht="18" customHeight="1" x14ac:dyDescent="0.2">
      <c r="B21" s="487" t="s">
        <v>1069</v>
      </c>
      <c r="C21" s="486"/>
      <c r="D21" s="3600">
        <f>D22</f>
        <v>48.877432536546301</v>
      </c>
      <c r="E21" s="3564">
        <f t="shared" ref="E21" si="26">E22</f>
        <v>47.877432536546301</v>
      </c>
      <c r="F21" s="3565">
        <f t="shared" ref="F21" si="27">F22</f>
        <v>1</v>
      </c>
      <c r="G21" s="3600" t="str">
        <f t="shared" si="4"/>
        <v>NA</v>
      </c>
      <c r="H21" s="3506" t="str">
        <f t="shared" si="5"/>
        <v>NA</v>
      </c>
      <c r="I21" s="3506" t="str">
        <f t="shared" si="6"/>
        <v>NA</v>
      </c>
      <c r="J21" s="3506" t="str">
        <f t="shared" si="7"/>
        <v>NA</v>
      </c>
      <c r="K21" s="3601">
        <f t="shared" si="8"/>
        <v>-2.4728518374417749</v>
      </c>
      <c r="L21" s="3507">
        <f t="shared" si="9"/>
        <v>-8.7249999999999996</v>
      </c>
      <c r="M21" s="3506" t="str">
        <f t="shared" ref="M21:S21" si="28">M22</f>
        <v>NA</v>
      </c>
      <c r="N21" s="3506" t="str">
        <f t="shared" si="28"/>
        <v>NA</v>
      </c>
      <c r="O21" s="3506" t="str">
        <f t="shared" si="25"/>
        <v>NA</v>
      </c>
      <c r="P21" s="3506" t="str">
        <f t="shared" si="28"/>
        <v>NA</v>
      </c>
      <c r="Q21" s="3601">
        <f t="shared" si="28"/>
        <v>-118.39379701999314</v>
      </c>
      <c r="R21" s="3601">
        <f t="shared" si="28"/>
        <v>-8.7249999999999996</v>
      </c>
      <c r="S21" s="3287">
        <f t="shared" si="28"/>
        <v>466.10225573997485</v>
      </c>
      <c r="U21" s="2400"/>
    </row>
    <row r="22" spans="2:21" ht="18" customHeight="1" x14ac:dyDescent="0.2">
      <c r="B22" s="500"/>
      <c r="C22" s="484" t="s">
        <v>278</v>
      </c>
      <c r="D22" s="3600">
        <f>IF(SUM(E22:F22)=0,E22,SUM(E22:F22))</f>
        <v>48.877432536546301</v>
      </c>
      <c r="E22" s="3569">
        <v>47.877432536546301</v>
      </c>
      <c r="F22" s="3554">
        <v>1</v>
      </c>
      <c r="G22" s="3600" t="str">
        <f t="shared" si="4"/>
        <v>NA</v>
      </c>
      <c r="H22" s="3506" t="str">
        <f t="shared" si="5"/>
        <v>NA</v>
      </c>
      <c r="I22" s="3506" t="str">
        <f t="shared" si="6"/>
        <v>NA</v>
      </c>
      <c r="J22" s="3506" t="str">
        <f t="shared" si="7"/>
        <v>NA</v>
      </c>
      <c r="K22" s="3601">
        <f t="shared" si="8"/>
        <v>-2.4728518374417749</v>
      </c>
      <c r="L22" s="3507">
        <f t="shared" si="9"/>
        <v>-8.7249999999999996</v>
      </c>
      <c r="M22" s="2905" t="s">
        <v>2147</v>
      </c>
      <c r="N22" s="2905" t="s">
        <v>2147</v>
      </c>
      <c r="O22" s="3109" t="str">
        <f>IF(SUM(M22:N22)=0,M22,SUM(M22:N22))</f>
        <v>NA</v>
      </c>
      <c r="P22" s="2905" t="s">
        <v>2147</v>
      </c>
      <c r="Q22" s="2906">
        <v>-118.39379701999314</v>
      </c>
      <c r="R22" s="2906">
        <v>-8.7249999999999996</v>
      </c>
      <c r="S22" s="3570">
        <f>IF(SUM(O22:R22)=0,Q22,SUM(O22:R22)*-44/12)</f>
        <v>466.10225573997485</v>
      </c>
      <c r="U22" s="2398"/>
    </row>
    <row r="23" spans="2:21" ht="18" customHeight="1" x14ac:dyDescent="0.2">
      <c r="B23" s="487" t="s">
        <v>1070</v>
      </c>
      <c r="C23" s="486"/>
      <c r="D23" s="3600" t="str">
        <f>D24</f>
        <v>NO</v>
      </c>
      <c r="E23" s="3564" t="str">
        <f t="shared" ref="E23" si="29">E24</f>
        <v>NO</v>
      </c>
      <c r="F23" s="3565" t="str">
        <f t="shared" ref="F23" si="30">F24</f>
        <v>NO</v>
      </c>
      <c r="G23" s="3600" t="str">
        <f t="shared" si="4"/>
        <v>NA</v>
      </c>
      <c r="H23" s="3506" t="str">
        <f t="shared" si="5"/>
        <v>NA</v>
      </c>
      <c r="I23" s="3506" t="str">
        <f t="shared" si="6"/>
        <v>NA</v>
      </c>
      <c r="J23" s="3506" t="str">
        <f t="shared" si="7"/>
        <v>NA</v>
      </c>
      <c r="K23" s="3601" t="str">
        <f t="shared" si="8"/>
        <v>NA</v>
      </c>
      <c r="L23" s="3507" t="str">
        <f t="shared" si="9"/>
        <v>NA</v>
      </c>
      <c r="M23" s="3506" t="str">
        <f t="shared" si="25"/>
        <v>NO</v>
      </c>
      <c r="N23" s="3506" t="str">
        <f t="shared" si="25"/>
        <v>NO</v>
      </c>
      <c r="O23" s="3506" t="str">
        <f t="shared" si="25"/>
        <v>NO</v>
      </c>
      <c r="P23" s="3506" t="str">
        <f t="shared" si="25"/>
        <v>NO</v>
      </c>
      <c r="Q23" s="3601" t="str">
        <f t="shared" si="25"/>
        <v>NO</v>
      </c>
      <c r="R23" s="3601" t="str">
        <f t="shared" si="25"/>
        <v>NO</v>
      </c>
      <c r="S23" s="3287" t="str">
        <f t="shared" si="25"/>
        <v>NO</v>
      </c>
      <c r="U23" s="2400"/>
    </row>
    <row r="24" spans="2:21" ht="18" customHeight="1" x14ac:dyDescent="0.2">
      <c r="B24" s="500"/>
      <c r="C24" s="484" t="s">
        <v>278</v>
      </c>
      <c r="D24" s="3600" t="str">
        <f>IF(SUM(E24:F24)=0,E24,SUM(E24:F24))</f>
        <v>NO</v>
      </c>
      <c r="E24" s="3569" t="s">
        <v>2146</v>
      </c>
      <c r="F24" s="3554" t="s">
        <v>2146</v>
      </c>
      <c r="G24" s="3600" t="str">
        <f t="shared" si="4"/>
        <v>NA</v>
      </c>
      <c r="H24" s="3506" t="str">
        <f t="shared" si="5"/>
        <v>NA</v>
      </c>
      <c r="I24" s="3506" t="str">
        <f t="shared" si="6"/>
        <v>NA</v>
      </c>
      <c r="J24" s="3506" t="str">
        <f t="shared" si="7"/>
        <v>NA</v>
      </c>
      <c r="K24" s="3601" t="str">
        <f t="shared" si="8"/>
        <v>NA</v>
      </c>
      <c r="L24" s="3507" t="str">
        <f t="shared" si="9"/>
        <v>NA</v>
      </c>
      <c r="M24" s="2905" t="s">
        <v>2146</v>
      </c>
      <c r="N24" s="2905" t="s">
        <v>2146</v>
      </c>
      <c r="O24" s="3109" t="str">
        <f>IF(SUM(M24:N24)=0,M24,SUM(M24:N24))</f>
        <v>NO</v>
      </c>
      <c r="P24" s="2905" t="s">
        <v>2146</v>
      </c>
      <c r="Q24" s="2906" t="s">
        <v>2146</v>
      </c>
      <c r="R24" s="2906" t="s">
        <v>2146</v>
      </c>
      <c r="S24" s="3570" t="str">
        <f>IF(SUM(O24:R24)=0,Q24,SUM(O24:R24)*-44/12)</f>
        <v>NO</v>
      </c>
      <c r="U24" s="2398"/>
    </row>
    <row r="25" spans="2:21" ht="18" customHeight="1" x14ac:dyDescent="0.2">
      <c r="B25" s="487" t="s">
        <v>1071</v>
      </c>
      <c r="C25" s="486"/>
      <c r="D25" s="3600" t="str">
        <f>D26</f>
        <v>NO</v>
      </c>
      <c r="E25" s="3564" t="str">
        <f t="shared" ref="E25" si="31">E26</f>
        <v>NO</v>
      </c>
      <c r="F25" s="3565" t="str">
        <f t="shared" ref="F25" si="32">F26</f>
        <v>NO</v>
      </c>
      <c r="G25" s="3600" t="str">
        <f t="shared" si="4"/>
        <v>NA</v>
      </c>
      <c r="H25" s="3506" t="str">
        <f t="shared" si="5"/>
        <v>NA</v>
      </c>
      <c r="I25" s="3506" t="str">
        <f t="shared" si="6"/>
        <v>NA</v>
      </c>
      <c r="J25" s="3506" t="str">
        <f t="shared" si="7"/>
        <v>NA</v>
      </c>
      <c r="K25" s="3601" t="str">
        <f t="shared" si="8"/>
        <v>NA</v>
      </c>
      <c r="L25" s="3507" t="str">
        <f t="shared" si="9"/>
        <v>NA</v>
      </c>
      <c r="M25" s="3506" t="str">
        <f t="shared" ref="M25:S25" si="33">M26</f>
        <v>NO</v>
      </c>
      <c r="N25" s="3506" t="str">
        <f t="shared" si="33"/>
        <v>NO</v>
      </c>
      <c r="O25" s="3506" t="str">
        <f t="shared" si="33"/>
        <v>NO</v>
      </c>
      <c r="P25" s="3506" t="str">
        <f t="shared" si="33"/>
        <v>NO</v>
      </c>
      <c r="Q25" s="3601" t="str">
        <f t="shared" si="33"/>
        <v>NO</v>
      </c>
      <c r="R25" s="3601" t="str">
        <f t="shared" si="33"/>
        <v>NO</v>
      </c>
      <c r="S25" s="3287" t="str">
        <f t="shared" si="33"/>
        <v>NO</v>
      </c>
      <c r="U25" s="2400"/>
    </row>
    <row r="26" spans="2:21" ht="18" customHeight="1" thickBot="1" x14ac:dyDescent="0.25">
      <c r="B26" s="873"/>
      <c r="C26" s="506" t="s">
        <v>278</v>
      </c>
      <c r="D26" s="3604" t="str">
        <f>IF(SUM(E26:F26)=0,E26,SUM(E26:F26))</f>
        <v>NO</v>
      </c>
      <c r="E26" s="3575" t="s">
        <v>2146</v>
      </c>
      <c r="F26" s="3576" t="s">
        <v>2146</v>
      </c>
      <c r="G26" s="3604" t="str">
        <f t="shared" si="4"/>
        <v>NA</v>
      </c>
      <c r="H26" s="3486" t="str">
        <f t="shared" si="5"/>
        <v>NA</v>
      </c>
      <c r="I26" s="3486" t="str">
        <f t="shared" si="6"/>
        <v>NA</v>
      </c>
      <c r="J26" s="3486" t="str">
        <f t="shared" si="7"/>
        <v>NA</v>
      </c>
      <c r="K26" s="3605" t="str">
        <f t="shared" si="8"/>
        <v>NA</v>
      </c>
      <c r="L26" s="3606" t="str">
        <f t="shared" si="9"/>
        <v>NA</v>
      </c>
      <c r="M26" s="3137" t="s">
        <v>2146</v>
      </c>
      <c r="N26" s="3137" t="s">
        <v>2146</v>
      </c>
      <c r="O26" s="3579" t="str">
        <f>IF(SUM(M26:N26)=0,M26,SUM(M26:N26))</f>
        <v>NO</v>
      </c>
      <c r="P26" s="3137" t="s">
        <v>2146</v>
      </c>
      <c r="Q26" s="3580" t="s">
        <v>2146</v>
      </c>
      <c r="R26" s="3580" t="s">
        <v>2146</v>
      </c>
      <c r="S26" s="3309" t="str">
        <f>IF(SUM(O26:R26)=0,Q26,SUM(O26:R26)*-44/12)</f>
        <v>NO</v>
      </c>
      <c r="U26" s="2399"/>
    </row>
    <row r="27" spans="2:21" ht="13.5" x14ac:dyDescent="0.2">
      <c r="B27" s="871"/>
      <c r="C27" s="871"/>
      <c r="D27" s="871"/>
      <c r="E27" s="871"/>
      <c r="F27" s="871"/>
      <c r="G27" s="871"/>
      <c r="H27" s="871"/>
      <c r="I27" s="871"/>
      <c r="J27" s="871"/>
      <c r="K27" s="871"/>
      <c r="L27" s="871"/>
      <c r="M27" s="871"/>
      <c r="N27" s="871"/>
      <c r="O27" s="871"/>
      <c r="P27" s="871"/>
      <c r="Q27" s="871"/>
      <c r="R27" s="872"/>
      <c r="S27" s="872"/>
    </row>
    <row r="28" spans="2:21" ht="13.5" x14ac:dyDescent="0.2">
      <c r="B28" s="874"/>
      <c r="C28" s="871"/>
      <c r="D28" s="871"/>
      <c r="E28" s="871"/>
      <c r="F28" s="871"/>
      <c r="G28" s="871"/>
      <c r="H28" s="871"/>
      <c r="I28" s="871"/>
      <c r="J28" s="871"/>
      <c r="K28" s="871"/>
      <c r="L28" s="871"/>
      <c r="M28" s="871"/>
      <c r="N28" s="871"/>
      <c r="O28" s="871"/>
      <c r="P28" s="871"/>
      <c r="Q28" s="871"/>
      <c r="R28" s="872"/>
      <c r="S28" s="872"/>
    </row>
    <row r="29" spans="2:21" ht="13.5" x14ac:dyDescent="0.2">
      <c r="B29" s="874"/>
      <c r="C29" s="871"/>
      <c r="D29" s="871"/>
      <c r="E29" s="871"/>
      <c r="F29" s="871"/>
      <c r="G29" s="871"/>
      <c r="H29" s="871"/>
      <c r="I29" s="871"/>
      <c r="J29" s="871"/>
      <c r="K29" s="871"/>
      <c r="L29" s="871"/>
      <c r="M29" s="871"/>
      <c r="N29" s="871"/>
      <c r="O29" s="871"/>
      <c r="P29" s="871"/>
      <c r="Q29" s="871"/>
      <c r="R29" s="872"/>
      <c r="S29" s="872"/>
    </row>
    <row r="30" spans="2:21" ht="13.5" x14ac:dyDescent="0.2">
      <c r="B30" s="792"/>
      <c r="C30" s="792"/>
      <c r="D30" s="792"/>
      <c r="E30" s="792"/>
      <c r="F30" s="792"/>
      <c r="G30" s="792"/>
      <c r="H30" s="792"/>
      <c r="I30" s="792"/>
      <c r="J30" s="792"/>
      <c r="K30" s="792"/>
      <c r="L30" s="792"/>
      <c r="M30" s="792"/>
      <c r="N30" s="792"/>
      <c r="O30" s="792"/>
      <c r="P30" s="792"/>
      <c r="Q30" s="792"/>
      <c r="R30" s="247"/>
      <c r="S30" s="247"/>
    </row>
    <row r="31" spans="2:21" ht="13.5" x14ac:dyDescent="0.2">
      <c r="B31" s="791"/>
      <c r="C31" s="791"/>
      <c r="D31" s="791"/>
      <c r="E31" s="791"/>
      <c r="F31" s="791"/>
      <c r="G31" s="791"/>
      <c r="H31" s="791"/>
      <c r="I31" s="791"/>
      <c r="J31" s="791"/>
      <c r="K31" s="791"/>
      <c r="L31" s="791"/>
      <c r="M31" s="791"/>
      <c r="N31" s="791"/>
      <c r="O31" s="791"/>
      <c r="P31" s="791"/>
      <c r="Q31" s="247"/>
      <c r="R31" s="247"/>
      <c r="S31" s="247"/>
    </row>
    <row r="32" spans="2:21" ht="13.5" x14ac:dyDescent="0.2">
      <c r="B32" s="313"/>
      <c r="C32" s="313"/>
      <c r="D32" s="313"/>
      <c r="E32" s="313"/>
      <c r="F32" s="313"/>
      <c r="G32" s="313"/>
      <c r="H32" s="313"/>
      <c r="I32" s="313"/>
      <c r="J32" s="313"/>
      <c r="K32" s="313"/>
      <c r="L32" s="313"/>
      <c r="M32" s="313"/>
      <c r="N32" s="313"/>
      <c r="O32" s="247"/>
      <c r="P32" s="247"/>
      <c r="Q32" s="247"/>
      <c r="R32" s="247"/>
      <c r="S32" s="247"/>
    </row>
    <row r="33" spans="2:19" ht="13.5" x14ac:dyDescent="0.2">
      <c r="B33" s="497"/>
      <c r="C33" s="498"/>
      <c r="D33" s="498"/>
      <c r="E33" s="498"/>
      <c r="F33" s="498"/>
      <c r="G33" s="498"/>
      <c r="H33" s="498"/>
      <c r="I33" s="498"/>
      <c r="J33" s="498"/>
      <c r="K33" s="498"/>
      <c r="L33" s="498"/>
      <c r="M33" s="498"/>
      <c r="N33" s="498"/>
      <c r="O33" s="247"/>
      <c r="P33" s="247"/>
      <c r="Q33" s="247"/>
      <c r="R33" s="247"/>
      <c r="S33" s="247"/>
    </row>
    <row r="34" spans="2:19" ht="13.5" x14ac:dyDescent="0.2">
      <c r="B34" s="497"/>
      <c r="C34" s="498"/>
      <c r="D34" s="498"/>
      <c r="E34" s="498"/>
      <c r="F34" s="498"/>
      <c r="G34" s="498"/>
      <c r="H34" s="498"/>
      <c r="I34" s="498"/>
      <c r="J34" s="498"/>
      <c r="K34" s="498"/>
      <c r="L34" s="498"/>
      <c r="M34" s="498"/>
      <c r="N34" s="498"/>
      <c r="O34" s="247"/>
      <c r="P34" s="247"/>
      <c r="Q34" s="247"/>
      <c r="R34" s="247"/>
      <c r="S34" s="247"/>
    </row>
    <row r="35" spans="2:19" ht="13.5" x14ac:dyDescent="0.2">
      <c r="B35" s="497"/>
      <c r="C35" s="498"/>
      <c r="D35" s="498"/>
      <c r="E35" s="498"/>
      <c r="F35" s="498"/>
      <c r="G35" s="498"/>
      <c r="H35" s="498"/>
      <c r="I35" s="498"/>
      <c r="J35" s="498"/>
      <c r="K35" s="498"/>
      <c r="L35" s="498"/>
      <c r="M35" s="498"/>
      <c r="N35" s="498"/>
      <c r="O35" s="247"/>
      <c r="P35" s="247"/>
      <c r="Q35" s="247"/>
      <c r="R35" s="247"/>
      <c r="S35" s="247"/>
    </row>
    <row r="36" spans="2:19" ht="13.5" x14ac:dyDescent="0.2">
      <c r="B36" s="313"/>
      <c r="C36" s="313"/>
      <c r="D36" s="313"/>
      <c r="E36" s="313"/>
      <c r="F36" s="313"/>
      <c r="G36" s="313"/>
      <c r="H36" s="313"/>
      <c r="I36" s="313"/>
      <c r="J36" s="313"/>
      <c r="K36" s="313"/>
      <c r="L36" s="247"/>
      <c r="M36" s="247"/>
      <c r="N36" s="247"/>
      <c r="O36" s="247"/>
      <c r="P36" s="247"/>
      <c r="Q36" s="247"/>
      <c r="R36" s="247"/>
      <c r="S36" s="247"/>
    </row>
    <row r="37" spans="2:19" ht="13.5" x14ac:dyDescent="0.2">
      <c r="B37" s="313"/>
      <c r="C37" s="313"/>
      <c r="D37" s="313"/>
      <c r="E37" s="313"/>
      <c r="F37" s="313"/>
      <c r="G37" s="313"/>
      <c r="H37" s="313"/>
      <c r="I37" s="313"/>
      <c r="J37" s="313"/>
      <c r="K37" s="313"/>
      <c r="L37" s="247"/>
      <c r="M37" s="247"/>
      <c r="N37" s="247"/>
      <c r="O37" s="247"/>
      <c r="P37" s="247"/>
      <c r="Q37" s="247"/>
      <c r="R37" s="247"/>
      <c r="S37" s="247"/>
    </row>
    <row r="38" spans="2:19" ht="13.5" x14ac:dyDescent="0.2">
      <c r="B38" s="313"/>
      <c r="C38" s="313"/>
      <c r="D38" s="313"/>
      <c r="E38" s="313"/>
      <c r="F38" s="313"/>
      <c r="G38" s="313"/>
      <c r="H38" s="313"/>
      <c r="I38" s="313"/>
      <c r="J38" s="313"/>
      <c r="K38" s="313"/>
      <c r="L38" s="247"/>
      <c r="M38" s="247"/>
      <c r="N38" s="247"/>
      <c r="O38" s="247"/>
      <c r="P38" s="247"/>
      <c r="Q38" s="247"/>
      <c r="R38" s="247"/>
      <c r="S38" s="247"/>
    </row>
    <row r="39" spans="2:19" ht="13.5" x14ac:dyDescent="0.2">
      <c r="B39" s="313"/>
      <c r="C39" s="313"/>
      <c r="D39" s="313"/>
      <c r="E39" s="313"/>
      <c r="F39" s="313"/>
      <c r="G39" s="313"/>
      <c r="H39" s="313"/>
      <c r="I39" s="313"/>
      <c r="J39" s="313"/>
      <c r="K39" s="313"/>
      <c r="L39" s="247"/>
      <c r="M39" s="247"/>
      <c r="N39" s="247"/>
      <c r="O39" s="247"/>
      <c r="P39" s="247"/>
      <c r="Q39" s="247"/>
      <c r="R39" s="247"/>
      <c r="S39" s="247"/>
    </row>
    <row r="40" spans="2:19" ht="13.5" x14ac:dyDescent="0.2">
      <c r="B40" s="788"/>
      <c r="C40" s="788"/>
      <c r="D40" s="788"/>
      <c r="E40" s="788"/>
      <c r="F40" s="788"/>
      <c r="G40" s="788"/>
      <c r="H40" s="788"/>
      <c r="I40" s="788"/>
      <c r="J40" s="788"/>
      <c r="K40" s="788"/>
      <c r="L40" s="788"/>
      <c r="M40" s="788"/>
      <c r="N40" s="788"/>
      <c r="O40" s="247"/>
      <c r="P40" s="247"/>
      <c r="Q40" s="247"/>
      <c r="R40" s="247"/>
      <c r="S40" s="247"/>
    </row>
    <row r="41" spans="2:19" ht="13.5" x14ac:dyDescent="0.2">
      <c r="B41" s="788"/>
      <c r="C41" s="788"/>
      <c r="D41" s="788"/>
      <c r="E41" s="788"/>
      <c r="F41" s="788"/>
      <c r="G41" s="788"/>
      <c r="H41" s="788"/>
      <c r="I41" s="788"/>
      <c r="J41" s="788"/>
      <c r="K41" s="788"/>
      <c r="L41" s="788"/>
      <c r="M41" s="788"/>
      <c r="N41" s="788"/>
      <c r="O41" s="247"/>
      <c r="P41" s="247"/>
      <c r="Q41" s="247"/>
      <c r="R41" s="247"/>
      <c r="S41" s="247"/>
    </row>
    <row r="42" spans="2:19" ht="14.25" thickBot="1" x14ac:dyDescent="0.25">
      <c r="B42" s="788"/>
      <c r="C42" s="788"/>
      <c r="D42" s="788"/>
      <c r="E42" s="788"/>
      <c r="F42" s="788"/>
      <c r="G42" s="788"/>
      <c r="H42" s="788"/>
      <c r="I42" s="788"/>
      <c r="J42" s="788"/>
      <c r="K42" s="788"/>
      <c r="L42" s="788"/>
      <c r="M42" s="788"/>
      <c r="N42" s="788"/>
      <c r="O42" s="247"/>
      <c r="P42" s="247"/>
      <c r="Q42" s="247"/>
      <c r="R42" s="247"/>
      <c r="S42" s="247"/>
    </row>
    <row r="43" spans="2:19" ht="12.75" x14ac:dyDescent="0.2">
      <c r="B43" s="849" t="s">
        <v>390</v>
      </c>
      <c r="C43" s="850"/>
      <c r="D43" s="850"/>
      <c r="E43" s="850"/>
      <c r="F43" s="850"/>
      <c r="G43" s="850"/>
      <c r="H43" s="850"/>
      <c r="I43" s="850"/>
      <c r="J43" s="850"/>
      <c r="K43" s="850"/>
      <c r="L43" s="850"/>
      <c r="M43" s="850"/>
      <c r="N43" s="850"/>
      <c r="O43" s="850"/>
      <c r="P43" s="850"/>
      <c r="Q43" s="850"/>
      <c r="R43" s="850"/>
      <c r="S43" s="851"/>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2.75" x14ac:dyDescent="0.2">
      <c r="B45" s="1329"/>
      <c r="C45" s="1333"/>
      <c r="D45" s="1333"/>
      <c r="E45" s="1333"/>
      <c r="F45" s="1333"/>
      <c r="G45" s="1333"/>
      <c r="H45" s="1333"/>
      <c r="I45" s="1333"/>
      <c r="J45" s="1333"/>
      <c r="K45" s="1333"/>
      <c r="L45" s="1333"/>
      <c r="M45" s="1333"/>
      <c r="N45" s="1333"/>
      <c r="O45" s="1333"/>
      <c r="P45" s="1333"/>
      <c r="Q45" s="1333"/>
      <c r="R45" s="1333"/>
      <c r="S45" s="1334"/>
    </row>
    <row r="46" spans="2:19" ht="13.5" thickBot="1" x14ac:dyDescent="0.25">
      <c r="B46" s="855"/>
      <c r="C46" s="864"/>
      <c r="D46" s="864"/>
      <c r="E46" s="864"/>
      <c r="F46" s="864"/>
      <c r="G46" s="864"/>
      <c r="H46" s="864"/>
      <c r="I46" s="864"/>
      <c r="J46" s="864"/>
      <c r="K46" s="864"/>
      <c r="L46" s="864"/>
      <c r="M46" s="864"/>
      <c r="N46" s="864"/>
      <c r="O46" s="864"/>
      <c r="P46" s="864"/>
      <c r="Q46" s="864"/>
      <c r="R46" s="864"/>
      <c r="S46" s="865"/>
    </row>
    <row r="47" spans="2:19" ht="39" customHeight="1" thickBot="1" x14ac:dyDescent="0.25">
      <c r="B47" s="4483" t="s">
        <v>2229</v>
      </c>
      <c r="C47" s="4484"/>
      <c r="D47" s="4484"/>
      <c r="E47" s="4484"/>
      <c r="F47" s="4484"/>
      <c r="G47" s="4484"/>
      <c r="H47" s="4484"/>
      <c r="I47" s="4484"/>
      <c r="J47" s="4484"/>
      <c r="K47" s="4484"/>
      <c r="L47" s="4484"/>
      <c r="M47" s="4484"/>
      <c r="N47" s="4484"/>
      <c r="O47" s="4484"/>
      <c r="P47" s="4484"/>
      <c r="Q47" s="4484"/>
      <c r="R47" s="4484"/>
      <c r="S47" s="4485"/>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49.5703125" style="83" customWidth="1"/>
    <col min="3" max="3" width="23" style="83" bestFit="1" customWidth="1"/>
    <col min="4" max="6" width="11.140625" style="83" customWidth="1"/>
    <col min="7" max="9" width="8.5703125" style="83" customWidth="1"/>
    <col min="10" max="10" width="18.85546875" style="83" customWidth="1"/>
    <col min="11" max="12" width="10.570312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1072</v>
      </c>
      <c r="S1" s="14" t="s">
        <v>2521</v>
      </c>
    </row>
    <row r="2" spans="1:23" ht="15.75" x14ac:dyDescent="0.25">
      <c r="B2" s="13" t="s">
        <v>1073</v>
      </c>
      <c r="S2" s="14" t="s">
        <v>2522</v>
      </c>
    </row>
    <row r="3" spans="1:23" ht="15.75" x14ac:dyDescent="0.25">
      <c r="B3" s="13" t="s">
        <v>62</v>
      </c>
      <c r="S3" s="14" t="s">
        <v>2144</v>
      </c>
    </row>
    <row r="4" spans="1:23" ht="15.75" x14ac:dyDescent="0.25">
      <c r="B4" s="13"/>
      <c r="S4" s="2"/>
    </row>
    <row r="5" spans="1:23" ht="24.75" thickBot="1" x14ac:dyDescent="0.25">
      <c r="B5" s="2446" t="s">
        <v>64</v>
      </c>
      <c r="U5" s="2569" t="s">
        <v>1049</v>
      </c>
    </row>
    <row r="6" spans="1:23" ht="13.5" x14ac:dyDescent="0.2">
      <c r="B6" s="829" t="s">
        <v>65</v>
      </c>
      <c r="C6" s="830"/>
      <c r="D6" s="829" t="s">
        <v>419</v>
      </c>
      <c r="E6" s="830"/>
      <c r="F6" s="830"/>
      <c r="G6" s="824" t="s">
        <v>1016</v>
      </c>
      <c r="H6" s="826"/>
      <c r="I6" s="826"/>
      <c r="J6" s="826"/>
      <c r="K6" s="826"/>
      <c r="L6" s="825"/>
      <c r="M6" s="826" t="s">
        <v>1017</v>
      </c>
      <c r="N6" s="826"/>
      <c r="O6" s="826"/>
      <c r="P6" s="826"/>
      <c r="Q6" s="826"/>
      <c r="R6" s="825"/>
      <c r="S6" s="803"/>
      <c r="U6" s="2568" t="s">
        <v>2138</v>
      </c>
    </row>
    <row r="7" spans="1:23" ht="48" x14ac:dyDescent="0.2">
      <c r="B7" s="880" t="s">
        <v>1018</v>
      </c>
      <c r="C7" s="796" t="s">
        <v>1019</v>
      </c>
      <c r="D7" s="859" t="s">
        <v>1020</v>
      </c>
      <c r="E7" s="793" t="s">
        <v>1021</v>
      </c>
      <c r="F7" s="800" t="s">
        <v>1022</v>
      </c>
      <c r="G7" s="834" t="s">
        <v>1969</v>
      </c>
      <c r="H7" s="835"/>
      <c r="I7" s="836"/>
      <c r="J7" s="877" t="s">
        <v>1050</v>
      </c>
      <c r="K7" s="837" t="s">
        <v>1025</v>
      </c>
      <c r="L7" s="838"/>
      <c r="M7" s="835" t="s">
        <v>1974</v>
      </c>
      <c r="N7" s="835"/>
      <c r="O7" s="836"/>
      <c r="P7" s="877" t="s">
        <v>1074</v>
      </c>
      <c r="Q7" s="837" t="s">
        <v>1075</v>
      </c>
      <c r="R7" s="835"/>
      <c r="S7" s="461" t="s">
        <v>2086</v>
      </c>
      <c r="U7" s="2567" t="s">
        <v>2137</v>
      </c>
    </row>
    <row r="8" spans="1:23" ht="29.25" customHeight="1" x14ac:dyDescent="0.2">
      <c r="B8" s="881"/>
      <c r="C8" s="883"/>
      <c r="D8" s="1869" t="s">
        <v>389</v>
      </c>
      <c r="E8" s="1865"/>
      <c r="F8" s="1870"/>
      <c r="G8" s="478" t="s">
        <v>1028</v>
      </c>
      <c r="H8" s="479" t="s">
        <v>1029</v>
      </c>
      <c r="I8" s="479" t="s">
        <v>1030</v>
      </c>
      <c r="J8" s="878"/>
      <c r="K8" s="793" t="s">
        <v>1034</v>
      </c>
      <c r="L8" s="800" t="s">
        <v>1032</v>
      </c>
      <c r="M8" s="467" t="s">
        <v>1028</v>
      </c>
      <c r="N8" s="479" t="s">
        <v>1064</v>
      </c>
      <c r="O8" s="479" t="s">
        <v>1030</v>
      </c>
      <c r="P8" s="878"/>
      <c r="Q8" s="479" t="s">
        <v>1034</v>
      </c>
      <c r="R8" s="479" t="s">
        <v>1032</v>
      </c>
      <c r="S8" s="804"/>
      <c r="U8" s="846"/>
    </row>
    <row r="9" spans="1:23" ht="14.25" thickBot="1" x14ac:dyDescent="0.25">
      <c r="B9" s="882"/>
      <c r="C9" s="884"/>
      <c r="D9" s="1868" t="s">
        <v>1036</v>
      </c>
      <c r="E9" s="1866"/>
      <c r="F9" s="1867"/>
      <c r="G9" s="831" t="s">
        <v>1037</v>
      </c>
      <c r="H9" s="832"/>
      <c r="I9" s="832"/>
      <c r="J9" s="832"/>
      <c r="K9" s="832"/>
      <c r="L9" s="833"/>
      <c r="M9" s="832" t="s">
        <v>234</v>
      </c>
      <c r="N9" s="832"/>
      <c r="O9" s="832"/>
      <c r="P9" s="832"/>
      <c r="Q9" s="832"/>
      <c r="R9" s="832"/>
      <c r="S9" s="492" t="s">
        <v>1038</v>
      </c>
      <c r="U9" s="492" t="s">
        <v>1039</v>
      </c>
    </row>
    <row r="10" spans="1:23" ht="18" customHeight="1" thickTop="1" x14ac:dyDescent="0.2">
      <c r="B10" s="2259" t="s">
        <v>1076</v>
      </c>
      <c r="C10" s="2260"/>
      <c r="D10" s="3582">
        <f>IF(SUM(D11,D23)=0,"IE",SUM(D11,D23))</f>
        <v>13254.066105746</v>
      </c>
      <c r="E10" s="3583">
        <f>IF(SUM(E11,E23)=0,"IE",SUM(E11,E23))</f>
        <v>13190.540167737834</v>
      </c>
      <c r="F10" s="3584">
        <f>IF(SUM(F11,F23)=0,"IE",SUM(F11,F23))</f>
        <v>63.525938008165269</v>
      </c>
      <c r="G10" s="3608" t="str">
        <f>IFERROR(IF(SUM($D10)=0,"NA",M10/$D10),"NA")</f>
        <v>NA</v>
      </c>
      <c r="H10" s="3609">
        <f t="shared" ref="H10:J10" si="0">IFERROR(IF(SUM($D10)=0,"NA",N10/$D10),"NA")</f>
        <v>-2.331079386244532E-2</v>
      </c>
      <c r="I10" s="3610">
        <f t="shared" si="0"/>
        <v>-2.331079386244532E-2</v>
      </c>
      <c r="J10" s="3609">
        <f t="shared" si="0"/>
        <v>-1.5324805557761292E-3</v>
      </c>
      <c r="K10" s="3609">
        <f>IFERROR(IF(SUM(E10)=0,"NA",Q10/E10),"NA")</f>
        <v>-1.9777374272486326E-3</v>
      </c>
      <c r="L10" s="3611" t="str">
        <f>IFERROR(IF(SUM(F10)=0,"NA",R10/F10),"NA")</f>
        <v>NA</v>
      </c>
      <c r="M10" s="3610" t="str">
        <f t="shared" ref="M10:S10" si="1">IF(SUM(M11,M23)=0,"IE",SUM(M11,M23))</f>
        <v>IE</v>
      </c>
      <c r="N10" s="3609">
        <f t="shared" si="1"/>
        <v>-308.9628028302684</v>
      </c>
      <c r="O10" s="3610">
        <f t="shared" si="1"/>
        <v>-308.9628028302684</v>
      </c>
      <c r="P10" s="3609">
        <f t="shared" si="1"/>
        <v>-20.311598592027188</v>
      </c>
      <c r="Q10" s="3612">
        <f t="shared" si="1"/>
        <v>-26.087424975361571</v>
      </c>
      <c r="R10" s="3612" t="str">
        <f t="shared" si="1"/>
        <v>IE</v>
      </c>
      <c r="S10" s="3588">
        <f t="shared" si="1"/>
        <v>1302.9933634580761</v>
      </c>
      <c r="U10" s="2401"/>
    </row>
    <row r="11" spans="1:23" ht="18" customHeight="1" x14ac:dyDescent="0.2">
      <c r="B11" s="501" t="s">
        <v>990</v>
      </c>
      <c r="C11" s="483"/>
      <c r="D11" s="3613">
        <f>IF(SUM(D12,D14,D17)=0,"IE",SUM(D12,D14,D17))</f>
        <v>13216.082105746</v>
      </c>
      <c r="E11" s="3614">
        <f t="shared" ref="E11:S11" si="2">IF(SUM(E12,E14,E17)=0,"IE",SUM(E12,E14,E17))</f>
        <v>13152.556167737834</v>
      </c>
      <c r="F11" s="3615">
        <f t="shared" si="2"/>
        <v>63.525938008165269</v>
      </c>
      <c r="G11" s="3616" t="str">
        <f t="shared" ref="G11:G56" si="3">IFERROR(IF(SUM($D11)=0,"NA",M11/$D11),"NA")</f>
        <v>NA</v>
      </c>
      <c r="H11" s="3617">
        <f t="shared" ref="H11:H56" si="4">IFERROR(IF(SUM($D11)=0,"NA",N11/$D11),"NA")</f>
        <v>-2.1797594818589953E-2</v>
      </c>
      <c r="I11" s="3618">
        <f t="shared" ref="I11:I56" si="5">IFERROR(IF(SUM($D11)=0,"NA",O11/$D11),"NA")</f>
        <v>-2.1797594818589953E-2</v>
      </c>
      <c r="J11" s="3617">
        <f t="shared" ref="J11:J56" si="6">IFERROR(IF(SUM($D11)=0,"NA",P11/$D11),"NA")</f>
        <v>-1.5368850185333101E-3</v>
      </c>
      <c r="K11" s="3617">
        <f t="shared" ref="K11:K56" si="7">IFERROR(IF(SUM(E11)=0,"NA",Q11/E11),"NA")</f>
        <v>-1.9834490453917949E-3</v>
      </c>
      <c r="L11" s="3619" t="str">
        <f t="shared" ref="L11:L56" si="8">IFERROR(IF(SUM(F11)=0,"NA",R11/F11),"NA")</f>
        <v>NA</v>
      </c>
      <c r="M11" s="3618" t="str">
        <f t="shared" si="2"/>
        <v>IE</v>
      </c>
      <c r="N11" s="3617">
        <f t="shared" si="2"/>
        <v>-288.07880283026839</v>
      </c>
      <c r="O11" s="3618">
        <f t="shared" si="2"/>
        <v>-288.07880283026839</v>
      </c>
      <c r="P11" s="3617">
        <f t="shared" si="2"/>
        <v>-20.311598592027188</v>
      </c>
      <c r="Q11" s="3620">
        <f t="shared" si="2"/>
        <v>-26.087424975361571</v>
      </c>
      <c r="R11" s="3620" t="str">
        <f t="shared" si="2"/>
        <v>IE</v>
      </c>
      <c r="S11" s="3621">
        <f t="shared" si="2"/>
        <v>1226.4186967914095</v>
      </c>
      <c r="U11" s="2402"/>
    </row>
    <row r="12" spans="1:23" ht="18" customHeight="1" x14ac:dyDescent="0.2">
      <c r="B12" s="487" t="s">
        <v>1077</v>
      </c>
      <c r="C12" s="483"/>
      <c r="D12" s="3600" t="str">
        <f>D13</f>
        <v>NO</v>
      </c>
      <c r="E12" s="3564" t="str">
        <f t="shared" ref="E12:F12" si="9">E13</f>
        <v>NO</v>
      </c>
      <c r="F12" s="3565" t="str">
        <f t="shared" si="9"/>
        <v>NO</v>
      </c>
      <c r="G12" s="3558" t="str">
        <f t="shared" si="3"/>
        <v>NA</v>
      </c>
      <c r="H12" s="3078" t="str">
        <f t="shared" si="4"/>
        <v>NA</v>
      </c>
      <c r="I12" s="3078" t="str">
        <f t="shared" si="5"/>
        <v>NA</v>
      </c>
      <c r="J12" s="3078" t="str">
        <f t="shared" si="6"/>
        <v>NA</v>
      </c>
      <c r="K12" s="3573" t="str">
        <f t="shared" si="7"/>
        <v>NA</v>
      </c>
      <c r="L12" s="3128" t="str">
        <f t="shared" si="8"/>
        <v>NA</v>
      </c>
      <c r="M12" s="3505" t="str">
        <f t="shared" ref="M12:S12" si="10">M13</f>
        <v>NO</v>
      </c>
      <c r="N12" s="3506" t="str">
        <f t="shared" si="10"/>
        <v>NO</v>
      </c>
      <c r="O12" s="3506" t="str">
        <f t="shared" si="10"/>
        <v>NO</v>
      </c>
      <c r="P12" s="3506" t="str">
        <f t="shared" si="10"/>
        <v>NO</v>
      </c>
      <c r="Q12" s="3601" t="str">
        <f t="shared" si="10"/>
        <v>NO</v>
      </c>
      <c r="R12" s="3601" t="str">
        <f t="shared" si="10"/>
        <v>NO</v>
      </c>
      <c r="S12" s="3287" t="str">
        <f t="shared" si="10"/>
        <v>NO</v>
      </c>
      <c r="U12" s="2402"/>
    </row>
    <row r="13" spans="1:23" ht="18" customHeight="1" x14ac:dyDescent="0.2">
      <c r="B13" s="1473"/>
      <c r="C13" s="885" t="s">
        <v>278</v>
      </c>
      <c r="D13" s="3600" t="str">
        <f>IF(SUM(E13:F13)=0,E13,SUM(E13:F13))</f>
        <v>NO</v>
      </c>
      <c r="E13" s="3569" t="s">
        <v>2146</v>
      </c>
      <c r="F13" s="3554" t="s">
        <v>2146</v>
      </c>
      <c r="G13" s="3622" t="str">
        <f t="shared" si="3"/>
        <v>NA</v>
      </c>
      <c r="H13" s="3591" t="str">
        <f t="shared" si="4"/>
        <v>NA</v>
      </c>
      <c r="I13" s="3623" t="str">
        <f t="shared" si="5"/>
        <v>NA</v>
      </c>
      <c r="J13" s="3591" t="str">
        <f t="shared" si="6"/>
        <v>NA</v>
      </c>
      <c r="K13" s="3591" t="str">
        <f t="shared" si="7"/>
        <v>NA</v>
      </c>
      <c r="L13" s="3595" t="str">
        <f t="shared" si="8"/>
        <v>NA</v>
      </c>
      <c r="M13" s="3624" t="s">
        <v>2146</v>
      </c>
      <c r="N13" s="3625" t="s">
        <v>2146</v>
      </c>
      <c r="O13" s="3109" t="str">
        <f>IF(SUM(M13:N13)=0,M13,SUM(M13:N13))</f>
        <v>NO</v>
      </c>
      <c r="P13" s="3625" t="s">
        <v>2146</v>
      </c>
      <c r="Q13" s="3626" t="s">
        <v>2146</v>
      </c>
      <c r="R13" s="3626" t="s">
        <v>2146</v>
      </c>
      <c r="S13" s="3570" t="str">
        <f>IF(SUM(O13:R13)=0,Q13,SUM(O13:R13)*-44/12)</f>
        <v>NO</v>
      </c>
      <c r="U13" s="2403"/>
    </row>
    <row r="14" spans="1:23" ht="18" customHeight="1" x14ac:dyDescent="0.2">
      <c r="B14" s="487" t="s">
        <v>1078</v>
      </c>
      <c r="C14" s="483"/>
      <c r="D14" s="3589">
        <f>IF(SUM(D15:D16)=0,"IE",SUM(D15:D16))</f>
        <v>834.90549347714045</v>
      </c>
      <c r="E14" s="3564">
        <f>IF(SUM(E15:E16)=0,"IE",SUM(E15:E16))</f>
        <v>834.90549347714045</v>
      </c>
      <c r="F14" s="3565" t="str">
        <f>IF(SUM(F15:F16)=0,"IE",SUM(F15:F16))</f>
        <v>IE</v>
      </c>
      <c r="G14" s="3558" t="str">
        <f t="shared" si="3"/>
        <v>NA</v>
      </c>
      <c r="H14" s="3078" t="str">
        <f t="shared" si="4"/>
        <v>NA</v>
      </c>
      <c r="I14" s="3078" t="str">
        <f t="shared" si="5"/>
        <v>NA</v>
      </c>
      <c r="J14" s="3078" t="str">
        <f t="shared" si="6"/>
        <v>NA</v>
      </c>
      <c r="K14" s="3573" t="str">
        <f t="shared" si="7"/>
        <v>NA</v>
      </c>
      <c r="L14" s="3128" t="str">
        <f t="shared" si="8"/>
        <v>NA</v>
      </c>
      <c r="M14" s="3505" t="str">
        <f>IF(SUM(M15:M16)=0,"NA",SUM(M15:M16))</f>
        <v>NA</v>
      </c>
      <c r="N14" s="3506" t="str">
        <f t="shared" ref="N14:R14" si="11">IF(SUM(N15:N16)=0,"NA",SUM(N15:N16))</f>
        <v>NA</v>
      </c>
      <c r="O14" s="3506" t="str">
        <f t="shared" si="11"/>
        <v>NA</v>
      </c>
      <c r="P14" s="3506" t="str">
        <f t="shared" si="11"/>
        <v>NA</v>
      </c>
      <c r="Q14" s="3601" t="str">
        <f t="shared" si="11"/>
        <v>NA</v>
      </c>
      <c r="R14" s="3601" t="str">
        <f t="shared" si="11"/>
        <v>NA</v>
      </c>
      <c r="S14" s="3287" t="str">
        <f t="shared" ref="S14" si="12">S15</f>
        <v>NA</v>
      </c>
      <c r="U14" s="2402"/>
    </row>
    <row r="15" spans="1:23" ht="18" customHeight="1" x14ac:dyDescent="0.2">
      <c r="B15" s="2682"/>
      <c r="C15" s="885" t="s">
        <v>2230</v>
      </c>
      <c r="D15" s="3600">
        <f>IF(SUM(E15:F15)=0,E15,SUM(E15:F15))</f>
        <v>502.11540000000008</v>
      </c>
      <c r="E15" s="3569">
        <v>502.11540000000008</v>
      </c>
      <c r="F15" s="3554" t="s">
        <v>2153</v>
      </c>
      <c r="G15" s="3622" t="str">
        <f t="shared" si="3"/>
        <v>NA</v>
      </c>
      <c r="H15" s="3591" t="str">
        <f t="shared" si="4"/>
        <v>NA</v>
      </c>
      <c r="I15" s="3623" t="str">
        <f t="shared" si="5"/>
        <v>NA</v>
      </c>
      <c r="J15" s="3591" t="str">
        <f t="shared" si="6"/>
        <v>NA</v>
      </c>
      <c r="K15" s="3591" t="str">
        <f t="shared" si="7"/>
        <v>NA</v>
      </c>
      <c r="L15" s="3595" t="str">
        <f t="shared" si="8"/>
        <v>NA</v>
      </c>
      <c r="M15" s="3627" t="s">
        <v>2147</v>
      </c>
      <c r="N15" s="3628" t="s">
        <v>2147</v>
      </c>
      <c r="O15" s="3109" t="str">
        <f t="shared" ref="O15" si="13">IF(SUM(M15:N15)=0,M15,SUM(M15:N15))</f>
        <v>NA</v>
      </c>
      <c r="P15" s="3628" t="s">
        <v>2147</v>
      </c>
      <c r="Q15" s="3628" t="s">
        <v>2147</v>
      </c>
      <c r="R15" s="3627" t="s">
        <v>2147</v>
      </c>
      <c r="S15" s="3570" t="str">
        <f>IF(SUM(O15:R15)=0,Q15,SUM(O15:R15)*-44/12)</f>
        <v>NA</v>
      </c>
      <c r="U15" s="2403"/>
    </row>
    <row r="16" spans="1:23" ht="18" customHeight="1" x14ac:dyDescent="0.2">
      <c r="A16" s="2502"/>
      <c r="B16" s="2682"/>
      <c r="C16" s="2683" t="s">
        <v>2232</v>
      </c>
      <c r="D16" s="3600">
        <f>IF(SUM(E16:F16)=0,E16,SUM(E16:F16))</f>
        <v>332.79009347714037</v>
      </c>
      <c r="E16" s="3602">
        <v>332.79009347714037</v>
      </c>
      <c r="F16" s="3629" t="s">
        <v>2153</v>
      </c>
      <c r="G16" s="3630" t="str">
        <f t="shared" si="3"/>
        <v>NA</v>
      </c>
      <c r="H16" s="3631" t="str">
        <f t="shared" si="4"/>
        <v>NA</v>
      </c>
      <c r="I16" s="3632" t="str">
        <f t="shared" si="5"/>
        <v>NA</v>
      </c>
      <c r="J16" s="3631" t="str">
        <f t="shared" si="6"/>
        <v>NA</v>
      </c>
      <c r="K16" s="3631" t="str">
        <f t="shared" si="7"/>
        <v>NA</v>
      </c>
      <c r="L16" s="3633" t="str">
        <f t="shared" si="8"/>
        <v>NA</v>
      </c>
      <c r="M16" s="3627" t="s">
        <v>2147</v>
      </c>
      <c r="N16" s="3628" t="s">
        <v>2147</v>
      </c>
      <c r="O16" s="3109" t="str">
        <f t="shared" ref="O16" si="14">IF(SUM(M16:N16)=0,M16,SUM(M16:N16))</f>
        <v>NA</v>
      </c>
      <c r="P16" s="3628" t="s">
        <v>2147</v>
      </c>
      <c r="Q16" s="3628" t="s">
        <v>2147</v>
      </c>
      <c r="R16" s="3627" t="s">
        <v>2147</v>
      </c>
      <c r="S16" s="3570" t="str">
        <f t="shared" ref="S16" si="15">IF(SUM(O16:R16)=0,Q16,SUM(O16:R16)*-44/12)</f>
        <v>NA</v>
      </c>
      <c r="T16" s="2502"/>
      <c r="U16" s="2684"/>
      <c r="V16" s="2502"/>
      <c r="W16" s="2502"/>
    </row>
    <row r="17" spans="1:23" ht="18" customHeight="1" x14ac:dyDescent="0.2">
      <c r="B17" s="487" t="s">
        <v>1079</v>
      </c>
      <c r="C17" s="483"/>
      <c r="D17" s="3589">
        <f>IF(SUM(D18:D21)=0,"IE",SUM(D18:D21))</f>
        <v>12381.176612268859</v>
      </c>
      <c r="E17" s="3564">
        <f>IF(SUM(E18:E21)=0,"IE",SUM(E18:E21))</f>
        <v>12317.650674260693</v>
      </c>
      <c r="F17" s="3565">
        <f>IF(SUM(F18:F21)=0,"IE",SUM(F18:F21))</f>
        <v>63.525938008165269</v>
      </c>
      <c r="G17" s="3622" t="str">
        <f t="shared" si="3"/>
        <v>NA</v>
      </c>
      <c r="H17" s="3591">
        <f t="shared" si="4"/>
        <v>-2.3267481908367492E-2</v>
      </c>
      <c r="I17" s="3623">
        <f t="shared" si="5"/>
        <v>-2.3267481908367492E-2</v>
      </c>
      <c r="J17" s="3591">
        <f t="shared" si="6"/>
        <v>-1.6405224824835992E-3</v>
      </c>
      <c r="K17" s="3591">
        <f t="shared" si="7"/>
        <v>-2.1178896581208122E-3</v>
      </c>
      <c r="L17" s="3595" t="str">
        <f t="shared" si="8"/>
        <v>NA</v>
      </c>
      <c r="M17" s="3564" t="str">
        <f t="shared" ref="M17:S17" si="16">IF(SUM(M18:M21)=0,"IE",SUM(M18:M21))</f>
        <v>IE</v>
      </c>
      <c r="N17" s="3617">
        <f t="shared" si="16"/>
        <v>-288.07880283026839</v>
      </c>
      <c r="O17" s="3618">
        <f t="shared" si="16"/>
        <v>-288.07880283026839</v>
      </c>
      <c r="P17" s="3617">
        <f t="shared" si="16"/>
        <v>-20.311598592027188</v>
      </c>
      <c r="Q17" s="3620">
        <f t="shared" si="16"/>
        <v>-26.087424975361571</v>
      </c>
      <c r="R17" s="3620" t="str">
        <f t="shared" si="16"/>
        <v>IE</v>
      </c>
      <c r="S17" s="3634">
        <f t="shared" si="16"/>
        <v>1226.4186967914095</v>
      </c>
      <c r="U17" s="2402"/>
    </row>
    <row r="18" spans="1:23" ht="18" customHeight="1" x14ac:dyDescent="0.2">
      <c r="A18" s="2502"/>
      <c r="B18" s="2682"/>
      <c r="C18" s="2503" t="s">
        <v>2231</v>
      </c>
      <c r="D18" s="3600">
        <f>IF(SUM(E18:F18)=0,E18,SUM(E18:F18))</f>
        <v>1716.6986404464249</v>
      </c>
      <c r="E18" s="3569">
        <v>1716.6986404464249</v>
      </c>
      <c r="F18" s="3635" t="s">
        <v>2153</v>
      </c>
      <c r="G18" s="3630" t="str">
        <f t="shared" si="3"/>
        <v>NA</v>
      </c>
      <c r="H18" s="3631">
        <f t="shared" si="4"/>
        <v>-1.8995343999761057E-2</v>
      </c>
      <c r="I18" s="3632">
        <f t="shared" si="5"/>
        <v>-1.8995343999761057E-2</v>
      </c>
      <c r="J18" s="3631">
        <f t="shared" si="6"/>
        <v>-3.7990687999522117E-3</v>
      </c>
      <c r="K18" s="3631">
        <f t="shared" si="7"/>
        <v>-1.5196275199808847E-2</v>
      </c>
      <c r="L18" s="3633" t="str">
        <f t="shared" si="8"/>
        <v>NA</v>
      </c>
      <c r="M18" s="3624" t="s">
        <v>2153</v>
      </c>
      <c r="N18" s="3625">
        <v>-32.609281219201961</v>
      </c>
      <c r="O18" s="3109">
        <f>IF(SUM(M18:N18)=0,M18,SUM(M18:N18))</f>
        <v>-32.609281219201961</v>
      </c>
      <c r="P18" s="3625">
        <v>-6.5218562438403929</v>
      </c>
      <c r="Q18" s="3626">
        <v>-26.087424975361571</v>
      </c>
      <c r="R18" s="3636" t="s">
        <v>2153</v>
      </c>
      <c r="S18" s="3570">
        <f>IF(SUM(O18:R18)=0,Q18,SUM(O18:R18)*-44/12)</f>
        <v>239.13472894081437</v>
      </c>
      <c r="T18" s="2502"/>
      <c r="U18" s="2504"/>
      <c r="V18" s="2502"/>
      <c r="W18" s="2502"/>
    </row>
    <row r="19" spans="1:23" ht="18" customHeight="1" x14ac:dyDescent="0.2">
      <c r="A19" s="2502"/>
      <c r="B19" s="2682"/>
      <c r="C19" s="2683" t="s">
        <v>2233</v>
      </c>
      <c r="D19" s="3600" t="str">
        <f t="shared" ref="D19:D20" si="17">IF(SUM(E19:F19)=0,E19,SUM(E19:F19))</f>
        <v>IE</v>
      </c>
      <c r="E19" s="3607" t="s">
        <v>2153</v>
      </c>
      <c r="F19" s="3629" t="s">
        <v>2153</v>
      </c>
      <c r="G19" s="3630" t="str">
        <f t="shared" si="3"/>
        <v>NA</v>
      </c>
      <c r="H19" s="3631" t="str">
        <f t="shared" si="4"/>
        <v>NA</v>
      </c>
      <c r="I19" s="3632" t="str">
        <f t="shared" si="5"/>
        <v>NA</v>
      </c>
      <c r="J19" s="3631" t="str">
        <f t="shared" si="6"/>
        <v>NA</v>
      </c>
      <c r="K19" s="3631" t="str">
        <f t="shared" si="7"/>
        <v>NA</v>
      </c>
      <c r="L19" s="3633" t="str">
        <f t="shared" si="8"/>
        <v>NA</v>
      </c>
      <c r="M19" s="3624" t="s">
        <v>2153</v>
      </c>
      <c r="N19" s="3625">
        <v>-255.46952161106645</v>
      </c>
      <c r="O19" s="3109">
        <f t="shared" ref="O19:O22" si="18">IF(SUM(M19:N19)=0,M19,SUM(M19:N19))</f>
        <v>-255.46952161106645</v>
      </c>
      <c r="P19" s="3625">
        <v>-13.789742348186797</v>
      </c>
      <c r="Q19" s="3628" t="s">
        <v>2147</v>
      </c>
      <c r="R19" s="3627" t="s">
        <v>2147</v>
      </c>
      <c r="S19" s="3570">
        <f t="shared" ref="S19:S22" si="19">IF(SUM(O19:R19)=0,Q19,SUM(O19:R19)*-44/12)</f>
        <v>987.28396785059522</v>
      </c>
      <c r="T19" s="2502"/>
      <c r="U19" s="2684"/>
      <c r="V19" s="2502"/>
      <c r="W19" s="2502"/>
    </row>
    <row r="20" spans="1:23" ht="18" customHeight="1" x14ac:dyDescent="0.2">
      <c r="A20" s="2502"/>
      <c r="B20" s="2682"/>
      <c r="C20" s="2683" t="s">
        <v>2234</v>
      </c>
      <c r="D20" s="3600">
        <f t="shared" si="17"/>
        <v>10600.952033814268</v>
      </c>
      <c r="E20" s="3607">
        <v>10600.952033814268</v>
      </c>
      <c r="F20" s="3629" t="s">
        <v>2153</v>
      </c>
      <c r="G20" s="3630" t="str">
        <f t="shared" si="3"/>
        <v>NA</v>
      </c>
      <c r="H20" s="3631" t="str">
        <f t="shared" si="4"/>
        <v>NA</v>
      </c>
      <c r="I20" s="3632" t="str">
        <f t="shared" si="5"/>
        <v>NA</v>
      </c>
      <c r="J20" s="3631" t="str">
        <f t="shared" si="6"/>
        <v>NA</v>
      </c>
      <c r="K20" s="3631" t="str">
        <f t="shared" si="7"/>
        <v>NA</v>
      </c>
      <c r="L20" s="3633" t="str">
        <f t="shared" si="8"/>
        <v>NA</v>
      </c>
      <c r="M20" s="3627" t="s">
        <v>2147</v>
      </c>
      <c r="N20" s="3628" t="s">
        <v>2147</v>
      </c>
      <c r="O20" s="3109" t="str">
        <f t="shared" si="18"/>
        <v>NA</v>
      </c>
      <c r="P20" s="3628" t="s">
        <v>2147</v>
      </c>
      <c r="Q20" s="3628" t="s">
        <v>2147</v>
      </c>
      <c r="R20" s="3627" t="s">
        <v>2147</v>
      </c>
      <c r="S20" s="3570" t="str">
        <f t="shared" si="19"/>
        <v>NA</v>
      </c>
      <c r="T20" s="2502"/>
      <c r="U20" s="2684"/>
      <c r="V20" s="2502"/>
      <c r="W20" s="2502"/>
    </row>
    <row r="21" spans="1:23" ht="18" customHeight="1" x14ac:dyDescent="0.2">
      <c r="B21" s="1481" t="s">
        <v>1977</v>
      </c>
      <c r="C21" s="483"/>
      <c r="D21" s="3600">
        <f>D22</f>
        <v>63.525938008165269</v>
      </c>
      <c r="E21" s="3564" t="str">
        <f t="shared" ref="E21:F21" si="20">E22</f>
        <v>IE</v>
      </c>
      <c r="F21" s="3565">
        <f t="shared" si="20"/>
        <v>63.525938008165269</v>
      </c>
      <c r="G21" s="3630" t="str">
        <f t="shared" si="3"/>
        <v>NA</v>
      </c>
      <c r="H21" s="3631" t="str">
        <f t="shared" si="4"/>
        <v>NA</v>
      </c>
      <c r="I21" s="3632" t="str">
        <f t="shared" si="5"/>
        <v>NA</v>
      </c>
      <c r="J21" s="3631" t="str">
        <f t="shared" si="6"/>
        <v>NA</v>
      </c>
      <c r="K21" s="3631" t="str">
        <f t="shared" si="7"/>
        <v>NA</v>
      </c>
      <c r="L21" s="3633" t="str">
        <f t="shared" si="8"/>
        <v>NA</v>
      </c>
      <c r="M21" s="3505" t="str">
        <f t="shared" ref="M21:S21" si="21">M22</f>
        <v>NA</v>
      </c>
      <c r="N21" s="3506" t="str">
        <f t="shared" si="21"/>
        <v>NA</v>
      </c>
      <c r="O21" s="3506" t="str">
        <f t="shared" si="21"/>
        <v>NA</v>
      </c>
      <c r="P21" s="3506" t="str">
        <f t="shared" si="21"/>
        <v>NA</v>
      </c>
      <c r="Q21" s="3601" t="str">
        <f t="shared" si="21"/>
        <v>NA</v>
      </c>
      <c r="R21" s="3601" t="str">
        <f t="shared" si="21"/>
        <v>NA</v>
      </c>
      <c r="S21" s="3287" t="str">
        <f t="shared" si="21"/>
        <v>NA</v>
      </c>
      <c r="U21" s="2402"/>
    </row>
    <row r="22" spans="1:23" ht="18" customHeight="1" x14ac:dyDescent="0.2">
      <c r="B22" s="1473"/>
      <c r="C22" s="885" t="s">
        <v>278</v>
      </c>
      <c r="D22" s="3600">
        <f>IF(SUM(E22:F22)=0,E22,SUM(E22:F22))</f>
        <v>63.525938008165269</v>
      </c>
      <c r="E22" s="3569" t="s">
        <v>2153</v>
      </c>
      <c r="F22" s="3554">
        <v>63.525938008165269</v>
      </c>
      <c r="G22" s="3622" t="str">
        <f t="shared" si="3"/>
        <v>NA</v>
      </c>
      <c r="H22" s="3591" t="str">
        <f t="shared" si="4"/>
        <v>NA</v>
      </c>
      <c r="I22" s="3623" t="str">
        <f t="shared" si="5"/>
        <v>NA</v>
      </c>
      <c r="J22" s="3591" t="str">
        <f t="shared" si="6"/>
        <v>NA</v>
      </c>
      <c r="K22" s="3591" t="str">
        <f t="shared" si="7"/>
        <v>NA</v>
      </c>
      <c r="L22" s="3595" t="str">
        <f t="shared" si="8"/>
        <v>NA</v>
      </c>
      <c r="M22" s="3624" t="s">
        <v>2147</v>
      </c>
      <c r="N22" s="3625" t="s">
        <v>2147</v>
      </c>
      <c r="O22" s="3109" t="str">
        <f t="shared" si="18"/>
        <v>NA</v>
      </c>
      <c r="P22" s="3625" t="s">
        <v>2147</v>
      </c>
      <c r="Q22" s="3626" t="s">
        <v>2147</v>
      </c>
      <c r="R22" s="3626" t="s">
        <v>2147</v>
      </c>
      <c r="S22" s="3570" t="str">
        <f t="shared" si="19"/>
        <v>NA</v>
      </c>
      <c r="U22" s="2403"/>
      <c r="W22" s="2502"/>
    </row>
    <row r="23" spans="1:23" ht="18" customHeight="1" x14ac:dyDescent="0.2">
      <c r="B23" s="502" t="s">
        <v>1976</v>
      </c>
      <c r="C23" s="486"/>
      <c r="D23" s="3589">
        <f>IF(SUM(D24,D35,D46)=0,"IE",SUM(D24,D35,D46))</f>
        <v>37.984000000000002</v>
      </c>
      <c r="E23" s="3591">
        <f t="shared" ref="E23:F23" si="22">IF(SUM(E24,E35,E46)=0,"IE",SUM(E24,E35,E46))</f>
        <v>37.984000000000002</v>
      </c>
      <c r="F23" s="3595" t="str">
        <f t="shared" si="22"/>
        <v>IE</v>
      </c>
      <c r="G23" s="3622" t="str">
        <f t="shared" si="3"/>
        <v>NA</v>
      </c>
      <c r="H23" s="3591">
        <f t="shared" si="4"/>
        <v>-0.54981044650379107</v>
      </c>
      <c r="I23" s="3623">
        <f t="shared" si="5"/>
        <v>-0.54981044650379107</v>
      </c>
      <c r="J23" s="3591" t="str">
        <f t="shared" si="6"/>
        <v>NA</v>
      </c>
      <c r="K23" s="3591" t="str">
        <f t="shared" si="7"/>
        <v>NA</v>
      </c>
      <c r="L23" s="3595" t="str">
        <f t="shared" si="8"/>
        <v>NA</v>
      </c>
      <c r="M23" s="3591" t="str">
        <f t="shared" ref="M23" si="23">IF(SUM(M24,M35,M46)=0,"IE",SUM(M24,M35,M46))</f>
        <v>IE</v>
      </c>
      <c r="N23" s="3591">
        <f t="shared" ref="N23" si="24">IF(SUM(N24,N35,N46)=0,"IE",SUM(N24,N35,N46))</f>
        <v>-20.884</v>
      </c>
      <c r="O23" s="3623">
        <f t="shared" ref="O23" si="25">IF(SUM(O24,O35,O46)=0,"IE",SUM(O24,O35,O46))</f>
        <v>-20.884</v>
      </c>
      <c r="P23" s="3591" t="str">
        <f>IF(SUM(P24,P35,P46)=0,"NO",SUM(P24,P35,P46))</f>
        <v>NO</v>
      </c>
      <c r="Q23" s="3590" t="str">
        <f>IF(SUM(Q24,Q35,Q46)=0,"NO",SUM(Q24,Q35,Q46))</f>
        <v>NO</v>
      </c>
      <c r="R23" s="3590" t="str">
        <f>IF(SUM(R24,R35,R46)=0,"NO",SUM(R24,R35,R46))</f>
        <v>NO</v>
      </c>
      <c r="S23" s="3594">
        <f t="shared" ref="S23" si="26">IF(SUM(S24,S35,S46)=0,"IE",SUM(S24,S35,S46))</f>
        <v>76.574666666666658</v>
      </c>
      <c r="U23" s="503"/>
    </row>
    <row r="24" spans="1:23" ht="18" customHeight="1" x14ac:dyDescent="0.2">
      <c r="B24" s="487" t="s">
        <v>1080</v>
      </c>
      <c r="C24" s="486"/>
      <c r="D24" s="3589" t="str">
        <f>IF(SUM(D25,D27,D29,D31,D33)=0,"NO",SUM(D25,D27,D29,D31,D33))</f>
        <v>NO</v>
      </c>
      <c r="E24" s="3591" t="str">
        <f>IF(SUM(E25,E27,E29,E31,E33)=0,"NO",SUM(E25,E27,E29,E31,E33))</f>
        <v>NO</v>
      </c>
      <c r="F24" s="3595" t="str">
        <f>IF(SUM(F25,F27,F29,F31,F33)=0,"NO",SUM(F25,F27,F29,F31,F33))</f>
        <v>NO</v>
      </c>
      <c r="G24" s="3622" t="str">
        <f t="shared" si="3"/>
        <v>NA</v>
      </c>
      <c r="H24" s="3591" t="str">
        <f t="shared" si="4"/>
        <v>NA</v>
      </c>
      <c r="I24" s="3623" t="str">
        <f t="shared" si="5"/>
        <v>NA</v>
      </c>
      <c r="J24" s="3591" t="str">
        <f t="shared" si="6"/>
        <v>NA</v>
      </c>
      <c r="K24" s="3591" t="str">
        <f t="shared" si="7"/>
        <v>NA</v>
      </c>
      <c r="L24" s="3595" t="str">
        <f t="shared" si="8"/>
        <v>NA</v>
      </c>
      <c r="M24" s="3591" t="str">
        <f t="shared" ref="M24:S24" si="27">IF(SUM(M25,M27,M29,M31,M33)=0,"NO",SUM(M25,M27,M29,M31,M33))</f>
        <v>NO</v>
      </c>
      <c r="N24" s="3591" t="str">
        <f t="shared" si="27"/>
        <v>NO</v>
      </c>
      <c r="O24" s="3623" t="str">
        <f t="shared" si="27"/>
        <v>NO</v>
      </c>
      <c r="P24" s="3591" t="str">
        <f t="shared" si="27"/>
        <v>NO</v>
      </c>
      <c r="Q24" s="3590" t="str">
        <f t="shared" si="27"/>
        <v>NO</v>
      </c>
      <c r="R24" s="3590" t="str">
        <f t="shared" si="27"/>
        <v>NO</v>
      </c>
      <c r="S24" s="3594" t="str">
        <f t="shared" si="27"/>
        <v>NO</v>
      </c>
      <c r="U24" s="503"/>
    </row>
    <row r="25" spans="1:23" ht="18" customHeight="1" x14ac:dyDescent="0.2">
      <c r="B25" s="505" t="s">
        <v>1081</v>
      </c>
      <c r="C25" s="486"/>
      <c r="D25" s="3600" t="str">
        <f>D26</f>
        <v>NO</v>
      </c>
      <c r="E25" s="3564" t="str">
        <f t="shared" ref="E25:F25" si="28">E26</f>
        <v>NO</v>
      </c>
      <c r="F25" s="3565" t="str">
        <f t="shared" si="28"/>
        <v>NO</v>
      </c>
      <c r="G25" s="3558" t="str">
        <f t="shared" si="3"/>
        <v>NA</v>
      </c>
      <c r="H25" s="3078" t="str">
        <f t="shared" si="4"/>
        <v>NA</v>
      </c>
      <c r="I25" s="3078" t="str">
        <f t="shared" si="5"/>
        <v>NA</v>
      </c>
      <c r="J25" s="3078" t="str">
        <f t="shared" si="6"/>
        <v>NA</v>
      </c>
      <c r="K25" s="3573" t="str">
        <f t="shared" si="7"/>
        <v>NA</v>
      </c>
      <c r="L25" s="3128" t="str">
        <f t="shared" si="8"/>
        <v>NA</v>
      </c>
      <c r="M25" s="3505" t="str">
        <f t="shared" ref="M25:S25" si="29">M26</f>
        <v>NO</v>
      </c>
      <c r="N25" s="3506" t="str">
        <f t="shared" si="29"/>
        <v>NO</v>
      </c>
      <c r="O25" s="3506" t="str">
        <f t="shared" si="29"/>
        <v>NO</v>
      </c>
      <c r="P25" s="3506" t="str">
        <f t="shared" si="29"/>
        <v>NO</v>
      </c>
      <c r="Q25" s="3601" t="str">
        <f t="shared" si="29"/>
        <v>NO</v>
      </c>
      <c r="R25" s="3601" t="str">
        <f t="shared" si="29"/>
        <v>NO</v>
      </c>
      <c r="S25" s="3287" t="str">
        <f t="shared" si="29"/>
        <v>NO</v>
      </c>
      <c r="U25" s="2402"/>
    </row>
    <row r="26" spans="1:23" ht="18" customHeight="1" x14ac:dyDescent="0.2">
      <c r="B26" s="1479"/>
      <c r="C26" s="885" t="s">
        <v>278</v>
      </c>
      <c r="D26" s="3600" t="str">
        <f>IF(SUM(E26:F26)=0,E26,SUM(E26:F26))</f>
        <v>NO</v>
      </c>
      <c r="E26" s="3569" t="s">
        <v>2146</v>
      </c>
      <c r="F26" s="3569" t="s">
        <v>2146</v>
      </c>
      <c r="G26" s="3622" t="str">
        <f t="shared" si="3"/>
        <v>NA</v>
      </c>
      <c r="H26" s="3591" t="str">
        <f t="shared" si="4"/>
        <v>NA</v>
      </c>
      <c r="I26" s="3623" t="str">
        <f t="shared" si="5"/>
        <v>NA</v>
      </c>
      <c r="J26" s="3591" t="str">
        <f t="shared" si="6"/>
        <v>NA</v>
      </c>
      <c r="K26" s="3591" t="str">
        <f t="shared" si="7"/>
        <v>NA</v>
      </c>
      <c r="L26" s="3595" t="str">
        <f t="shared" si="8"/>
        <v>NA</v>
      </c>
      <c r="M26" s="3569" t="s">
        <v>2146</v>
      </c>
      <c r="N26" s="3569" t="s">
        <v>2146</v>
      </c>
      <c r="O26" s="3109" t="str">
        <f t="shared" ref="O26" si="30">IF(SUM(M26:N26)=0,M26,SUM(M26:N26))</f>
        <v>NO</v>
      </c>
      <c r="P26" s="3569" t="s">
        <v>2146</v>
      </c>
      <c r="Q26" s="3569" t="s">
        <v>2146</v>
      </c>
      <c r="R26" s="3569" t="s">
        <v>2146</v>
      </c>
      <c r="S26" s="3570" t="str">
        <f t="shared" ref="S26" si="31">IF(SUM(O26:R26)=0,Q26,SUM(O26:R26)*-44/12)</f>
        <v>NO</v>
      </c>
      <c r="U26" s="2403"/>
    </row>
    <row r="27" spans="1:23" ht="18" customHeight="1" x14ac:dyDescent="0.2">
      <c r="B27" s="505" t="s">
        <v>1082</v>
      </c>
      <c r="C27" s="486"/>
      <c r="D27" s="3600" t="str">
        <f>D28</f>
        <v>NO</v>
      </c>
      <c r="E27" s="3564" t="str">
        <f t="shared" ref="E27:F27" si="32">E28</f>
        <v>NO</v>
      </c>
      <c r="F27" s="3565" t="str">
        <f t="shared" si="32"/>
        <v>NO</v>
      </c>
      <c r="G27" s="3558" t="str">
        <f t="shared" si="3"/>
        <v>NA</v>
      </c>
      <c r="H27" s="3078" t="str">
        <f t="shared" si="4"/>
        <v>NA</v>
      </c>
      <c r="I27" s="3078" t="str">
        <f t="shared" si="5"/>
        <v>NA</v>
      </c>
      <c r="J27" s="3078" t="str">
        <f t="shared" si="6"/>
        <v>NA</v>
      </c>
      <c r="K27" s="3573" t="str">
        <f t="shared" si="7"/>
        <v>NA</v>
      </c>
      <c r="L27" s="3128" t="str">
        <f t="shared" si="8"/>
        <v>NA</v>
      </c>
      <c r="M27" s="3505" t="str">
        <f t="shared" ref="M27:S27" si="33">M28</f>
        <v>NO</v>
      </c>
      <c r="N27" s="3506" t="str">
        <f t="shared" si="33"/>
        <v>NO</v>
      </c>
      <c r="O27" s="3506" t="str">
        <f t="shared" si="33"/>
        <v>NO</v>
      </c>
      <c r="P27" s="3506" t="str">
        <f t="shared" si="33"/>
        <v>NO</v>
      </c>
      <c r="Q27" s="3601" t="str">
        <f t="shared" si="33"/>
        <v>NO</v>
      </c>
      <c r="R27" s="3601" t="str">
        <f t="shared" si="33"/>
        <v>NO</v>
      </c>
      <c r="S27" s="3287" t="str">
        <f t="shared" si="33"/>
        <v>NO</v>
      </c>
      <c r="U27" s="2402"/>
    </row>
    <row r="28" spans="1:23" ht="18" customHeight="1" x14ac:dyDescent="0.2">
      <c r="B28" s="1479"/>
      <c r="C28" s="885" t="s">
        <v>278</v>
      </c>
      <c r="D28" s="3600" t="str">
        <f>IF(SUM(E28:F28)=0,E28,SUM(E28:F28))</f>
        <v>NO</v>
      </c>
      <c r="E28" s="3569" t="s">
        <v>2146</v>
      </c>
      <c r="F28" s="3569" t="s">
        <v>2146</v>
      </c>
      <c r="G28" s="3622" t="str">
        <f t="shared" si="3"/>
        <v>NA</v>
      </c>
      <c r="H28" s="3591" t="str">
        <f t="shared" si="4"/>
        <v>NA</v>
      </c>
      <c r="I28" s="3623" t="str">
        <f t="shared" si="5"/>
        <v>NA</v>
      </c>
      <c r="J28" s="3591" t="str">
        <f t="shared" si="6"/>
        <v>NA</v>
      </c>
      <c r="K28" s="3591" t="str">
        <f t="shared" si="7"/>
        <v>NA</v>
      </c>
      <c r="L28" s="3595" t="str">
        <f t="shared" si="8"/>
        <v>NA</v>
      </c>
      <c r="M28" s="3569" t="s">
        <v>2146</v>
      </c>
      <c r="N28" s="3569" t="s">
        <v>2146</v>
      </c>
      <c r="O28" s="3109" t="str">
        <f t="shared" ref="O28" si="34">IF(SUM(M28:N28)=0,M28,SUM(M28:N28))</f>
        <v>NO</v>
      </c>
      <c r="P28" s="3569" t="s">
        <v>2146</v>
      </c>
      <c r="Q28" s="3569" t="s">
        <v>2146</v>
      </c>
      <c r="R28" s="3569" t="s">
        <v>2146</v>
      </c>
      <c r="S28" s="3570" t="str">
        <f t="shared" ref="S28" si="35">IF(SUM(O28:R28)=0,Q28,SUM(O28:R28)*-44/12)</f>
        <v>NO</v>
      </c>
      <c r="U28" s="2403"/>
    </row>
    <row r="29" spans="1:23" ht="18" customHeight="1" x14ac:dyDescent="0.2">
      <c r="B29" s="505" t="s">
        <v>1083</v>
      </c>
      <c r="C29" s="486"/>
      <c r="D29" s="3600" t="str">
        <f>D30</f>
        <v>NO</v>
      </c>
      <c r="E29" s="3564" t="str">
        <f t="shared" ref="E29:F29" si="36">E30</f>
        <v>NO</v>
      </c>
      <c r="F29" s="3565" t="str">
        <f t="shared" si="36"/>
        <v>NO</v>
      </c>
      <c r="G29" s="3558" t="str">
        <f t="shared" si="3"/>
        <v>NA</v>
      </c>
      <c r="H29" s="3078" t="str">
        <f t="shared" si="4"/>
        <v>NA</v>
      </c>
      <c r="I29" s="3078" t="str">
        <f t="shared" si="5"/>
        <v>NA</v>
      </c>
      <c r="J29" s="3078" t="str">
        <f t="shared" si="6"/>
        <v>NA</v>
      </c>
      <c r="K29" s="3573" t="str">
        <f t="shared" si="7"/>
        <v>NA</v>
      </c>
      <c r="L29" s="3128" t="str">
        <f t="shared" si="8"/>
        <v>NA</v>
      </c>
      <c r="M29" s="3505" t="str">
        <f t="shared" ref="M29:S29" si="37">M30</f>
        <v>NO</v>
      </c>
      <c r="N29" s="3506" t="str">
        <f t="shared" si="37"/>
        <v>NO</v>
      </c>
      <c r="O29" s="3506" t="str">
        <f t="shared" si="37"/>
        <v>NO</v>
      </c>
      <c r="P29" s="3506" t="str">
        <f t="shared" si="37"/>
        <v>NO</v>
      </c>
      <c r="Q29" s="3601" t="str">
        <f t="shared" si="37"/>
        <v>NO</v>
      </c>
      <c r="R29" s="3601" t="str">
        <f t="shared" si="37"/>
        <v>NO</v>
      </c>
      <c r="S29" s="3287" t="str">
        <f t="shared" si="37"/>
        <v>NO</v>
      </c>
      <c r="U29" s="2402"/>
    </row>
    <row r="30" spans="1:23" ht="18" customHeight="1" x14ac:dyDescent="0.2">
      <c r="B30" s="1479"/>
      <c r="C30" s="885" t="s">
        <v>278</v>
      </c>
      <c r="D30" s="3600" t="str">
        <f>IF(SUM(E30:F30)=0,E30,SUM(E30:F30))</f>
        <v>NO</v>
      </c>
      <c r="E30" s="3569" t="s">
        <v>2146</v>
      </c>
      <c r="F30" s="3569" t="s">
        <v>2146</v>
      </c>
      <c r="G30" s="3622" t="str">
        <f t="shared" si="3"/>
        <v>NA</v>
      </c>
      <c r="H30" s="3591" t="str">
        <f t="shared" si="4"/>
        <v>NA</v>
      </c>
      <c r="I30" s="3623" t="str">
        <f t="shared" si="5"/>
        <v>NA</v>
      </c>
      <c r="J30" s="3591" t="str">
        <f t="shared" si="6"/>
        <v>NA</v>
      </c>
      <c r="K30" s="3591" t="str">
        <f t="shared" si="7"/>
        <v>NA</v>
      </c>
      <c r="L30" s="3595" t="str">
        <f t="shared" si="8"/>
        <v>NA</v>
      </c>
      <c r="M30" s="3569" t="s">
        <v>2146</v>
      </c>
      <c r="N30" s="3569" t="s">
        <v>2146</v>
      </c>
      <c r="O30" s="3109" t="str">
        <f t="shared" ref="O30" si="38">IF(SUM(M30:N30)=0,M30,SUM(M30:N30))</f>
        <v>NO</v>
      </c>
      <c r="P30" s="3569" t="s">
        <v>2146</v>
      </c>
      <c r="Q30" s="3569" t="s">
        <v>2146</v>
      </c>
      <c r="R30" s="3569" t="s">
        <v>2146</v>
      </c>
      <c r="S30" s="3570" t="str">
        <f t="shared" ref="S30" si="39">IF(SUM(O30:R30)=0,Q30,SUM(O30:R30)*-44/12)</f>
        <v>NO</v>
      </c>
      <c r="U30" s="2403"/>
    </row>
    <row r="31" spans="1:23" ht="18" customHeight="1" x14ac:dyDescent="0.2">
      <c r="B31" s="505" t="s">
        <v>1084</v>
      </c>
      <c r="C31" s="486"/>
      <c r="D31" s="3600" t="str">
        <f>D32</f>
        <v>NO</v>
      </c>
      <c r="E31" s="3564" t="str">
        <f t="shared" ref="E31:F31" si="40">E32</f>
        <v>NO</v>
      </c>
      <c r="F31" s="3565" t="str">
        <f t="shared" si="40"/>
        <v>NO</v>
      </c>
      <c r="G31" s="3558" t="str">
        <f t="shared" si="3"/>
        <v>NA</v>
      </c>
      <c r="H31" s="3078" t="str">
        <f t="shared" si="4"/>
        <v>NA</v>
      </c>
      <c r="I31" s="3078" t="str">
        <f t="shared" si="5"/>
        <v>NA</v>
      </c>
      <c r="J31" s="3078" t="str">
        <f t="shared" si="6"/>
        <v>NA</v>
      </c>
      <c r="K31" s="3573" t="str">
        <f t="shared" si="7"/>
        <v>NA</v>
      </c>
      <c r="L31" s="3128" t="str">
        <f t="shared" si="8"/>
        <v>NA</v>
      </c>
      <c r="M31" s="3505" t="str">
        <f t="shared" ref="M31:S31" si="41">M32</f>
        <v>NO</v>
      </c>
      <c r="N31" s="3506" t="str">
        <f t="shared" si="41"/>
        <v>NO</v>
      </c>
      <c r="O31" s="3506" t="str">
        <f t="shared" si="41"/>
        <v>NO</v>
      </c>
      <c r="P31" s="3506" t="str">
        <f t="shared" si="41"/>
        <v>NO</v>
      </c>
      <c r="Q31" s="3601" t="str">
        <f t="shared" si="41"/>
        <v>NO</v>
      </c>
      <c r="R31" s="3601" t="str">
        <f t="shared" si="41"/>
        <v>NO</v>
      </c>
      <c r="S31" s="3287" t="str">
        <f t="shared" si="41"/>
        <v>NO</v>
      </c>
      <c r="U31" s="2402"/>
    </row>
    <row r="32" spans="1:23" ht="18" customHeight="1" x14ac:dyDescent="0.2">
      <c r="B32" s="1479"/>
      <c r="C32" s="885" t="s">
        <v>278</v>
      </c>
      <c r="D32" s="3600" t="str">
        <f>IF(SUM(E32:F32)=0,E32,SUM(E32:F32))</f>
        <v>NO</v>
      </c>
      <c r="E32" s="3569" t="s">
        <v>2146</v>
      </c>
      <c r="F32" s="3569" t="s">
        <v>2146</v>
      </c>
      <c r="G32" s="3622" t="str">
        <f t="shared" si="3"/>
        <v>NA</v>
      </c>
      <c r="H32" s="3591" t="str">
        <f t="shared" si="4"/>
        <v>NA</v>
      </c>
      <c r="I32" s="3623" t="str">
        <f t="shared" si="5"/>
        <v>NA</v>
      </c>
      <c r="J32" s="3591" t="str">
        <f t="shared" si="6"/>
        <v>NA</v>
      </c>
      <c r="K32" s="3591" t="str">
        <f t="shared" si="7"/>
        <v>NA</v>
      </c>
      <c r="L32" s="3595" t="str">
        <f t="shared" si="8"/>
        <v>NA</v>
      </c>
      <c r="M32" s="3569" t="s">
        <v>2146</v>
      </c>
      <c r="N32" s="3569" t="s">
        <v>2146</v>
      </c>
      <c r="O32" s="3109" t="str">
        <f t="shared" ref="O32" si="42">IF(SUM(M32:N32)=0,M32,SUM(M32:N32))</f>
        <v>NO</v>
      </c>
      <c r="P32" s="3569" t="s">
        <v>2146</v>
      </c>
      <c r="Q32" s="3569" t="s">
        <v>2146</v>
      </c>
      <c r="R32" s="3569" t="s">
        <v>2146</v>
      </c>
      <c r="S32" s="3570" t="str">
        <f t="shared" ref="S32" si="43">IF(SUM(O32:R32)=0,Q32,SUM(O32:R32)*-44/12)</f>
        <v>NO</v>
      </c>
      <c r="U32" s="2403"/>
    </row>
    <row r="33" spans="2:21" ht="18" customHeight="1" x14ac:dyDescent="0.2">
      <c r="B33" s="505" t="s">
        <v>1085</v>
      </c>
      <c r="C33" s="486"/>
      <c r="D33" s="3600" t="str">
        <f>D34</f>
        <v>NO</v>
      </c>
      <c r="E33" s="3564" t="str">
        <f t="shared" ref="E33:F33" si="44">E34</f>
        <v>NO</v>
      </c>
      <c r="F33" s="3565" t="str">
        <f t="shared" si="44"/>
        <v>NO</v>
      </c>
      <c r="G33" s="3558" t="str">
        <f t="shared" si="3"/>
        <v>NA</v>
      </c>
      <c r="H33" s="3078" t="str">
        <f t="shared" si="4"/>
        <v>NA</v>
      </c>
      <c r="I33" s="3078" t="str">
        <f t="shared" si="5"/>
        <v>NA</v>
      </c>
      <c r="J33" s="3078" t="str">
        <f t="shared" si="6"/>
        <v>NA</v>
      </c>
      <c r="K33" s="3573" t="str">
        <f t="shared" si="7"/>
        <v>NA</v>
      </c>
      <c r="L33" s="3128" t="str">
        <f t="shared" si="8"/>
        <v>NA</v>
      </c>
      <c r="M33" s="3505" t="str">
        <f t="shared" ref="M33:S33" si="45">M34</f>
        <v>NO</v>
      </c>
      <c r="N33" s="3506" t="str">
        <f t="shared" si="45"/>
        <v>NO</v>
      </c>
      <c r="O33" s="3506" t="str">
        <f t="shared" si="45"/>
        <v>NO</v>
      </c>
      <c r="P33" s="3506" t="str">
        <f t="shared" si="45"/>
        <v>NO</v>
      </c>
      <c r="Q33" s="3601" t="str">
        <f t="shared" si="45"/>
        <v>NO</v>
      </c>
      <c r="R33" s="3601" t="str">
        <f t="shared" si="45"/>
        <v>NO</v>
      </c>
      <c r="S33" s="3287" t="str">
        <f t="shared" si="45"/>
        <v>NO</v>
      </c>
      <c r="U33" s="2402"/>
    </row>
    <row r="34" spans="2:21" ht="18" customHeight="1" x14ac:dyDescent="0.2">
      <c r="B34" s="1479"/>
      <c r="C34" s="885" t="s">
        <v>278</v>
      </c>
      <c r="D34" s="3600" t="str">
        <f>IF(SUM(E34:F34)=0,E34,SUM(E34:F34))</f>
        <v>NO</v>
      </c>
      <c r="E34" s="3569" t="s">
        <v>2146</v>
      </c>
      <c r="F34" s="3569" t="s">
        <v>2146</v>
      </c>
      <c r="G34" s="3622" t="str">
        <f t="shared" si="3"/>
        <v>NA</v>
      </c>
      <c r="H34" s="3591" t="str">
        <f t="shared" si="4"/>
        <v>NA</v>
      </c>
      <c r="I34" s="3623" t="str">
        <f t="shared" si="5"/>
        <v>NA</v>
      </c>
      <c r="J34" s="3591" t="str">
        <f t="shared" si="6"/>
        <v>NA</v>
      </c>
      <c r="K34" s="3591" t="str">
        <f t="shared" si="7"/>
        <v>NA</v>
      </c>
      <c r="L34" s="3595" t="str">
        <f t="shared" si="8"/>
        <v>NA</v>
      </c>
      <c r="M34" s="3569" t="s">
        <v>2146</v>
      </c>
      <c r="N34" s="3569" t="s">
        <v>2146</v>
      </c>
      <c r="O34" s="3109" t="str">
        <f t="shared" ref="O34" si="46">IF(SUM(M34:N34)=0,M34,SUM(M34:N34))</f>
        <v>NO</v>
      </c>
      <c r="P34" s="3569" t="s">
        <v>2146</v>
      </c>
      <c r="Q34" s="3569" t="s">
        <v>2146</v>
      </c>
      <c r="R34" s="3569" t="s">
        <v>2146</v>
      </c>
      <c r="S34" s="3570" t="str">
        <f t="shared" ref="S34" si="47">IF(SUM(O34:R34)=0,Q34,SUM(O34:R34)*-44/12)</f>
        <v>NO</v>
      </c>
      <c r="U34" s="2403"/>
    </row>
    <row r="35" spans="2:21" ht="18" customHeight="1" x14ac:dyDescent="0.2">
      <c r="B35" s="1473" t="s">
        <v>1086</v>
      </c>
      <c r="C35" s="486"/>
      <c r="D35" s="3589">
        <f>IF(SUM(D36,D38,D40,D42,D44)=0,"IE",SUM(D36,D38,D40,D42,D44))</f>
        <v>37.984000000000002</v>
      </c>
      <c r="E35" s="3591">
        <f>IF(SUM(E36,E38,E40,E42,E44)=0,"IE",SUM(E36,E38,E40,E42,E44))</f>
        <v>37.984000000000002</v>
      </c>
      <c r="F35" s="3595" t="str">
        <f>IF(SUM(F36,F38,F40,F42,F44)=0,"IE",SUM(F36,F38,F40,F42,F44))</f>
        <v>IE</v>
      </c>
      <c r="G35" s="3622" t="str">
        <f t="shared" si="3"/>
        <v>NA</v>
      </c>
      <c r="H35" s="3591">
        <f t="shared" si="4"/>
        <v>-0.54981044650379107</v>
      </c>
      <c r="I35" s="3623">
        <f t="shared" si="5"/>
        <v>-0.54981044650379107</v>
      </c>
      <c r="J35" s="3591" t="str">
        <f t="shared" si="6"/>
        <v>NA</v>
      </c>
      <c r="K35" s="3591" t="str">
        <f t="shared" si="7"/>
        <v>NA</v>
      </c>
      <c r="L35" s="3595" t="str">
        <f t="shared" si="8"/>
        <v>NA</v>
      </c>
      <c r="M35" s="3591" t="str">
        <f t="shared" ref="M35:S35" si="48">IF(SUM(M36,M38,M40,M42,M44)=0,"IE",SUM(M36,M38,M40,M42,M44))</f>
        <v>IE</v>
      </c>
      <c r="N35" s="3591">
        <f t="shared" si="48"/>
        <v>-20.884</v>
      </c>
      <c r="O35" s="3623">
        <f t="shared" si="48"/>
        <v>-20.884</v>
      </c>
      <c r="P35" s="3591" t="str">
        <f>IF(SUM(P36,P38,P40,P42,P44)=0,"NO",SUM(P36,P38,P40,P42,P44))</f>
        <v>NO</v>
      </c>
      <c r="Q35" s="3590" t="str">
        <f>IF(SUM(Q36,Q38,Q40,Q42,Q44)=0,"NO",SUM(Q36,Q38,Q40,Q42,Q44))</f>
        <v>NO</v>
      </c>
      <c r="R35" s="3590" t="str">
        <f>IF(SUM(R36,R38,R40,R42,R44)=0,"NO",SUM(R36,R38,R40,R42,R44))</f>
        <v>NO</v>
      </c>
      <c r="S35" s="3594">
        <f t="shared" si="48"/>
        <v>76.574666666666658</v>
      </c>
      <c r="U35" s="503"/>
    </row>
    <row r="36" spans="2:21" ht="18" customHeight="1" x14ac:dyDescent="0.2">
      <c r="B36" s="505" t="s">
        <v>1087</v>
      </c>
      <c r="C36" s="486"/>
      <c r="D36" s="3600">
        <f>D37</f>
        <v>37.984000000000002</v>
      </c>
      <c r="E36" s="3564">
        <f t="shared" ref="E36:F36" si="49">E37</f>
        <v>37.984000000000002</v>
      </c>
      <c r="F36" s="3565" t="str">
        <f t="shared" si="49"/>
        <v>IE</v>
      </c>
      <c r="G36" s="3558" t="str">
        <f t="shared" si="3"/>
        <v>NA</v>
      </c>
      <c r="H36" s="3078">
        <f t="shared" si="4"/>
        <v>-0.54981044650379107</v>
      </c>
      <c r="I36" s="3078">
        <f t="shared" si="5"/>
        <v>-0.54981044650379107</v>
      </c>
      <c r="J36" s="3078" t="str">
        <f t="shared" si="6"/>
        <v>NA</v>
      </c>
      <c r="K36" s="3573" t="str">
        <f t="shared" si="7"/>
        <v>NA</v>
      </c>
      <c r="L36" s="3128" t="str">
        <f t="shared" si="8"/>
        <v>NA</v>
      </c>
      <c r="M36" s="3505" t="str">
        <f t="shared" ref="M36:S36" si="50">M37</f>
        <v>IE</v>
      </c>
      <c r="N36" s="3506">
        <f t="shared" si="50"/>
        <v>-20.884</v>
      </c>
      <c r="O36" s="3506">
        <f t="shared" si="50"/>
        <v>-20.884</v>
      </c>
      <c r="P36" s="3506" t="str">
        <f t="shared" si="50"/>
        <v>NA</v>
      </c>
      <c r="Q36" s="3601" t="str">
        <f t="shared" si="50"/>
        <v>NA</v>
      </c>
      <c r="R36" s="3601" t="str">
        <f t="shared" si="50"/>
        <v>NA</v>
      </c>
      <c r="S36" s="3287">
        <f t="shared" si="50"/>
        <v>76.574666666666658</v>
      </c>
      <c r="U36" s="2402"/>
    </row>
    <row r="37" spans="2:21" ht="18" customHeight="1" x14ac:dyDescent="0.2">
      <c r="B37" s="1479"/>
      <c r="C37" s="885" t="s">
        <v>278</v>
      </c>
      <c r="D37" s="3600">
        <f>IF(SUM(E37:F37)=0,E37,SUM(E37:F37))</f>
        <v>37.984000000000002</v>
      </c>
      <c r="E37" s="3569">
        <v>37.984000000000002</v>
      </c>
      <c r="F37" s="3554" t="s">
        <v>2153</v>
      </c>
      <c r="G37" s="3622" t="str">
        <f t="shared" si="3"/>
        <v>NA</v>
      </c>
      <c r="H37" s="3591">
        <f t="shared" si="4"/>
        <v>-0.54981044650379107</v>
      </c>
      <c r="I37" s="3623">
        <f t="shared" si="5"/>
        <v>-0.54981044650379107</v>
      </c>
      <c r="J37" s="3591" t="str">
        <f t="shared" si="6"/>
        <v>NA</v>
      </c>
      <c r="K37" s="3591" t="str">
        <f t="shared" si="7"/>
        <v>NA</v>
      </c>
      <c r="L37" s="3595" t="str">
        <f t="shared" si="8"/>
        <v>NA</v>
      </c>
      <c r="M37" s="3624" t="s">
        <v>2153</v>
      </c>
      <c r="N37" s="3625">
        <v>-20.884</v>
      </c>
      <c r="O37" s="3109">
        <f t="shared" ref="O37" si="51">IF(SUM(M37:N37)=0,M37,SUM(M37:N37))</f>
        <v>-20.884</v>
      </c>
      <c r="P37" s="3625" t="s">
        <v>2147</v>
      </c>
      <c r="Q37" s="3626" t="s">
        <v>2147</v>
      </c>
      <c r="R37" s="3626" t="s">
        <v>2147</v>
      </c>
      <c r="S37" s="3570">
        <f t="shared" ref="S37" si="52">IF(SUM(O37:R37)=0,Q37,SUM(O37:R37)*-44/12)</f>
        <v>76.574666666666658</v>
      </c>
      <c r="U37" s="2403"/>
    </row>
    <row r="38" spans="2:21" ht="18" customHeight="1" x14ac:dyDescent="0.2">
      <c r="B38" s="505" t="s">
        <v>1088</v>
      </c>
      <c r="C38" s="486"/>
      <c r="D38" s="3600" t="str">
        <f>D39</f>
        <v>NO</v>
      </c>
      <c r="E38" s="3564" t="str">
        <f t="shared" ref="E38:F38" si="53">E39</f>
        <v>NO</v>
      </c>
      <c r="F38" s="3565" t="str">
        <f t="shared" si="53"/>
        <v>NO</v>
      </c>
      <c r="G38" s="3558" t="str">
        <f t="shared" si="3"/>
        <v>NA</v>
      </c>
      <c r="H38" s="3078" t="str">
        <f t="shared" si="4"/>
        <v>NA</v>
      </c>
      <c r="I38" s="3078" t="str">
        <f t="shared" si="5"/>
        <v>NA</v>
      </c>
      <c r="J38" s="3078" t="str">
        <f t="shared" si="6"/>
        <v>NA</v>
      </c>
      <c r="K38" s="3573" t="str">
        <f t="shared" si="7"/>
        <v>NA</v>
      </c>
      <c r="L38" s="3128" t="str">
        <f t="shared" si="8"/>
        <v>NA</v>
      </c>
      <c r="M38" s="3505" t="str">
        <f t="shared" ref="M38:S38" si="54">M39</f>
        <v>NO</v>
      </c>
      <c r="N38" s="3506" t="str">
        <f t="shared" si="54"/>
        <v>NO</v>
      </c>
      <c r="O38" s="3506" t="str">
        <f t="shared" si="54"/>
        <v>NO</v>
      </c>
      <c r="P38" s="3506" t="str">
        <f t="shared" si="54"/>
        <v>NO</v>
      </c>
      <c r="Q38" s="3601" t="str">
        <f t="shared" si="54"/>
        <v>NO</v>
      </c>
      <c r="R38" s="3601" t="str">
        <f t="shared" si="54"/>
        <v>NO</v>
      </c>
      <c r="S38" s="3287" t="str">
        <f t="shared" si="54"/>
        <v>NO</v>
      </c>
      <c r="U38" s="2402"/>
    </row>
    <row r="39" spans="2:21" ht="18" customHeight="1" x14ac:dyDescent="0.2">
      <c r="B39" s="1479"/>
      <c r="C39" s="885" t="s">
        <v>278</v>
      </c>
      <c r="D39" s="3600" t="str">
        <f>IF(SUM(E39:F39)=0,E39,SUM(E39:F39))</f>
        <v>NO</v>
      </c>
      <c r="E39" s="3569" t="s">
        <v>2146</v>
      </c>
      <c r="F39" s="3554" t="s">
        <v>2146</v>
      </c>
      <c r="G39" s="3622" t="str">
        <f t="shared" si="3"/>
        <v>NA</v>
      </c>
      <c r="H39" s="3591" t="str">
        <f t="shared" si="4"/>
        <v>NA</v>
      </c>
      <c r="I39" s="3623" t="str">
        <f t="shared" si="5"/>
        <v>NA</v>
      </c>
      <c r="J39" s="3591" t="str">
        <f t="shared" si="6"/>
        <v>NA</v>
      </c>
      <c r="K39" s="3591" t="str">
        <f t="shared" si="7"/>
        <v>NA</v>
      </c>
      <c r="L39" s="3595" t="str">
        <f t="shared" si="8"/>
        <v>NA</v>
      </c>
      <c r="M39" s="3569" t="s">
        <v>2146</v>
      </c>
      <c r="N39" s="3569" t="s">
        <v>2146</v>
      </c>
      <c r="O39" s="3109" t="str">
        <f t="shared" ref="O39" si="55">IF(SUM(M39:N39)=0,M39,SUM(M39:N39))</f>
        <v>NO</v>
      </c>
      <c r="P39" s="3569" t="s">
        <v>2146</v>
      </c>
      <c r="Q39" s="3569" t="s">
        <v>2146</v>
      </c>
      <c r="R39" s="3569" t="s">
        <v>2146</v>
      </c>
      <c r="S39" s="3570" t="str">
        <f t="shared" ref="S39" si="56">IF(SUM(O39:R39)=0,Q39,SUM(O39:R39)*-44/12)</f>
        <v>NO</v>
      </c>
      <c r="U39" s="2403"/>
    </row>
    <row r="40" spans="2:21" ht="18" customHeight="1" x14ac:dyDescent="0.2">
      <c r="B40" s="505" t="s">
        <v>1089</v>
      </c>
      <c r="C40" s="486"/>
      <c r="D40" s="3600" t="str">
        <f>D41</f>
        <v>NO</v>
      </c>
      <c r="E40" s="3564" t="str">
        <f t="shared" ref="E40:F40" si="57">E41</f>
        <v>NO</v>
      </c>
      <c r="F40" s="3565" t="str">
        <f t="shared" si="57"/>
        <v>NO</v>
      </c>
      <c r="G40" s="3558" t="str">
        <f t="shared" si="3"/>
        <v>NA</v>
      </c>
      <c r="H40" s="3078" t="str">
        <f t="shared" si="4"/>
        <v>NA</v>
      </c>
      <c r="I40" s="3078" t="str">
        <f t="shared" si="5"/>
        <v>NA</v>
      </c>
      <c r="J40" s="3078" t="str">
        <f t="shared" si="6"/>
        <v>NA</v>
      </c>
      <c r="K40" s="3573" t="str">
        <f t="shared" si="7"/>
        <v>NA</v>
      </c>
      <c r="L40" s="3128" t="str">
        <f t="shared" si="8"/>
        <v>NA</v>
      </c>
      <c r="M40" s="3505" t="str">
        <f t="shared" ref="M40:S40" si="58">M41</f>
        <v>NO</v>
      </c>
      <c r="N40" s="3506" t="str">
        <f t="shared" si="58"/>
        <v>NO</v>
      </c>
      <c r="O40" s="3506" t="str">
        <f t="shared" si="58"/>
        <v>NO</v>
      </c>
      <c r="P40" s="3506" t="str">
        <f t="shared" si="58"/>
        <v>NO</v>
      </c>
      <c r="Q40" s="3601" t="str">
        <f t="shared" si="58"/>
        <v>NO</v>
      </c>
      <c r="R40" s="3601" t="str">
        <f t="shared" si="58"/>
        <v>NO</v>
      </c>
      <c r="S40" s="3287" t="str">
        <f t="shared" si="58"/>
        <v>NO</v>
      </c>
      <c r="U40" s="2402"/>
    </row>
    <row r="41" spans="2:21" ht="18" customHeight="1" x14ac:dyDescent="0.2">
      <c r="B41" s="1479"/>
      <c r="C41" s="885" t="s">
        <v>278</v>
      </c>
      <c r="D41" s="3600" t="str">
        <f>IF(SUM(E41:F41)=0,E41,SUM(E41:F41))</f>
        <v>NO</v>
      </c>
      <c r="E41" s="3569" t="s">
        <v>2146</v>
      </c>
      <c r="F41" s="3554" t="s">
        <v>2146</v>
      </c>
      <c r="G41" s="3622" t="str">
        <f t="shared" si="3"/>
        <v>NA</v>
      </c>
      <c r="H41" s="3591" t="str">
        <f t="shared" si="4"/>
        <v>NA</v>
      </c>
      <c r="I41" s="3623" t="str">
        <f t="shared" si="5"/>
        <v>NA</v>
      </c>
      <c r="J41" s="3591" t="str">
        <f t="shared" si="6"/>
        <v>NA</v>
      </c>
      <c r="K41" s="3591" t="str">
        <f t="shared" si="7"/>
        <v>NA</v>
      </c>
      <c r="L41" s="3595" t="str">
        <f t="shared" si="8"/>
        <v>NA</v>
      </c>
      <c r="M41" s="3569" t="s">
        <v>2146</v>
      </c>
      <c r="N41" s="3569" t="s">
        <v>2146</v>
      </c>
      <c r="O41" s="3109" t="str">
        <f t="shared" ref="O41" si="59">IF(SUM(M41:N41)=0,M41,SUM(M41:N41))</f>
        <v>NO</v>
      </c>
      <c r="P41" s="3569" t="s">
        <v>2146</v>
      </c>
      <c r="Q41" s="3569" t="s">
        <v>2146</v>
      </c>
      <c r="R41" s="3569" t="s">
        <v>2146</v>
      </c>
      <c r="S41" s="3570" t="str">
        <f t="shared" ref="S41" si="60">IF(SUM(O41:R41)=0,Q41,SUM(O41:R41)*-44/12)</f>
        <v>NO</v>
      </c>
      <c r="U41" s="2403"/>
    </row>
    <row r="42" spans="2:21" ht="18" customHeight="1" x14ac:dyDescent="0.2">
      <c r="B42" s="505" t="s">
        <v>1090</v>
      </c>
      <c r="C42" s="486"/>
      <c r="D42" s="3600" t="str">
        <f>D43</f>
        <v>NO</v>
      </c>
      <c r="E42" s="3564" t="str">
        <f t="shared" ref="E42:F42" si="61">E43</f>
        <v>NO</v>
      </c>
      <c r="F42" s="3565" t="str">
        <f t="shared" si="61"/>
        <v>NO</v>
      </c>
      <c r="G42" s="3558" t="str">
        <f t="shared" si="3"/>
        <v>NA</v>
      </c>
      <c r="H42" s="3078" t="str">
        <f t="shared" si="4"/>
        <v>NA</v>
      </c>
      <c r="I42" s="3078" t="str">
        <f t="shared" si="5"/>
        <v>NA</v>
      </c>
      <c r="J42" s="3078" t="str">
        <f t="shared" si="6"/>
        <v>NA</v>
      </c>
      <c r="K42" s="3573" t="str">
        <f t="shared" si="7"/>
        <v>NA</v>
      </c>
      <c r="L42" s="3128" t="str">
        <f t="shared" si="8"/>
        <v>NA</v>
      </c>
      <c r="M42" s="3505" t="str">
        <f t="shared" ref="M42:S42" si="62">M43</f>
        <v>NO</v>
      </c>
      <c r="N42" s="3506" t="str">
        <f t="shared" si="62"/>
        <v>NO</v>
      </c>
      <c r="O42" s="3506" t="str">
        <f t="shared" si="62"/>
        <v>NO</v>
      </c>
      <c r="P42" s="3506" t="str">
        <f t="shared" si="62"/>
        <v>NO</v>
      </c>
      <c r="Q42" s="3601" t="str">
        <f t="shared" si="62"/>
        <v>NO</v>
      </c>
      <c r="R42" s="3601" t="str">
        <f t="shared" si="62"/>
        <v>NO</v>
      </c>
      <c r="S42" s="3287" t="str">
        <f t="shared" si="62"/>
        <v>NO</v>
      </c>
      <c r="U42" s="2402"/>
    </row>
    <row r="43" spans="2:21" ht="18" customHeight="1" x14ac:dyDescent="0.2">
      <c r="B43" s="1479"/>
      <c r="C43" s="885" t="s">
        <v>278</v>
      </c>
      <c r="D43" s="3600" t="str">
        <f>IF(SUM(E43:F43)=0,E43,SUM(E43:F43))</f>
        <v>NO</v>
      </c>
      <c r="E43" s="3569" t="s">
        <v>2146</v>
      </c>
      <c r="F43" s="3554" t="s">
        <v>2146</v>
      </c>
      <c r="G43" s="3622" t="str">
        <f t="shared" si="3"/>
        <v>NA</v>
      </c>
      <c r="H43" s="3591" t="str">
        <f t="shared" si="4"/>
        <v>NA</v>
      </c>
      <c r="I43" s="3623" t="str">
        <f t="shared" si="5"/>
        <v>NA</v>
      </c>
      <c r="J43" s="3591" t="str">
        <f t="shared" si="6"/>
        <v>NA</v>
      </c>
      <c r="K43" s="3591" t="str">
        <f t="shared" si="7"/>
        <v>NA</v>
      </c>
      <c r="L43" s="3595" t="str">
        <f t="shared" si="8"/>
        <v>NA</v>
      </c>
      <c r="M43" s="3569" t="s">
        <v>2146</v>
      </c>
      <c r="N43" s="3569" t="s">
        <v>2146</v>
      </c>
      <c r="O43" s="3109" t="str">
        <f t="shared" ref="O43" si="63">IF(SUM(M43:N43)=0,M43,SUM(M43:N43))</f>
        <v>NO</v>
      </c>
      <c r="P43" s="3569" t="s">
        <v>2146</v>
      </c>
      <c r="Q43" s="3569" t="s">
        <v>2146</v>
      </c>
      <c r="R43" s="3569" t="s">
        <v>2146</v>
      </c>
      <c r="S43" s="3570" t="str">
        <f t="shared" ref="S43" si="64">IF(SUM(O43:R43)=0,Q43,SUM(O43:R43)*-44/12)</f>
        <v>NO</v>
      </c>
      <c r="U43" s="2403"/>
    </row>
    <row r="44" spans="2:21" ht="18" customHeight="1" x14ac:dyDescent="0.2">
      <c r="B44" s="505" t="s">
        <v>1091</v>
      </c>
      <c r="C44" s="486"/>
      <c r="D44" s="3600" t="str">
        <f>D45</f>
        <v>NO</v>
      </c>
      <c r="E44" s="3564" t="str">
        <f t="shared" ref="E44:F44" si="65">E45</f>
        <v>NO</v>
      </c>
      <c r="F44" s="3565" t="str">
        <f t="shared" si="65"/>
        <v>NO</v>
      </c>
      <c r="G44" s="3558" t="str">
        <f t="shared" si="3"/>
        <v>NA</v>
      </c>
      <c r="H44" s="3078" t="str">
        <f t="shared" si="4"/>
        <v>NA</v>
      </c>
      <c r="I44" s="3078" t="str">
        <f t="shared" si="5"/>
        <v>NA</v>
      </c>
      <c r="J44" s="3078" t="str">
        <f t="shared" si="6"/>
        <v>NA</v>
      </c>
      <c r="K44" s="3573" t="str">
        <f t="shared" si="7"/>
        <v>NA</v>
      </c>
      <c r="L44" s="3128" t="str">
        <f t="shared" si="8"/>
        <v>NA</v>
      </c>
      <c r="M44" s="3505" t="str">
        <f t="shared" ref="M44:S44" si="66">M45</f>
        <v>NO</v>
      </c>
      <c r="N44" s="3506" t="str">
        <f t="shared" si="66"/>
        <v>NO</v>
      </c>
      <c r="O44" s="3506" t="str">
        <f t="shared" si="66"/>
        <v>NO</v>
      </c>
      <c r="P44" s="3506" t="str">
        <f t="shared" si="66"/>
        <v>NO</v>
      </c>
      <c r="Q44" s="3601" t="str">
        <f t="shared" si="66"/>
        <v>NO</v>
      </c>
      <c r="R44" s="3601" t="str">
        <f t="shared" si="66"/>
        <v>NO</v>
      </c>
      <c r="S44" s="3287" t="str">
        <f t="shared" si="66"/>
        <v>NO</v>
      </c>
      <c r="U44" s="2402"/>
    </row>
    <row r="45" spans="2:21" ht="18" customHeight="1" x14ac:dyDescent="0.2">
      <c r="B45" s="1479"/>
      <c r="C45" s="885" t="s">
        <v>278</v>
      </c>
      <c r="D45" s="3600" t="str">
        <f>IF(SUM(E45:F45)=0,E45,SUM(E45:F45))</f>
        <v>NO</v>
      </c>
      <c r="E45" s="3569" t="s">
        <v>2146</v>
      </c>
      <c r="F45" s="3554" t="s">
        <v>2146</v>
      </c>
      <c r="G45" s="3622" t="str">
        <f t="shared" si="3"/>
        <v>NA</v>
      </c>
      <c r="H45" s="3591" t="str">
        <f t="shared" si="4"/>
        <v>NA</v>
      </c>
      <c r="I45" s="3623" t="str">
        <f t="shared" si="5"/>
        <v>NA</v>
      </c>
      <c r="J45" s="3591" t="str">
        <f t="shared" si="6"/>
        <v>NA</v>
      </c>
      <c r="K45" s="3591" t="str">
        <f t="shared" si="7"/>
        <v>NA</v>
      </c>
      <c r="L45" s="3595" t="str">
        <f t="shared" si="8"/>
        <v>NA</v>
      </c>
      <c r="M45" s="3569" t="s">
        <v>2146</v>
      </c>
      <c r="N45" s="3569" t="s">
        <v>2146</v>
      </c>
      <c r="O45" s="3109" t="str">
        <f t="shared" ref="O45" si="67">IF(SUM(M45:N45)=0,M45,SUM(M45:N45))</f>
        <v>NO</v>
      </c>
      <c r="P45" s="3569" t="s">
        <v>2146</v>
      </c>
      <c r="Q45" s="3569" t="s">
        <v>2146</v>
      </c>
      <c r="R45" s="3569" t="s">
        <v>2146</v>
      </c>
      <c r="S45" s="3570" t="str">
        <f t="shared" ref="S45" si="68">IF(SUM(O45:R45)=0,Q45,SUM(O45:R45)*-44/12)</f>
        <v>NO</v>
      </c>
      <c r="U45" s="2403"/>
    </row>
    <row r="46" spans="2:21" ht="18" customHeight="1" x14ac:dyDescent="0.2">
      <c r="B46" s="1473" t="s">
        <v>1092</v>
      </c>
      <c r="C46" s="486"/>
      <c r="D46" s="3589" t="str">
        <f>IF(SUM(D47,D49,D51,D53,D55)=0,"NO",SUM(D47,D49,D51,D53,D55))</f>
        <v>NO</v>
      </c>
      <c r="E46" s="3591" t="str">
        <f t="shared" ref="E46:F46" si="69">IF(SUM(E47,E49,E51,E53,E55)=0,"NO",SUM(E47,E49,E51,E53,E55))</f>
        <v>NO</v>
      </c>
      <c r="F46" s="3595" t="str">
        <f t="shared" si="69"/>
        <v>NO</v>
      </c>
      <c r="G46" s="3622" t="str">
        <f t="shared" si="3"/>
        <v>NA</v>
      </c>
      <c r="H46" s="3591" t="str">
        <f t="shared" si="4"/>
        <v>NA</v>
      </c>
      <c r="I46" s="3623" t="str">
        <f t="shared" si="5"/>
        <v>NA</v>
      </c>
      <c r="J46" s="3591" t="str">
        <f t="shared" si="6"/>
        <v>NA</v>
      </c>
      <c r="K46" s="3591" t="str">
        <f t="shared" si="7"/>
        <v>NA</v>
      </c>
      <c r="L46" s="3595" t="str">
        <f t="shared" si="8"/>
        <v>NA</v>
      </c>
      <c r="M46" s="3591" t="str">
        <f t="shared" ref="M46:Q46" si="70">IF(SUM(M47,M49,M51,M53,M55)=0,"NO",SUM(M47,M49,M51,M53,M55))</f>
        <v>NO</v>
      </c>
      <c r="N46" s="3591" t="str">
        <f t="shared" si="70"/>
        <v>NO</v>
      </c>
      <c r="O46" s="3623" t="str">
        <f t="shared" si="70"/>
        <v>NO</v>
      </c>
      <c r="P46" s="3591" t="str">
        <f t="shared" si="70"/>
        <v>NO</v>
      </c>
      <c r="Q46" s="3590" t="str">
        <f t="shared" si="70"/>
        <v>NO</v>
      </c>
      <c r="R46" s="3590" t="str">
        <f>IF(SUM(R47,R49,R51,R53,R55)=0,"NO",SUM(R47,R49,R51,R53,R55))</f>
        <v>NO</v>
      </c>
      <c r="S46" s="3594" t="s">
        <v>2146</v>
      </c>
      <c r="U46" s="503"/>
    </row>
    <row r="47" spans="2:21" ht="18" customHeight="1" x14ac:dyDescent="0.2">
      <c r="B47" s="505" t="s">
        <v>1093</v>
      </c>
      <c r="C47" s="486"/>
      <c r="D47" s="3600" t="str">
        <f>D48</f>
        <v>NO</v>
      </c>
      <c r="E47" s="3564" t="str">
        <f t="shared" ref="E47:F47" si="71">E48</f>
        <v>NO</v>
      </c>
      <c r="F47" s="3565" t="str">
        <f t="shared" si="71"/>
        <v>NO</v>
      </c>
      <c r="G47" s="3558" t="str">
        <f t="shared" si="3"/>
        <v>NA</v>
      </c>
      <c r="H47" s="3078" t="str">
        <f t="shared" si="4"/>
        <v>NA</v>
      </c>
      <c r="I47" s="3078" t="str">
        <f t="shared" si="5"/>
        <v>NA</v>
      </c>
      <c r="J47" s="3078" t="str">
        <f t="shared" si="6"/>
        <v>NA</v>
      </c>
      <c r="K47" s="3573" t="str">
        <f t="shared" si="7"/>
        <v>NA</v>
      </c>
      <c r="L47" s="3128" t="str">
        <f t="shared" si="8"/>
        <v>NA</v>
      </c>
      <c r="M47" s="3505" t="str">
        <f t="shared" ref="M47:S47" si="72">M48</f>
        <v>NO</v>
      </c>
      <c r="N47" s="3506" t="str">
        <f t="shared" si="72"/>
        <v>NO</v>
      </c>
      <c r="O47" s="3506" t="str">
        <f t="shared" si="72"/>
        <v>NO</v>
      </c>
      <c r="P47" s="3506" t="str">
        <f t="shared" si="72"/>
        <v>NO</v>
      </c>
      <c r="Q47" s="3601" t="str">
        <f t="shared" si="72"/>
        <v>NO</v>
      </c>
      <c r="R47" s="3601" t="str">
        <f t="shared" si="72"/>
        <v>NO</v>
      </c>
      <c r="S47" s="3287" t="str">
        <f t="shared" si="72"/>
        <v>NO</v>
      </c>
      <c r="U47" s="2402"/>
    </row>
    <row r="48" spans="2:21" ht="18" customHeight="1" x14ac:dyDescent="0.2">
      <c r="B48" s="1479"/>
      <c r="C48" s="885" t="s">
        <v>278</v>
      </c>
      <c r="D48" s="3600" t="str">
        <f>IF(SUM(E48:F48)=0,E48,SUM(E48:F48))</f>
        <v>NO</v>
      </c>
      <c r="E48" s="3569" t="s">
        <v>2146</v>
      </c>
      <c r="F48" s="3554" t="s">
        <v>2146</v>
      </c>
      <c r="G48" s="3622" t="str">
        <f t="shared" si="3"/>
        <v>NA</v>
      </c>
      <c r="H48" s="3591" t="str">
        <f t="shared" si="4"/>
        <v>NA</v>
      </c>
      <c r="I48" s="3623" t="str">
        <f t="shared" si="5"/>
        <v>NA</v>
      </c>
      <c r="J48" s="3591" t="str">
        <f t="shared" si="6"/>
        <v>NA</v>
      </c>
      <c r="K48" s="3591" t="str">
        <f t="shared" si="7"/>
        <v>NA</v>
      </c>
      <c r="L48" s="3595" t="str">
        <f t="shared" si="8"/>
        <v>NA</v>
      </c>
      <c r="M48" s="3624" t="s">
        <v>2146</v>
      </c>
      <c r="N48" s="3625" t="s">
        <v>2146</v>
      </c>
      <c r="O48" s="3109" t="str">
        <f t="shared" ref="O48" si="73">IF(SUM(M48:N48)=0,M48,SUM(M48:N48))</f>
        <v>NO</v>
      </c>
      <c r="P48" s="3625" t="s">
        <v>2146</v>
      </c>
      <c r="Q48" s="3626" t="s">
        <v>2146</v>
      </c>
      <c r="R48" s="3626" t="s">
        <v>2146</v>
      </c>
      <c r="S48" s="3570" t="str">
        <f t="shared" ref="S48" si="74">IF(SUM(O48:R48)=0,Q48,SUM(O48:R48)*-44/12)</f>
        <v>NO</v>
      </c>
      <c r="U48" s="2403"/>
    </row>
    <row r="49" spans="2:21" ht="18" customHeight="1" x14ac:dyDescent="0.2">
      <c r="B49" s="505" t="s">
        <v>1094</v>
      </c>
      <c r="C49" s="486"/>
      <c r="D49" s="3600" t="str">
        <f>D50</f>
        <v>NO</v>
      </c>
      <c r="E49" s="3564" t="str">
        <f t="shared" ref="E49:F49" si="75">E50</f>
        <v>NO</v>
      </c>
      <c r="F49" s="3565" t="str">
        <f t="shared" si="75"/>
        <v>NO</v>
      </c>
      <c r="G49" s="3558" t="str">
        <f t="shared" si="3"/>
        <v>NA</v>
      </c>
      <c r="H49" s="3078" t="str">
        <f t="shared" si="4"/>
        <v>NA</v>
      </c>
      <c r="I49" s="3078" t="str">
        <f t="shared" si="5"/>
        <v>NA</v>
      </c>
      <c r="J49" s="3078" t="str">
        <f t="shared" si="6"/>
        <v>NA</v>
      </c>
      <c r="K49" s="3573" t="str">
        <f t="shared" si="7"/>
        <v>NA</v>
      </c>
      <c r="L49" s="3128" t="str">
        <f t="shared" si="8"/>
        <v>NA</v>
      </c>
      <c r="M49" s="3505" t="str">
        <f t="shared" ref="M49:S49" si="76">M50</f>
        <v>NO</v>
      </c>
      <c r="N49" s="3506" t="str">
        <f t="shared" si="76"/>
        <v>NO</v>
      </c>
      <c r="O49" s="3506" t="str">
        <f t="shared" si="76"/>
        <v>NO</v>
      </c>
      <c r="P49" s="3506" t="str">
        <f t="shared" si="76"/>
        <v>NO</v>
      </c>
      <c r="Q49" s="3601" t="str">
        <f t="shared" si="76"/>
        <v>NO</v>
      </c>
      <c r="R49" s="3601" t="str">
        <f t="shared" si="76"/>
        <v>NO</v>
      </c>
      <c r="S49" s="3287" t="str">
        <f t="shared" si="76"/>
        <v>NO</v>
      </c>
      <c r="U49" s="2402"/>
    </row>
    <row r="50" spans="2:21" ht="18" customHeight="1" x14ac:dyDescent="0.2">
      <c r="B50" s="1479"/>
      <c r="C50" s="885" t="s">
        <v>278</v>
      </c>
      <c r="D50" s="3600" t="str">
        <f>IF(SUM(E50:F50)=0,E50,SUM(E50:F50))</f>
        <v>NO</v>
      </c>
      <c r="E50" s="3569" t="s">
        <v>2146</v>
      </c>
      <c r="F50" s="3554" t="s">
        <v>2146</v>
      </c>
      <c r="G50" s="3622" t="str">
        <f t="shared" si="3"/>
        <v>NA</v>
      </c>
      <c r="H50" s="3591" t="str">
        <f t="shared" si="4"/>
        <v>NA</v>
      </c>
      <c r="I50" s="3623" t="str">
        <f t="shared" si="5"/>
        <v>NA</v>
      </c>
      <c r="J50" s="3591" t="str">
        <f t="shared" si="6"/>
        <v>NA</v>
      </c>
      <c r="K50" s="3591" t="str">
        <f t="shared" si="7"/>
        <v>NA</v>
      </c>
      <c r="L50" s="3595" t="str">
        <f t="shared" si="8"/>
        <v>NA</v>
      </c>
      <c r="M50" s="3569" t="s">
        <v>2146</v>
      </c>
      <c r="N50" s="3569" t="s">
        <v>2146</v>
      </c>
      <c r="O50" s="3109" t="str">
        <f t="shared" ref="O50" si="77">IF(SUM(M50:N50)=0,M50,SUM(M50:N50))</f>
        <v>NO</v>
      </c>
      <c r="P50" s="3569" t="s">
        <v>2146</v>
      </c>
      <c r="Q50" s="3569" t="s">
        <v>2146</v>
      </c>
      <c r="R50" s="3569" t="s">
        <v>2146</v>
      </c>
      <c r="S50" s="3570" t="str">
        <f t="shared" ref="S50" si="78">IF(SUM(O50:R50)=0,Q50,SUM(O50:R50)*-44/12)</f>
        <v>NO</v>
      </c>
      <c r="U50" s="2403"/>
    </row>
    <row r="51" spans="2:21" ht="18" customHeight="1" x14ac:dyDescent="0.2">
      <c r="B51" s="505" t="s">
        <v>1095</v>
      </c>
      <c r="C51" s="486"/>
      <c r="D51" s="3600" t="str">
        <f>D52</f>
        <v>NO</v>
      </c>
      <c r="E51" s="3564" t="str">
        <f t="shared" ref="E51:F51" si="79">E52</f>
        <v>NO</v>
      </c>
      <c r="F51" s="3565" t="str">
        <f t="shared" si="79"/>
        <v>NO</v>
      </c>
      <c r="G51" s="3558" t="str">
        <f t="shared" si="3"/>
        <v>NA</v>
      </c>
      <c r="H51" s="3078" t="str">
        <f t="shared" si="4"/>
        <v>NA</v>
      </c>
      <c r="I51" s="3078" t="str">
        <f t="shared" si="5"/>
        <v>NA</v>
      </c>
      <c r="J51" s="3078" t="str">
        <f t="shared" si="6"/>
        <v>NA</v>
      </c>
      <c r="K51" s="3573" t="str">
        <f t="shared" si="7"/>
        <v>NA</v>
      </c>
      <c r="L51" s="3128" t="str">
        <f t="shared" si="8"/>
        <v>NA</v>
      </c>
      <c r="M51" s="3505" t="str">
        <f t="shared" ref="M51:S51" si="80">M52</f>
        <v>NO</v>
      </c>
      <c r="N51" s="3506" t="str">
        <f t="shared" si="80"/>
        <v>NO</v>
      </c>
      <c r="O51" s="3506" t="str">
        <f t="shared" si="80"/>
        <v>NO</v>
      </c>
      <c r="P51" s="3506" t="str">
        <f t="shared" si="80"/>
        <v>NO</v>
      </c>
      <c r="Q51" s="3601" t="str">
        <f t="shared" si="80"/>
        <v>NO</v>
      </c>
      <c r="R51" s="3601" t="str">
        <f t="shared" si="80"/>
        <v>NO</v>
      </c>
      <c r="S51" s="3287" t="str">
        <f t="shared" si="80"/>
        <v>NO</v>
      </c>
      <c r="U51" s="2402"/>
    </row>
    <row r="52" spans="2:21" ht="18" customHeight="1" x14ac:dyDescent="0.2">
      <c r="B52" s="1479"/>
      <c r="C52" s="885" t="s">
        <v>278</v>
      </c>
      <c r="D52" s="3600" t="str">
        <f>IF(SUM(E52:F52)=0,E52,SUM(E52:F52))</f>
        <v>NO</v>
      </c>
      <c r="E52" s="3569" t="s">
        <v>2146</v>
      </c>
      <c r="F52" s="3554" t="s">
        <v>2146</v>
      </c>
      <c r="G52" s="3622" t="str">
        <f t="shared" si="3"/>
        <v>NA</v>
      </c>
      <c r="H52" s="3591" t="str">
        <f t="shared" si="4"/>
        <v>NA</v>
      </c>
      <c r="I52" s="3623" t="str">
        <f t="shared" si="5"/>
        <v>NA</v>
      </c>
      <c r="J52" s="3591" t="str">
        <f t="shared" si="6"/>
        <v>NA</v>
      </c>
      <c r="K52" s="3591" t="str">
        <f t="shared" si="7"/>
        <v>NA</v>
      </c>
      <c r="L52" s="3595" t="str">
        <f t="shared" si="8"/>
        <v>NA</v>
      </c>
      <c r="M52" s="3569" t="s">
        <v>2146</v>
      </c>
      <c r="N52" s="3569" t="s">
        <v>2146</v>
      </c>
      <c r="O52" s="3109" t="str">
        <f t="shared" ref="O52" si="81">IF(SUM(M52:N52)=0,M52,SUM(M52:N52))</f>
        <v>NO</v>
      </c>
      <c r="P52" s="3569" t="s">
        <v>2146</v>
      </c>
      <c r="Q52" s="3569" t="s">
        <v>2146</v>
      </c>
      <c r="R52" s="3569" t="s">
        <v>2146</v>
      </c>
      <c r="S52" s="3570" t="str">
        <f t="shared" ref="S52" si="82">IF(SUM(O52:R52)=0,Q52,SUM(O52:R52)*-44/12)</f>
        <v>NO</v>
      </c>
      <c r="U52" s="2403"/>
    </row>
    <row r="53" spans="2:21" ht="18" customHeight="1" x14ac:dyDescent="0.2">
      <c r="B53" s="505" t="s">
        <v>1096</v>
      </c>
      <c r="C53" s="486"/>
      <c r="D53" s="3600" t="str">
        <f>D54</f>
        <v>NO</v>
      </c>
      <c r="E53" s="3564" t="str">
        <f t="shared" ref="E53:F53" si="83">E54</f>
        <v>NO</v>
      </c>
      <c r="F53" s="3565" t="str">
        <f t="shared" si="83"/>
        <v>NO</v>
      </c>
      <c r="G53" s="3558" t="str">
        <f t="shared" si="3"/>
        <v>NA</v>
      </c>
      <c r="H53" s="3078" t="str">
        <f t="shared" si="4"/>
        <v>NA</v>
      </c>
      <c r="I53" s="3078" t="str">
        <f t="shared" si="5"/>
        <v>NA</v>
      </c>
      <c r="J53" s="3078" t="str">
        <f t="shared" si="6"/>
        <v>NA</v>
      </c>
      <c r="K53" s="3573" t="str">
        <f t="shared" si="7"/>
        <v>NA</v>
      </c>
      <c r="L53" s="3128" t="str">
        <f t="shared" si="8"/>
        <v>NA</v>
      </c>
      <c r="M53" s="3505" t="str">
        <f t="shared" ref="M53:S53" si="84">M54</f>
        <v>NO</v>
      </c>
      <c r="N53" s="3506" t="str">
        <f t="shared" si="84"/>
        <v>NO</v>
      </c>
      <c r="O53" s="3506" t="str">
        <f t="shared" si="84"/>
        <v>NO</v>
      </c>
      <c r="P53" s="3506" t="str">
        <f t="shared" si="84"/>
        <v>NO</v>
      </c>
      <c r="Q53" s="3601" t="str">
        <f t="shared" si="84"/>
        <v>NO</v>
      </c>
      <c r="R53" s="3601" t="str">
        <f t="shared" si="84"/>
        <v>NO</v>
      </c>
      <c r="S53" s="3287" t="str">
        <f t="shared" si="84"/>
        <v>NO</v>
      </c>
      <c r="U53" s="2402"/>
    </row>
    <row r="54" spans="2:21" ht="18" customHeight="1" x14ac:dyDescent="0.2">
      <c r="B54" s="1479"/>
      <c r="C54" s="885" t="s">
        <v>278</v>
      </c>
      <c r="D54" s="3600" t="str">
        <f>IF(SUM(E54:F54)=0,E54,SUM(E54:F54))</f>
        <v>NO</v>
      </c>
      <c r="E54" s="3569" t="s">
        <v>2146</v>
      </c>
      <c r="F54" s="3554" t="s">
        <v>2146</v>
      </c>
      <c r="G54" s="3622" t="str">
        <f t="shared" si="3"/>
        <v>NA</v>
      </c>
      <c r="H54" s="3591" t="str">
        <f t="shared" si="4"/>
        <v>NA</v>
      </c>
      <c r="I54" s="3623" t="str">
        <f t="shared" si="5"/>
        <v>NA</v>
      </c>
      <c r="J54" s="3591" t="str">
        <f t="shared" si="6"/>
        <v>NA</v>
      </c>
      <c r="K54" s="3591" t="str">
        <f t="shared" si="7"/>
        <v>NA</v>
      </c>
      <c r="L54" s="3595" t="str">
        <f t="shared" si="8"/>
        <v>NA</v>
      </c>
      <c r="M54" s="3569" t="s">
        <v>2146</v>
      </c>
      <c r="N54" s="3569" t="s">
        <v>2146</v>
      </c>
      <c r="O54" s="3109" t="str">
        <f t="shared" ref="O54" si="85">IF(SUM(M54:N54)=0,M54,SUM(M54:N54))</f>
        <v>NO</v>
      </c>
      <c r="P54" s="3569" t="s">
        <v>2146</v>
      </c>
      <c r="Q54" s="3569" t="s">
        <v>2146</v>
      </c>
      <c r="R54" s="3569" t="s">
        <v>2146</v>
      </c>
      <c r="S54" s="3570" t="str">
        <f t="shared" ref="S54" si="86">IF(SUM(O54:R54)=0,Q54,SUM(O54:R54)*-44/12)</f>
        <v>NO</v>
      </c>
      <c r="U54" s="2403"/>
    </row>
    <row r="55" spans="2:21" ht="18" customHeight="1" x14ac:dyDescent="0.2">
      <c r="B55" s="505" t="s">
        <v>1097</v>
      </c>
      <c r="C55" s="886"/>
      <c r="D55" s="3600" t="str">
        <f>D56</f>
        <v>NO</v>
      </c>
      <c r="E55" s="3564" t="str">
        <f t="shared" ref="E55:F55" si="87">E56</f>
        <v>NO</v>
      </c>
      <c r="F55" s="3565" t="str">
        <f t="shared" si="87"/>
        <v>NO</v>
      </c>
      <c r="G55" s="3558" t="str">
        <f t="shared" si="3"/>
        <v>NA</v>
      </c>
      <c r="H55" s="3078" t="str">
        <f t="shared" si="4"/>
        <v>NA</v>
      </c>
      <c r="I55" s="3078" t="str">
        <f t="shared" si="5"/>
        <v>NA</v>
      </c>
      <c r="J55" s="3078" t="str">
        <f t="shared" si="6"/>
        <v>NA</v>
      </c>
      <c r="K55" s="3573" t="str">
        <f t="shared" si="7"/>
        <v>NA</v>
      </c>
      <c r="L55" s="3128" t="str">
        <f t="shared" si="8"/>
        <v>NA</v>
      </c>
      <c r="M55" s="3505" t="str">
        <f t="shared" ref="M55:S55" si="88">M56</f>
        <v>NO</v>
      </c>
      <c r="N55" s="3506" t="str">
        <f t="shared" si="88"/>
        <v>NO</v>
      </c>
      <c r="O55" s="3506" t="str">
        <f t="shared" si="88"/>
        <v>NO</v>
      </c>
      <c r="P55" s="3506" t="str">
        <f t="shared" si="88"/>
        <v>NO</v>
      </c>
      <c r="Q55" s="3601" t="str">
        <f t="shared" si="88"/>
        <v>NO</v>
      </c>
      <c r="R55" s="3601" t="str">
        <f t="shared" si="88"/>
        <v>NO</v>
      </c>
      <c r="S55" s="3287" t="str">
        <f t="shared" si="88"/>
        <v>NO</v>
      </c>
      <c r="U55" s="2402"/>
    </row>
    <row r="56" spans="2:21" ht="18" customHeight="1" thickBot="1" x14ac:dyDescent="0.25">
      <c r="B56" s="1480"/>
      <c r="C56" s="887" t="s">
        <v>278</v>
      </c>
      <c r="D56" s="3596" t="str">
        <f>IF(SUM(E56:F56)=0,E56,SUM(E56:F56))</f>
        <v>NO</v>
      </c>
      <c r="E56" s="3575" t="s">
        <v>2146</v>
      </c>
      <c r="F56" s="3576" t="s">
        <v>2146</v>
      </c>
      <c r="G56" s="3637" t="str">
        <f t="shared" si="3"/>
        <v>NA</v>
      </c>
      <c r="H56" s="3638" t="str">
        <f t="shared" si="4"/>
        <v>NA</v>
      </c>
      <c r="I56" s="3639" t="str">
        <f t="shared" si="5"/>
        <v>NA</v>
      </c>
      <c r="J56" s="3638" t="str">
        <f t="shared" si="6"/>
        <v>NA</v>
      </c>
      <c r="K56" s="3638" t="str">
        <f t="shared" si="7"/>
        <v>NA</v>
      </c>
      <c r="L56" s="3640" t="str">
        <f t="shared" si="8"/>
        <v>NA</v>
      </c>
      <c r="M56" s="3641" t="s">
        <v>2146</v>
      </c>
      <c r="N56" s="3642" t="s">
        <v>2146</v>
      </c>
      <c r="O56" s="3639" t="str">
        <f t="shared" ref="O56" si="89">IF(SUM(M56:N56)=0,M56,SUM(M56:N56))</f>
        <v>NO</v>
      </c>
      <c r="P56" s="3642" t="s">
        <v>2146</v>
      </c>
      <c r="Q56" s="3643" t="s">
        <v>2146</v>
      </c>
      <c r="R56" s="3643" t="s">
        <v>2146</v>
      </c>
      <c r="S56" s="3644" t="str">
        <f t="shared" ref="S56" si="90">IF(SUM(O56:R56)=0,Q56,SUM(O56:R56)*-44/12)</f>
        <v>NO</v>
      </c>
      <c r="U56" s="2404"/>
    </row>
    <row r="57" spans="2:21" ht="13.5" x14ac:dyDescent="0.2">
      <c r="B57" s="875"/>
      <c r="C57" s="872"/>
      <c r="D57" s="872"/>
      <c r="E57" s="872"/>
      <c r="F57" s="872"/>
      <c r="G57" s="872"/>
      <c r="H57" s="872"/>
      <c r="I57" s="872"/>
      <c r="J57" s="872"/>
      <c r="K57" s="872"/>
      <c r="L57" s="872"/>
      <c r="M57" s="872"/>
      <c r="N57" s="872"/>
      <c r="O57" s="872"/>
      <c r="P57" s="872"/>
      <c r="Q57" s="872"/>
      <c r="R57" s="872"/>
      <c r="S57" s="872"/>
    </row>
    <row r="58" spans="2:21" x14ac:dyDescent="0.2">
      <c r="B58" s="866"/>
      <c r="C58" s="872"/>
      <c r="D58" s="872"/>
      <c r="E58" s="872"/>
      <c r="F58" s="872"/>
      <c r="G58" s="872"/>
      <c r="H58" s="872"/>
      <c r="I58" s="872"/>
      <c r="J58" s="872"/>
      <c r="K58" s="872"/>
      <c r="L58" s="872"/>
      <c r="M58" s="872"/>
      <c r="N58" s="872"/>
      <c r="O58" s="872"/>
      <c r="P58" s="872"/>
      <c r="Q58" s="872"/>
      <c r="R58" s="872"/>
      <c r="S58" s="872"/>
    </row>
    <row r="59" spans="2:21" x14ac:dyDescent="0.2">
      <c r="B59" s="866"/>
      <c r="C59" s="872"/>
      <c r="D59" s="872"/>
      <c r="E59" s="872"/>
      <c r="F59" s="872"/>
      <c r="G59" s="872"/>
      <c r="H59" s="872"/>
      <c r="I59" s="872"/>
      <c r="J59" s="872"/>
      <c r="K59" s="872"/>
      <c r="L59" s="872"/>
      <c r="M59" s="872"/>
      <c r="N59" s="872"/>
      <c r="O59" s="872"/>
      <c r="P59" s="872"/>
      <c r="Q59" s="872"/>
      <c r="R59" s="872"/>
      <c r="S59" s="872"/>
    </row>
    <row r="60" spans="2:21" ht="13.5" x14ac:dyDescent="0.2">
      <c r="B60" s="875"/>
      <c r="C60" s="872"/>
      <c r="D60" s="872"/>
      <c r="E60" s="872"/>
      <c r="F60" s="872"/>
      <c r="G60" s="872"/>
      <c r="H60" s="872"/>
      <c r="I60" s="872"/>
      <c r="J60" s="872"/>
      <c r="K60" s="872"/>
      <c r="L60" s="872"/>
      <c r="M60" s="872"/>
      <c r="N60" s="872"/>
      <c r="O60" s="872"/>
      <c r="P60" s="872"/>
      <c r="Q60" s="872"/>
      <c r="R60" s="872"/>
      <c r="S60" s="872"/>
    </row>
    <row r="61" spans="2:21" ht="13.5" x14ac:dyDescent="0.2">
      <c r="B61" s="791"/>
    </row>
    <row r="62" spans="2:21" ht="13.5" x14ac:dyDescent="0.2">
      <c r="B62" s="790"/>
    </row>
    <row r="63" spans="2:21" ht="13.5" x14ac:dyDescent="0.2">
      <c r="B63" s="805"/>
    </row>
    <row r="64" spans="2:21" ht="13.5" x14ac:dyDescent="0.2">
      <c r="B64" s="805"/>
    </row>
    <row r="65" spans="2:19" ht="13.5" x14ac:dyDescent="0.2">
      <c r="B65" s="805"/>
    </row>
    <row r="66" spans="2:19" ht="13.5" x14ac:dyDescent="0.2">
      <c r="B66" s="805"/>
    </row>
    <row r="67" spans="2:19" ht="13.5" x14ac:dyDescent="0.2">
      <c r="B67" s="805"/>
    </row>
    <row r="68" spans="2:19" ht="13.5" x14ac:dyDescent="0.2">
      <c r="B68" s="805"/>
    </row>
    <row r="69" spans="2:19" ht="13.5" x14ac:dyDescent="0.2">
      <c r="B69" s="805"/>
    </row>
    <row r="70" spans="2:19" ht="13.5" x14ac:dyDescent="0.2">
      <c r="B70" s="507"/>
    </row>
    <row r="71" spans="2:19" ht="13.5" x14ac:dyDescent="0.2">
      <c r="B71" s="507"/>
    </row>
    <row r="72" spans="2:19" s="84" customFormat="1" ht="13.5" x14ac:dyDescent="0.2">
      <c r="B72" s="507"/>
    </row>
    <row r="73" spans="2:19" ht="13.5" x14ac:dyDescent="0.2">
      <c r="B73" s="507"/>
    </row>
    <row r="74" spans="2:19" x14ac:dyDescent="0.2">
      <c r="B74" s="876"/>
      <c r="C74"/>
      <c r="D74"/>
      <c r="E74"/>
      <c r="F74"/>
      <c r="G74"/>
      <c r="H74"/>
      <c r="I74"/>
      <c r="J74"/>
      <c r="K74"/>
      <c r="L74"/>
      <c r="M74"/>
      <c r="N74"/>
      <c r="O74"/>
      <c r="P74"/>
      <c r="Q74"/>
      <c r="R74"/>
    </row>
    <row r="75" spans="2:19" ht="14.25" thickBot="1" x14ac:dyDescent="0.25">
      <c r="B75" s="802"/>
      <c r="C75" s="802"/>
      <c r="D75" s="802"/>
      <c r="E75" s="802"/>
      <c r="F75" s="802"/>
      <c r="G75" s="802"/>
      <c r="H75" s="802"/>
      <c r="I75" s="802"/>
      <c r="J75" s="802"/>
      <c r="K75" s="802"/>
      <c r="L75" s="802"/>
      <c r="M75" s="802"/>
      <c r="N75" s="802"/>
      <c r="O75" s="802"/>
      <c r="P75" s="802"/>
      <c r="Q75" s="802"/>
      <c r="R75" s="802"/>
    </row>
    <row r="76" spans="2:19" x14ac:dyDescent="0.2">
      <c r="B76" s="849" t="s">
        <v>390</v>
      </c>
      <c r="C76" s="850"/>
      <c r="D76" s="850"/>
      <c r="E76" s="850"/>
      <c r="F76" s="850"/>
      <c r="G76" s="850"/>
      <c r="H76" s="850"/>
      <c r="I76" s="850"/>
      <c r="J76" s="850"/>
      <c r="K76" s="850"/>
      <c r="L76" s="850"/>
      <c r="M76" s="850"/>
      <c r="N76" s="850"/>
      <c r="O76" s="850"/>
      <c r="P76" s="850"/>
      <c r="Q76" s="850"/>
      <c r="R76" s="850"/>
      <c r="S76" s="851"/>
    </row>
    <row r="77" spans="2:19" x14ac:dyDescent="0.2">
      <c r="B77" s="1329"/>
      <c r="C77" s="1333"/>
      <c r="D77" s="1333"/>
      <c r="E77" s="1333"/>
      <c r="F77" s="1333"/>
      <c r="G77" s="1333"/>
      <c r="H77" s="1333"/>
      <c r="I77" s="1333"/>
      <c r="J77" s="1333"/>
      <c r="K77" s="1333"/>
      <c r="L77" s="1333"/>
      <c r="M77" s="1333"/>
      <c r="N77" s="1333"/>
      <c r="O77" s="1333"/>
      <c r="P77" s="1333"/>
      <c r="Q77" s="1333"/>
      <c r="R77" s="1333"/>
      <c r="S77" s="1334"/>
    </row>
    <row r="78" spans="2:19" x14ac:dyDescent="0.2">
      <c r="B78" s="1329"/>
      <c r="C78" s="1333"/>
      <c r="D78" s="1333"/>
      <c r="E78" s="1333"/>
      <c r="F78" s="1333"/>
      <c r="G78" s="1333"/>
      <c r="H78" s="1333"/>
      <c r="I78" s="1333"/>
      <c r="J78" s="1333"/>
      <c r="K78" s="1333"/>
      <c r="L78" s="1333"/>
      <c r="M78" s="1333"/>
      <c r="N78" s="1333"/>
      <c r="O78" s="1333"/>
      <c r="P78" s="1333"/>
      <c r="Q78" s="1333"/>
      <c r="R78" s="1333"/>
      <c r="S78" s="1334"/>
    </row>
    <row r="79" spans="2:19" ht="13.5" thickBot="1" x14ac:dyDescent="0.25">
      <c r="B79" s="855"/>
      <c r="C79" s="864"/>
      <c r="D79" s="864"/>
      <c r="E79" s="864"/>
      <c r="F79" s="864"/>
      <c r="G79" s="864"/>
      <c r="H79" s="864"/>
      <c r="I79" s="864"/>
      <c r="J79" s="864"/>
      <c r="K79" s="864"/>
      <c r="L79" s="864"/>
      <c r="M79" s="864"/>
      <c r="N79" s="864"/>
      <c r="O79" s="864"/>
      <c r="P79" s="864"/>
      <c r="Q79" s="864"/>
      <c r="R79" s="864"/>
      <c r="S79" s="865"/>
    </row>
    <row r="80" spans="2:19" ht="51.75" customHeight="1" thickBot="1" x14ac:dyDescent="0.25">
      <c r="B80" s="4501" t="s">
        <v>2237</v>
      </c>
      <c r="C80" s="4502"/>
      <c r="D80" s="4502"/>
      <c r="E80" s="4502"/>
      <c r="F80" s="4502"/>
      <c r="G80" s="4502"/>
      <c r="H80" s="4502"/>
      <c r="I80" s="4502"/>
      <c r="J80" s="4502"/>
      <c r="K80" s="4502"/>
      <c r="L80" s="4502"/>
      <c r="M80" s="4502"/>
      <c r="N80" s="4502"/>
      <c r="O80" s="4502"/>
      <c r="P80" s="4502"/>
      <c r="Q80" s="4502"/>
      <c r="R80" s="4502"/>
      <c r="S80" s="4503"/>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9" width="8.5703125" style="83" customWidth="1"/>
    <col min="10" max="10" width="13.28515625" style="83" customWidth="1"/>
    <col min="11" max="12" width="9.42578125" style="83" customWidth="1"/>
    <col min="13" max="15" width="8.85546875" style="83" customWidth="1"/>
    <col min="16" max="16" width="13.42578125" style="83" customWidth="1"/>
    <col min="17" max="18" width="9.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1098</v>
      </c>
      <c r="S1" s="14" t="s">
        <v>2521</v>
      </c>
    </row>
    <row r="2" spans="2:21" ht="15.75" x14ac:dyDescent="0.25">
      <c r="B2" s="13" t="s">
        <v>1007</v>
      </c>
      <c r="S2" s="14" t="s">
        <v>2522</v>
      </c>
    </row>
    <row r="3" spans="2:21" ht="15.75" x14ac:dyDescent="0.25">
      <c r="B3" s="13" t="s">
        <v>62</v>
      </c>
      <c r="S3" s="14" t="s">
        <v>2144</v>
      </c>
    </row>
    <row r="4" spans="2:21" ht="15.75" x14ac:dyDescent="0.25">
      <c r="B4" s="13"/>
      <c r="S4" s="226"/>
    </row>
    <row r="5" spans="2:21" ht="24.75" thickBot="1" x14ac:dyDescent="0.25">
      <c r="B5" s="2446" t="s">
        <v>64</v>
      </c>
      <c r="S5" s="491"/>
      <c r="U5" s="2569" t="s">
        <v>1049</v>
      </c>
    </row>
    <row r="6" spans="2:21" ht="19.5" customHeight="1" x14ac:dyDescent="0.2">
      <c r="B6" s="829" t="s">
        <v>65</v>
      </c>
      <c r="C6" s="830"/>
      <c r="D6" s="824" t="s">
        <v>419</v>
      </c>
      <c r="E6" s="826"/>
      <c r="F6" s="826"/>
      <c r="G6" s="824" t="s">
        <v>1016</v>
      </c>
      <c r="H6" s="826"/>
      <c r="I6" s="826"/>
      <c r="J6" s="826"/>
      <c r="K6" s="826"/>
      <c r="L6" s="825"/>
      <c r="M6" s="824" t="s">
        <v>1017</v>
      </c>
      <c r="N6" s="826"/>
      <c r="O6" s="826"/>
      <c r="P6" s="826"/>
      <c r="Q6" s="826"/>
      <c r="R6" s="826"/>
      <c r="S6" s="888"/>
      <c r="U6" s="2568" t="s">
        <v>2138</v>
      </c>
    </row>
    <row r="7" spans="2:21" ht="48" x14ac:dyDescent="0.2">
      <c r="B7" s="2573" t="s">
        <v>1018</v>
      </c>
      <c r="C7" s="796" t="s">
        <v>1019</v>
      </c>
      <c r="D7" s="859" t="s">
        <v>1020</v>
      </c>
      <c r="E7" s="793" t="s">
        <v>1021</v>
      </c>
      <c r="F7" s="800" t="s">
        <v>1022</v>
      </c>
      <c r="G7" s="834" t="s">
        <v>1969</v>
      </c>
      <c r="H7" s="835"/>
      <c r="I7" s="836"/>
      <c r="J7" s="839" t="s">
        <v>1050</v>
      </c>
      <c r="K7" s="837" t="s">
        <v>1025</v>
      </c>
      <c r="L7" s="838"/>
      <c r="M7" s="835" t="s">
        <v>1974</v>
      </c>
      <c r="N7" s="835"/>
      <c r="O7" s="836"/>
      <c r="P7" s="839" t="s">
        <v>1074</v>
      </c>
      <c r="Q7" s="837" t="s">
        <v>1099</v>
      </c>
      <c r="R7" s="835"/>
      <c r="S7" s="461" t="s">
        <v>2085</v>
      </c>
      <c r="U7" s="2567" t="s">
        <v>2137</v>
      </c>
    </row>
    <row r="8" spans="2:21" ht="24" x14ac:dyDescent="0.2">
      <c r="B8" s="799"/>
      <c r="C8" s="892"/>
      <c r="D8" s="1869"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846"/>
    </row>
    <row r="9" spans="2:21" ht="14.25" thickBot="1" x14ac:dyDescent="0.25">
      <c r="B9" s="2574"/>
      <c r="C9" s="892"/>
      <c r="D9" s="1868"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1100</v>
      </c>
      <c r="C10" s="2257"/>
      <c r="D10" s="3582">
        <f>IF(SUM(D11,D13)=0,"IE",SUM(D11,D13))</f>
        <v>1432.1791773104633</v>
      </c>
      <c r="E10" s="3583">
        <f t="shared" ref="E10:F10" si="0">IF(SUM(E11,E13)=0,"IE",SUM(E11,E13))</f>
        <v>1350.443289647</v>
      </c>
      <c r="F10" s="3584">
        <f t="shared" si="0"/>
        <v>81.735887663463288</v>
      </c>
      <c r="G10" s="3582" t="str">
        <f>IFERROR(IF(SUM($D10)=0,"NA",M10/$D10),"NA")</f>
        <v>NA</v>
      </c>
      <c r="H10" s="3583">
        <f t="shared" ref="H10:J10" si="1">IFERROR(IF(SUM($D10)=0,"NA",N10/$D10),"NA")</f>
        <v>-1.1694119245246015</v>
      </c>
      <c r="I10" s="3583">
        <f t="shared" si="1"/>
        <v>-1.1694119245246015</v>
      </c>
      <c r="J10" s="3583">
        <f t="shared" si="1"/>
        <v>6.8136796444482228E-2</v>
      </c>
      <c r="K10" s="3585">
        <f>IFERROR(IF(SUM(E10)=0,"NA",Q10/E10),"NA")</f>
        <v>-9.153825378819562E-2</v>
      </c>
      <c r="L10" s="3584">
        <f>IFERROR(IF(SUM(F10)=0,"NA",R10/F10),"NA")</f>
        <v>1.0185738696394511</v>
      </c>
      <c r="M10" s="3586" t="str">
        <f>IF(SUM(M11,M13)=0,"IE",SUM(M11,M13))</f>
        <v>IE</v>
      </c>
      <c r="N10" s="3583">
        <f t="shared" ref="N10:S10" si="2">IF(SUM(N11,N13)=0,"IE",SUM(N11,N13))</f>
        <v>-1674.8074080026893</v>
      </c>
      <c r="O10" s="3587">
        <f t="shared" si="2"/>
        <v>-1674.8074080026893</v>
      </c>
      <c r="P10" s="3583">
        <f t="shared" si="2"/>
        <v>97.584101076429064</v>
      </c>
      <c r="Q10" s="3585">
        <f t="shared" si="2"/>
        <v>-123.61722057427285</v>
      </c>
      <c r="R10" s="3585">
        <f t="shared" si="2"/>
        <v>83.25403938578927</v>
      </c>
      <c r="S10" s="3588">
        <f t="shared" si="2"/>
        <v>5931.1504564207271</v>
      </c>
      <c r="U10" s="2261"/>
    </row>
    <row r="11" spans="2:21" ht="18" customHeight="1" x14ac:dyDescent="0.2">
      <c r="B11" s="493" t="s">
        <v>993</v>
      </c>
      <c r="C11" s="2256"/>
      <c r="D11" s="3589">
        <f>D12</f>
        <v>982.34128964700005</v>
      </c>
      <c r="E11" s="3078">
        <f t="shared" ref="E11:F11" si="3">E12</f>
        <v>982.34128964700005</v>
      </c>
      <c r="F11" s="3078" t="str">
        <f t="shared" si="3"/>
        <v>IE</v>
      </c>
      <c r="G11" s="3558" t="str">
        <f t="shared" ref="G11:G24" si="4">IFERROR(IF(SUM($D11)=0,"NA",M11/$D11),"NA")</f>
        <v>NA</v>
      </c>
      <c r="H11" s="3078">
        <f t="shared" ref="H11:H24" si="5">IFERROR(IF(SUM($D11)=0,"NA",N11/$D11),"NA")</f>
        <v>-4.0454633839824743E-3</v>
      </c>
      <c r="I11" s="3078">
        <f t="shared" ref="I11:I24" si="6">IFERROR(IF(SUM($D11)=0,"NA",O11/$D11),"NA")</f>
        <v>-4.0454633839824743E-3</v>
      </c>
      <c r="J11" s="3078">
        <f t="shared" ref="J11:J24" si="7">IFERROR(IF(SUM($D11)=0,"NA",P11/$D11),"NA")</f>
        <v>-8.0909267679649501E-4</v>
      </c>
      <c r="K11" s="3573">
        <f t="shared" ref="K11:K24" si="8">IFERROR(IF(SUM(E11)=0,"NA",Q11/E11),"NA")</f>
        <v>-3.23637070718598E-3</v>
      </c>
      <c r="L11" s="3128" t="str">
        <f t="shared" ref="L11:L24" si="9">IFERROR(IF(SUM(F11)=0,"NA",R11/F11),"NA")</f>
        <v>NA</v>
      </c>
      <c r="M11" s="3590" t="str">
        <f t="shared" ref="M11:S11" si="10">M12</f>
        <v>IE</v>
      </c>
      <c r="N11" s="3591">
        <f t="shared" si="10"/>
        <v>-3.974025717841061</v>
      </c>
      <c r="O11" s="3592">
        <f t="shared" si="10"/>
        <v>-3.974025717841061</v>
      </c>
      <c r="P11" s="3591">
        <f t="shared" si="10"/>
        <v>-0.7948051435682123</v>
      </c>
      <c r="Q11" s="3593">
        <f t="shared" si="10"/>
        <v>-3.1792205742728492</v>
      </c>
      <c r="R11" s="3593" t="str">
        <f t="shared" si="10"/>
        <v>IE</v>
      </c>
      <c r="S11" s="3594">
        <f t="shared" si="10"/>
        <v>29.142855264167782</v>
      </c>
      <c r="U11" s="2397"/>
    </row>
    <row r="12" spans="2:21" ht="18" customHeight="1" x14ac:dyDescent="0.2">
      <c r="B12" s="501"/>
      <c r="C12" s="885" t="s">
        <v>278</v>
      </c>
      <c r="D12" s="3600">
        <f>IF(SUM(E12:F12)=0,E12,SUM(E12:F12))</f>
        <v>982.34128964700005</v>
      </c>
      <c r="E12" s="3569">
        <v>982.34128964700005</v>
      </c>
      <c r="F12" s="3554" t="s">
        <v>2153</v>
      </c>
      <c r="G12" s="3558" t="str">
        <f t="shared" si="4"/>
        <v>NA</v>
      </c>
      <c r="H12" s="3078">
        <f t="shared" si="5"/>
        <v>-4.0454633839824743E-3</v>
      </c>
      <c r="I12" s="3078">
        <f t="shared" si="6"/>
        <v>-4.0454633839824743E-3</v>
      </c>
      <c r="J12" s="3078">
        <f t="shared" si="7"/>
        <v>-8.0909267679649501E-4</v>
      </c>
      <c r="K12" s="3573">
        <f t="shared" si="8"/>
        <v>-3.23637070718598E-3</v>
      </c>
      <c r="L12" s="3128" t="str">
        <f t="shared" si="9"/>
        <v>NA</v>
      </c>
      <c r="M12" s="2905" t="s">
        <v>2153</v>
      </c>
      <c r="N12" s="2905">
        <v>-3.974025717841061</v>
      </c>
      <c r="O12" s="3109">
        <f>IF(SUM(M12:N12)=0,M12,SUM(M12:N12))</f>
        <v>-3.974025717841061</v>
      </c>
      <c r="P12" s="2905">
        <v>-0.7948051435682123</v>
      </c>
      <c r="Q12" s="2906">
        <v>-3.1792205742728492</v>
      </c>
      <c r="R12" s="2906" t="s">
        <v>2153</v>
      </c>
      <c r="S12" s="3570">
        <f>IF(SUM(O12:R12)=0,Q12,SUM(O12:R12)*-44/12)</f>
        <v>29.142855264167782</v>
      </c>
      <c r="U12" s="2398"/>
    </row>
    <row r="13" spans="2:21" ht="18" customHeight="1" x14ac:dyDescent="0.2">
      <c r="B13" s="493" t="s">
        <v>994</v>
      </c>
      <c r="C13" s="504"/>
      <c r="D13" s="3589">
        <f>IF(SUM(D14,D17,D19,D21,D23)=0,"IE",SUM(D14,D17,D19,D21,D23))</f>
        <v>449.83788766346328</v>
      </c>
      <c r="E13" s="3591">
        <f t="shared" ref="E13:S13" si="11">IF(SUM(E14,E17,E19,E21,E23)=0,"IE",SUM(E14,E17,E19,E21,E23))</f>
        <v>368.10199999999998</v>
      </c>
      <c r="F13" s="3595">
        <f t="shared" si="11"/>
        <v>81.735887663463288</v>
      </c>
      <c r="G13" s="3558" t="str">
        <f t="shared" si="4"/>
        <v>NA</v>
      </c>
      <c r="H13" s="3078">
        <f t="shared" si="5"/>
        <v>-3.7143011473832259</v>
      </c>
      <c r="I13" s="3078">
        <f t="shared" si="6"/>
        <v>-3.7143011473832259</v>
      </c>
      <c r="J13" s="3078">
        <f t="shared" si="7"/>
        <v>0.21869857768316167</v>
      </c>
      <c r="K13" s="3573">
        <f t="shared" si="8"/>
        <v>-0.32718648635432573</v>
      </c>
      <c r="L13" s="3128">
        <f t="shared" si="9"/>
        <v>1.0185738696394511</v>
      </c>
      <c r="M13" s="3078" t="str">
        <f t="shared" si="11"/>
        <v>IE</v>
      </c>
      <c r="N13" s="3078">
        <f t="shared" si="11"/>
        <v>-1670.8333822848483</v>
      </c>
      <c r="O13" s="3078">
        <f t="shared" si="11"/>
        <v>-1670.8333822848483</v>
      </c>
      <c r="P13" s="3078">
        <f t="shared" si="11"/>
        <v>98.378906219997276</v>
      </c>
      <c r="Q13" s="3573">
        <f t="shared" si="11"/>
        <v>-120.438</v>
      </c>
      <c r="R13" s="3573">
        <f t="shared" si="11"/>
        <v>83.25403938578927</v>
      </c>
      <c r="S13" s="3570">
        <f t="shared" si="11"/>
        <v>5902.0076011565598</v>
      </c>
      <c r="U13" s="2019"/>
    </row>
    <row r="14" spans="2:21" ht="18" customHeight="1" x14ac:dyDescent="0.2">
      <c r="B14" s="495" t="s">
        <v>1101</v>
      </c>
      <c r="C14" s="504"/>
      <c r="D14" s="3599">
        <f>IF(SUM(D15:D16)=0,"IE",SUM(D15:D16))</f>
        <v>449.83788766346328</v>
      </c>
      <c r="E14" s="3564">
        <f t="shared" ref="E14:F14" si="12">IF(SUM(E15:E16)=0,"IE",SUM(E15:E16))</f>
        <v>368.10199999999998</v>
      </c>
      <c r="F14" s="3565">
        <f t="shared" si="12"/>
        <v>81.735887663463288</v>
      </c>
      <c r="G14" s="3558" t="str">
        <f t="shared" si="4"/>
        <v>NA</v>
      </c>
      <c r="H14" s="3078">
        <f t="shared" si="5"/>
        <v>-3.7143011473832259</v>
      </c>
      <c r="I14" s="3078">
        <f t="shared" si="6"/>
        <v>-3.7143011473832259</v>
      </c>
      <c r="J14" s="3078">
        <f t="shared" si="7"/>
        <v>0.21869857768316167</v>
      </c>
      <c r="K14" s="3573">
        <f t="shared" si="8"/>
        <v>-0.32718648635432573</v>
      </c>
      <c r="L14" s="3128">
        <f t="shared" si="9"/>
        <v>1.0185738696394511</v>
      </c>
      <c r="M14" s="3506" t="str">
        <f>IF(SUM(M15:M16)=0,"IE",SUM(M15:M16))</f>
        <v>IE</v>
      </c>
      <c r="N14" s="3506">
        <f t="shared" ref="N14:S14" si="13">IF(SUM(N15:N16)=0,"IE",SUM(N15:N16))</f>
        <v>-1670.8333822848483</v>
      </c>
      <c r="O14" s="3506">
        <f t="shared" si="13"/>
        <v>-1670.8333822848483</v>
      </c>
      <c r="P14" s="3506">
        <f t="shared" si="13"/>
        <v>98.378906219997276</v>
      </c>
      <c r="Q14" s="3601">
        <f t="shared" si="13"/>
        <v>-120.438</v>
      </c>
      <c r="R14" s="3601">
        <f t="shared" si="13"/>
        <v>83.25403938578927</v>
      </c>
      <c r="S14" s="3287">
        <f t="shared" si="13"/>
        <v>5902.0076011565598</v>
      </c>
      <c r="U14" s="2019"/>
    </row>
    <row r="15" spans="2:21" ht="18" customHeight="1" x14ac:dyDescent="0.2">
      <c r="B15" s="496"/>
      <c r="C15" s="508" t="s">
        <v>2235</v>
      </c>
      <c r="D15" s="3600">
        <f>IF(SUM(E15:F15)=0,E15,SUM(E15:F15))</f>
        <v>81.735887663463288</v>
      </c>
      <c r="E15" s="3569" t="s">
        <v>2146</v>
      </c>
      <c r="F15" s="3554">
        <v>81.735887663463288</v>
      </c>
      <c r="G15" s="3558" t="str">
        <f t="shared" si="4"/>
        <v>NA</v>
      </c>
      <c r="H15" s="3078">
        <f t="shared" si="5"/>
        <v>-12.625511409795859</v>
      </c>
      <c r="I15" s="3078">
        <f t="shared" si="6"/>
        <v>-12.625511409795859</v>
      </c>
      <c r="J15" s="3078">
        <f t="shared" si="7"/>
        <v>3.0360581295910349</v>
      </c>
      <c r="K15" s="3573" t="str">
        <f t="shared" si="8"/>
        <v>NA</v>
      </c>
      <c r="L15" s="3128">
        <f t="shared" si="9"/>
        <v>1.0185738696394511</v>
      </c>
      <c r="M15" s="2905" t="s">
        <v>2153</v>
      </c>
      <c r="N15" s="2905">
        <v>-1031.9573822848483</v>
      </c>
      <c r="O15" s="3109">
        <f>IF(SUM(M15:N15)=0,M15,SUM(M15:N15))</f>
        <v>-1031.9573822848483</v>
      </c>
      <c r="P15" s="2905">
        <v>248.15490621999729</v>
      </c>
      <c r="Q15" s="2906" t="s">
        <v>2146</v>
      </c>
      <c r="R15" s="2906">
        <v>83.25403938578927</v>
      </c>
      <c r="S15" s="3570">
        <f>IF(SUM(O15:R15)=0,Q15,SUM(O15:R15)*-44/12)</f>
        <v>2568.6776011565598</v>
      </c>
      <c r="U15" s="2019"/>
    </row>
    <row r="16" spans="2:21" ht="18" customHeight="1" x14ac:dyDescent="0.2">
      <c r="B16" s="494"/>
      <c r="C16" s="508" t="s">
        <v>2236</v>
      </c>
      <c r="D16" s="3600">
        <f>IF(SUM(E16:F16)=0,E16,SUM(E16:F16))</f>
        <v>368.10199999999998</v>
      </c>
      <c r="E16" s="3569">
        <v>368.10199999999998</v>
      </c>
      <c r="F16" s="3554" t="s">
        <v>2153</v>
      </c>
      <c r="G16" s="3558" t="str">
        <f t="shared" si="4"/>
        <v>NA</v>
      </c>
      <c r="H16" s="3078">
        <f t="shared" si="5"/>
        <v>-1.7355950252919028</v>
      </c>
      <c r="I16" s="3078">
        <f t="shared" si="6"/>
        <v>-1.7355950252919028</v>
      </c>
      <c r="J16" s="3078">
        <f t="shared" si="7"/>
        <v>-0.40688722147665596</v>
      </c>
      <c r="K16" s="3573">
        <f t="shared" si="8"/>
        <v>-0.32718648635432573</v>
      </c>
      <c r="L16" s="3128" t="str">
        <f t="shared" si="9"/>
        <v>NA</v>
      </c>
      <c r="M16" s="2905" t="s">
        <v>2153</v>
      </c>
      <c r="N16" s="2905">
        <v>-638.87599999999998</v>
      </c>
      <c r="O16" s="3109">
        <f>IF(SUM(M16:N16)=0,M16,SUM(M16:N16))</f>
        <v>-638.87599999999998</v>
      </c>
      <c r="P16" s="2905">
        <v>-149.77600000000001</v>
      </c>
      <c r="Q16" s="2906">
        <v>-120.438</v>
      </c>
      <c r="R16" s="2906" t="s">
        <v>2153</v>
      </c>
      <c r="S16" s="3570">
        <f>IF(SUM(O16:R16)=0,Q16,SUM(O16:R16)*-44/12)</f>
        <v>3333.33</v>
      </c>
      <c r="U16" s="2398"/>
    </row>
    <row r="17" spans="2:35" ht="18" customHeight="1" x14ac:dyDescent="0.2">
      <c r="B17" s="496" t="s">
        <v>1102</v>
      </c>
      <c r="C17" s="504"/>
      <c r="D17" s="3589" t="str">
        <f>D18</f>
        <v>IE</v>
      </c>
      <c r="E17" s="3078" t="str">
        <f t="shared" ref="E17:F17" si="14">E18</f>
        <v>IE</v>
      </c>
      <c r="F17" s="3078" t="str">
        <f t="shared" si="14"/>
        <v>IE</v>
      </c>
      <c r="G17" s="3558" t="str">
        <f t="shared" si="4"/>
        <v>NA</v>
      </c>
      <c r="H17" s="3078" t="str">
        <f t="shared" si="5"/>
        <v>NA</v>
      </c>
      <c r="I17" s="3078" t="str">
        <f t="shared" si="6"/>
        <v>NA</v>
      </c>
      <c r="J17" s="3078" t="str">
        <f t="shared" si="7"/>
        <v>NA</v>
      </c>
      <c r="K17" s="3573" t="str">
        <f t="shared" si="8"/>
        <v>NA</v>
      </c>
      <c r="L17" s="3128" t="str">
        <f t="shared" si="9"/>
        <v>NA</v>
      </c>
      <c r="M17" s="3590" t="str">
        <f t="shared" ref="M17:S17" si="15">M18</f>
        <v>IE</v>
      </c>
      <c r="N17" s="3591" t="str">
        <f t="shared" si="15"/>
        <v>IE</v>
      </c>
      <c r="O17" s="3592" t="str">
        <f t="shared" si="15"/>
        <v>IE</v>
      </c>
      <c r="P17" s="3591" t="str">
        <f t="shared" si="15"/>
        <v>IE</v>
      </c>
      <c r="Q17" s="3593" t="str">
        <f t="shared" si="15"/>
        <v>IE</v>
      </c>
      <c r="R17" s="3593" t="str">
        <f t="shared" si="15"/>
        <v>IE</v>
      </c>
      <c r="S17" s="3594" t="str">
        <f t="shared" si="15"/>
        <v>IE</v>
      </c>
      <c r="U17" s="2019"/>
    </row>
    <row r="18" spans="2:35" ht="18" customHeight="1" x14ac:dyDescent="0.2">
      <c r="B18" s="494"/>
      <c r="C18" s="885" t="s">
        <v>278</v>
      </c>
      <c r="D18" s="3600" t="str">
        <f>IF(SUM(E18:F18)=0,E18,SUM(E18:F18))</f>
        <v>IE</v>
      </c>
      <c r="E18" s="3569" t="s">
        <v>2153</v>
      </c>
      <c r="F18" s="3569" t="s">
        <v>2153</v>
      </c>
      <c r="G18" s="3558" t="str">
        <f t="shared" si="4"/>
        <v>NA</v>
      </c>
      <c r="H18" s="3078" t="str">
        <f t="shared" si="5"/>
        <v>NA</v>
      </c>
      <c r="I18" s="3078" t="str">
        <f t="shared" si="6"/>
        <v>NA</v>
      </c>
      <c r="J18" s="3078" t="str">
        <f t="shared" si="7"/>
        <v>NA</v>
      </c>
      <c r="K18" s="3573" t="str">
        <f t="shared" si="8"/>
        <v>NA</v>
      </c>
      <c r="L18" s="3128" t="str">
        <f t="shared" si="9"/>
        <v>NA</v>
      </c>
      <c r="M18" s="3569" t="s">
        <v>2153</v>
      </c>
      <c r="N18" s="3569" t="s">
        <v>2153</v>
      </c>
      <c r="O18" s="3109" t="str">
        <f>IF(SUM(M18:N18)=0,M18,SUM(M18:N18))</f>
        <v>IE</v>
      </c>
      <c r="P18" s="3569" t="s">
        <v>2153</v>
      </c>
      <c r="Q18" s="3569" t="s">
        <v>2153</v>
      </c>
      <c r="R18" s="3569" t="s">
        <v>2153</v>
      </c>
      <c r="S18" s="3570" t="str">
        <f>IF(SUM(O18:R18)=0,Q18,SUM(O18:R18)*-44/12)</f>
        <v>IE</v>
      </c>
      <c r="U18" s="2398"/>
    </row>
    <row r="19" spans="2:35" ht="18" customHeight="1" x14ac:dyDescent="0.2">
      <c r="B19" s="496" t="s">
        <v>1103</v>
      </c>
      <c r="C19" s="504"/>
      <c r="D19" s="3589" t="str">
        <f>D20</f>
        <v>IE</v>
      </c>
      <c r="E19" s="3078" t="str">
        <f t="shared" ref="E19:F19" si="16">E20</f>
        <v>IE</v>
      </c>
      <c r="F19" s="3078" t="str">
        <f t="shared" si="16"/>
        <v>IE</v>
      </c>
      <c r="G19" s="3558" t="str">
        <f t="shared" si="4"/>
        <v>NA</v>
      </c>
      <c r="H19" s="3078" t="str">
        <f t="shared" si="5"/>
        <v>NA</v>
      </c>
      <c r="I19" s="3078" t="str">
        <f t="shared" si="6"/>
        <v>NA</v>
      </c>
      <c r="J19" s="3078" t="str">
        <f t="shared" si="7"/>
        <v>NA</v>
      </c>
      <c r="K19" s="3573" t="str">
        <f t="shared" si="8"/>
        <v>NA</v>
      </c>
      <c r="L19" s="3128" t="str">
        <f t="shared" si="9"/>
        <v>NA</v>
      </c>
      <c r="M19" s="3590" t="str">
        <f t="shared" ref="M19:S19" si="17">M20</f>
        <v>IE</v>
      </c>
      <c r="N19" s="3591" t="str">
        <f t="shared" si="17"/>
        <v>IE</v>
      </c>
      <c r="O19" s="3592" t="str">
        <f t="shared" si="17"/>
        <v>IE</v>
      </c>
      <c r="P19" s="3591" t="str">
        <f t="shared" si="17"/>
        <v>IE</v>
      </c>
      <c r="Q19" s="3593" t="str">
        <f t="shared" si="17"/>
        <v>IE</v>
      </c>
      <c r="R19" s="3593" t="str">
        <f t="shared" si="17"/>
        <v>IE</v>
      </c>
      <c r="S19" s="3594" t="str">
        <f t="shared" si="17"/>
        <v>IE</v>
      </c>
      <c r="U19" s="2019"/>
    </row>
    <row r="20" spans="2:35" ht="18" customHeight="1" x14ac:dyDescent="0.2">
      <c r="B20" s="494"/>
      <c r="C20" s="885" t="s">
        <v>278</v>
      </c>
      <c r="D20" s="3600" t="str">
        <f>IF(SUM(E20:F20)=0,E20,SUM(E20:F20))</f>
        <v>IE</v>
      </c>
      <c r="E20" s="3569" t="s">
        <v>2153</v>
      </c>
      <c r="F20" s="3569" t="s">
        <v>2153</v>
      </c>
      <c r="G20" s="3558" t="str">
        <f t="shared" si="4"/>
        <v>NA</v>
      </c>
      <c r="H20" s="3078" t="str">
        <f t="shared" si="5"/>
        <v>NA</v>
      </c>
      <c r="I20" s="3078" t="str">
        <f t="shared" si="6"/>
        <v>NA</v>
      </c>
      <c r="J20" s="3078" t="str">
        <f t="shared" si="7"/>
        <v>NA</v>
      </c>
      <c r="K20" s="3573" t="str">
        <f t="shared" si="8"/>
        <v>NA</v>
      </c>
      <c r="L20" s="3128" t="str">
        <f t="shared" si="9"/>
        <v>NA</v>
      </c>
      <c r="M20" s="3569" t="s">
        <v>2153</v>
      </c>
      <c r="N20" s="3569" t="s">
        <v>2153</v>
      </c>
      <c r="O20" s="3109" t="str">
        <f>IF(SUM(M20:N20)=0,M20,SUM(M20:N20))</f>
        <v>IE</v>
      </c>
      <c r="P20" s="3569" t="s">
        <v>2153</v>
      </c>
      <c r="Q20" s="3569" t="s">
        <v>2153</v>
      </c>
      <c r="R20" s="3569" t="s">
        <v>2153</v>
      </c>
      <c r="S20" s="3570" t="str">
        <f>IF(SUM(O20:R20)=0,Q20,SUM(O20:R20)*-44/12)</f>
        <v>IE</v>
      </c>
      <c r="U20" s="2398"/>
    </row>
    <row r="21" spans="2:35" ht="18" customHeight="1" x14ac:dyDescent="0.2">
      <c r="B21" s="496" t="s">
        <v>1104</v>
      </c>
      <c r="C21" s="504"/>
      <c r="D21" s="3589" t="str">
        <f>D22</f>
        <v>IE</v>
      </c>
      <c r="E21" s="3078" t="str">
        <f t="shared" ref="E21:F21" si="18">E22</f>
        <v>NO</v>
      </c>
      <c r="F21" s="3078" t="str">
        <f t="shared" si="18"/>
        <v>IE</v>
      </c>
      <c r="G21" s="3558" t="str">
        <f t="shared" si="4"/>
        <v>NA</v>
      </c>
      <c r="H21" s="3078" t="str">
        <f t="shared" si="5"/>
        <v>NA</v>
      </c>
      <c r="I21" s="3078" t="str">
        <f t="shared" si="6"/>
        <v>NA</v>
      </c>
      <c r="J21" s="3078" t="str">
        <f t="shared" si="7"/>
        <v>NA</v>
      </c>
      <c r="K21" s="3573" t="str">
        <f t="shared" si="8"/>
        <v>NA</v>
      </c>
      <c r="L21" s="3128" t="str">
        <f t="shared" si="9"/>
        <v>NA</v>
      </c>
      <c r="M21" s="3590" t="str">
        <f t="shared" ref="M21:S21" si="19">M22</f>
        <v>IE</v>
      </c>
      <c r="N21" s="3591" t="str">
        <f t="shared" si="19"/>
        <v>IE</v>
      </c>
      <c r="O21" s="3592" t="str">
        <f t="shared" si="19"/>
        <v>IE</v>
      </c>
      <c r="P21" s="3591" t="str">
        <f t="shared" si="19"/>
        <v>IE</v>
      </c>
      <c r="Q21" s="3593" t="str">
        <f t="shared" si="19"/>
        <v>NO</v>
      </c>
      <c r="R21" s="3593" t="str">
        <f t="shared" si="19"/>
        <v>IE</v>
      </c>
      <c r="S21" s="3594" t="str">
        <f t="shared" si="19"/>
        <v>IE</v>
      </c>
      <c r="U21" s="2019"/>
    </row>
    <row r="22" spans="2:35" ht="18" customHeight="1" x14ac:dyDescent="0.2">
      <c r="B22" s="494"/>
      <c r="C22" s="885" t="s">
        <v>278</v>
      </c>
      <c r="D22" s="3600" t="str">
        <f>IF(SUM(E22:F22)=0,F22,SUM(E22:F22))</f>
        <v>IE</v>
      </c>
      <c r="E22" s="3569" t="s">
        <v>2146</v>
      </c>
      <c r="F22" s="3554" t="s">
        <v>2153</v>
      </c>
      <c r="G22" s="3558" t="str">
        <f t="shared" si="4"/>
        <v>NA</v>
      </c>
      <c r="H22" s="3078" t="str">
        <f t="shared" si="5"/>
        <v>NA</v>
      </c>
      <c r="I22" s="3078" t="str">
        <f t="shared" si="6"/>
        <v>NA</v>
      </c>
      <c r="J22" s="3078" t="str">
        <f t="shared" si="7"/>
        <v>NA</v>
      </c>
      <c r="K22" s="3573" t="str">
        <f t="shared" si="8"/>
        <v>NA</v>
      </c>
      <c r="L22" s="3128" t="str">
        <f t="shared" si="9"/>
        <v>NA</v>
      </c>
      <c r="M22" s="2905" t="s">
        <v>2153</v>
      </c>
      <c r="N22" s="2905" t="s">
        <v>2153</v>
      </c>
      <c r="O22" s="3109" t="str">
        <f>IF(SUM(M22:N22)=0,M22,SUM(M22:N22))</f>
        <v>IE</v>
      </c>
      <c r="P22" s="2905" t="s">
        <v>2153</v>
      </c>
      <c r="Q22" s="2906" t="s">
        <v>2146</v>
      </c>
      <c r="R22" s="2906" t="s">
        <v>2153</v>
      </c>
      <c r="S22" s="3570" t="str">
        <f>IF(SUM(O22:R22)=0,R22,SUM(O22:R22)*-44/12)</f>
        <v>IE</v>
      </c>
      <c r="U22" s="2398"/>
    </row>
    <row r="23" spans="2:35" ht="18" customHeight="1" x14ac:dyDescent="0.2">
      <c r="B23" s="496" t="s">
        <v>1105</v>
      </c>
      <c r="C23" s="504"/>
      <c r="D23" s="3589" t="str">
        <f>D24</f>
        <v>NO</v>
      </c>
      <c r="E23" s="3078" t="str">
        <f t="shared" ref="E23:F23" si="20">E24</f>
        <v>NO</v>
      </c>
      <c r="F23" s="3078" t="str">
        <f t="shared" si="20"/>
        <v>NO</v>
      </c>
      <c r="G23" s="3558" t="str">
        <f t="shared" si="4"/>
        <v>NA</v>
      </c>
      <c r="H23" s="3078" t="str">
        <f t="shared" si="5"/>
        <v>NA</v>
      </c>
      <c r="I23" s="3078" t="str">
        <f t="shared" si="6"/>
        <v>NA</v>
      </c>
      <c r="J23" s="3078" t="str">
        <f t="shared" si="7"/>
        <v>NA</v>
      </c>
      <c r="K23" s="3573" t="str">
        <f t="shared" si="8"/>
        <v>NA</v>
      </c>
      <c r="L23" s="3128" t="str">
        <f t="shared" si="9"/>
        <v>NA</v>
      </c>
      <c r="M23" s="3590" t="str">
        <f t="shared" ref="M23:S23" si="21">M24</f>
        <v>NO</v>
      </c>
      <c r="N23" s="3591" t="str">
        <f t="shared" si="21"/>
        <v>NO</v>
      </c>
      <c r="O23" s="3592" t="str">
        <f t="shared" si="21"/>
        <v>NO</v>
      </c>
      <c r="P23" s="3591" t="str">
        <f t="shared" si="21"/>
        <v>NO</v>
      </c>
      <c r="Q23" s="3593" t="str">
        <f t="shared" si="21"/>
        <v>NO</v>
      </c>
      <c r="R23" s="3593" t="str">
        <f t="shared" si="21"/>
        <v>NO</v>
      </c>
      <c r="S23" s="3594" t="str">
        <f t="shared" si="21"/>
        <v>NO</v>
      </c>
      <c r="U23" s="2019"/>
    </row>
    <row r="24" spans="2:35" ht="18" customHeight="1" thickBot="1" x14ac:dyDescent="0.25">
      <c r="B24" s="509"/>
      <c r="C24" s="510" t="s">
        <v>278</v>
      </c>
      <c r="D24" s="3596" t="str">
        <f>IF(SUM(E24:F24)=0,E24,SUM(E24:F24))</f>
        <v>NO</v>
      </c>
      <c r="E24" s="3575" t="s">
        <v>2146</v>
      </c>
      <c r="F24" s="3576" t="s">
        <v>2146</v>
      </c>
      <c r="G24" s="3577" t="str">
        <f t="shared" si="4"/>
        <v>NA</v>
      </c>
      <c r="H24" s="3138" t="str">
        <f t="shared" si="5"/>
        <v>NA</v>
      </c>
      <c r="I24" s="3138" t="str">
        <f t="shared" si="6"/>
        <v>NA</v>
      </c>
      <c r="J24" s="3138" t="str">
        <f t="shared" si="7"/>
        <v>NA</v>
      </c>
      <c r="K24" s="3597" t="str">
        <f t="shared" si="8"/>
        <v>NA</v>
      </c>
      <c r="L24" s="3578" t="str">
        <f t="shared" si="9"/>
        <v>NA</v>
      </c>
      <c r="M24" s="3137" t="s">
        <v>2146</v>
      </c>
      <c r="N24" s="3137" t="s">
        <v>2146</v>
      </c>
      <c r="O24" s="3579" t="str">
        <f>IF(SUM(M24:N24)=0,M24,SUM(M24:N24))</f>
        <v>NO</v>
      </c>
      <c r="P24" s="3137" t="s">
        <v>2146</v>
      </c>
      <c r="Q24" s="3580" t="s">
        <v>2146</v>
      </c>
      <c r="R24" s="3580" t="s">
        <v>2146</v>
      </c>
      <c r="S24" s="3581" t="str">
        <f>IF(SUM(O24:R24)=0,Q24,SUM(O24:R24)*-44/12)</f>
        <v>NO</v>
      </c>
      <c r="U24" s="2399"/>
    </row>
    <row r="25" spans="2:35" ht="13.5" x14ac:dyDescent="0.2">
      <c r="B25" s="889"/>
      <c r="C25" s="889"/>
      <c r="D25" s="889"/>
      <c r="E25" s="889"/>
      <c r="F25" s="889"/>
      <c r="G25" s="889"/>
      <c r="H25" s="889"/>
      <c r="I25" s="889"/>
      <c r="J25" s="889"/>
      <c r="K25" s="889"/>
      <c r="L25" s="889"/>
      <c r="M25" s="889"/>
      <c r="N25" s="889"/>
      <c r="O25" s="889"/>
      <c r="P25" s="889"/>
      <c r="Q25" s="889"/>
      <c r="R25" s="889"/>
      <c r="S25" s="889"/>
    </row>
    <row r="26" spans="2:35" ht="13.5" x14ac:dyDescent="0.2">
      <c r="B26" s="893"/>
      <c r="C26" s="889"/>
      <c r="D26" s="889"/>
      <c r="E26" s="889"/>
      <c r="F26" s="889"/>
      <c r="G26" s="889"/>
      <c r="H26" s="889"/>
      <c r="I26" s="889"/>
      <c r="J26" s="889"/>
      <c r="K26" s="889"/>
      <c r="L26" s="889"/>
      <c r="M26" s="889"/>
      <c r="N26" s="889"/>
      <c r="O26" s="889"/>
      <c r="P26" s="889"/>
      <c r="Q26" s="889"/>
      <c r="R26" s="889"/>
      <c r="S26" s="889"/>
    </row>
    <row r="27" spans="2:35" ht="13.5" x14ac:dyDescent="0.2">
      <c r="B27" s="893"/>
      <c r="C27" s="889"/>
      <c r="D27" s="889"/>
      <c r="E27" s="889"/>
      <c r="F27" s="889"/>
      <c r="G27" s="889"/>
      <c r="H27" s="889"/>
      <c r="I27" s="889"/>
      <c r="J27" s="889"/>
      <c r="K27" s="889"/>
      <c r="L27" s="889"/>
      <c r="M27" s="889"/>
      <c r="N27" s="889"/>
      <c r="O27" s="889"/>
      <c r="P27" s="889"/>
      <c r="Q27" s="889"/>
      <c r="R27" s="889"/>
      <c r="S27" s="889"/>
    </row>
    <row r="28" spans="2:35" ht="13.5" x14ac:dyDescent="0.2">
      <c r="B28" s="889"/>
      <c r="C28" s="889"/>
      <c r="D28" s="889"/>
      <c r="E28" s="889"/>
      <c r="F28" s="889"/>
      <c r="G28" s="889"/>
      <c r="H28" s="889"/>
      <c r="I28" s="889"/>
      <c r="J28" s="889"/>
      <c r="K28" s="889"/>
      <c r="L28" s="889"/>
      <c r="M28" s="889"/>
      <c r="N28" s="889"/>
      <c r="O28" s="889"/>
      <c r="P28" s="889"/>
      <c r="Q28" s="889"/>
      <c r="R28" s="889"/>
      <c r="S28" s="889"/>
    </row>
    <row r="29" spans="2:35" ht="13.5" x14ac:dyDescent="0.2">
      <c r="B29" s="512"/>
      <c r="C29" s="890"/>
      <c r="D29" s="890"/>
      <c r="E29" s="890"/>
      <c r="F29" s="890"/>
      <c r="G29" s="890"/>
      <c r="H29" s="890"/>
      <c r="I29" s="890"/>
      <c r="J29" s="890"/>
      <c r="K29" s="890"/>
      <c r="L29" s="890"/>
      <c r="M29" s="890"/>
      <c r="N29" s="890"/>
      <c r="O29" s="890"/>
      <c r="P29" s="891"/>
      <c r="Q29" s="891"/>
      <c r="R29" s="891"/>
      <c r="S29" s="891"/>
      <c r="V29" s="4504"/>
      <c r="W29" s="4504"/>
      <c r="X29" s="4504"/>
      <c r="Y29" s="4504"/>
      <c r="Z29" s="4504"/>
      <c r="AA29" s="4504"/>
      <c r="AB29" s="4504"/>
      <c r="AC29" s="4504"/>
      <c r="AD29" s="4504"/>
      <c r="AE29" s="4504"/>
      <c r="AF29" s="4504"/>
      <c r="AG29" s="4504"/>
      <c r="AH29" s="4504"/>
      <c r="AI29" s="4504"/>
    </row>
    <row r="30" spans="2:35" ht="13.5" x14ac:dyDescent="0.2">
      <c r="B30" s="790"/>
      <c r="C30" s="790"/>
      <c r="D30" s="790"/>
      <c r="E30" s="790"/>
      <c r="F30" s="790"/>
      <c r="G30" s="790"/>
      <c r="H30" s="790"/>
      <c r="I30" s="790"/>
      <c r="J30" s="790"/>
      <c r="K30" s="790"/>
      <c r="L30" s="891"/>
      <c r="M30" s="891"/>
      <c r="N30" s="891"/>
      <c r="O30" s="891"/>
      <c r="P30" s="891"/>
      <c r="Q30" s="891"/>
      <c r="R30" s="891"/>
      <c r="S30" s="891"/>
    </row>
    <row r="31" spans="2:35" ht="13.5" x14ac:dyDescent="0.2">
      <c r="B31" s="790"/>
      <c r="C31" s="790"/>
      <c r="D31" s="790"/>
      <c r="E31" s="790"/>
      <c r="F31" s="790"/>
      <c r="G31" s="790"/>
      <c r="H31" s="790"/>
      <c r="I31" s="790"/>
      <c r="J31" s="790"/>
      <c r="K31" s="790"/>
      <c r="L31" s="891"/>
      <c r="M31" s="891"/>
      <c r="N31" s="891"/>
      <c r="O31" s="891"/>
      <c r="P31" s="891"/>
      <c r="Q31" s="891"/>
      <c r="R31" s="891"/>
      <c r="S31" s="891"/>
    </row>
    <row r="32" spans="2:35" ht="13.5" x14ac:dyDescent="0.2">
      <c r="B32" s="790"/>
      <c r="C32" s="790"/>
      <c r="D32" s="790"/>
      <c r="E32" s="790"/>
      <c r="F32" s="790"/>
      <c r="G32" s="790"/>
      <c r="H32" s="790"/>
      <c r="I32" s="790"/>
      <c r="J32" s="790"/>
      <c r="K32" s="790"/>
      <c r="L32" s="891"/>
      <c r="M32" s="891"/>
      <c r="N32" s="891"/>
      <c r="O32" s="891"/>
      <c r="P32" s="891"/>
      <c r="Q32" s="891"/>
      <c r="R32" s="891"/>
      <c r="S32" s="891"/>
    </row>
    <row r="33" spans="2:19" ht="13.5" x14ac:dyDescent="0.2">
      <c r="B33" s="790"/>
      <c r="C33" s="790"/>
      <c r="D33" s="790"/>
      <c r="E33" s="790"/>
      <c r="F33" s="790"/>
      <c r="G33" s="790"/>
      <c r="H33" s="790"/>
      <c r="I33" s="790"/>
      <c r="J33" s="790"/>
      <c r="K33" s="790"/>
      <c r="L33" s="891"/>
      <c r="M33" s="891"/>
      <c r="N33" s="891"/>
      <c r="O33" s="891"/>
      <c r="P33" s="891"/>
      <c r="Q33" s="891"/>
      <c r="R33" s="891"/>
      <c r="S33" s="891"/>
    </row>
    <row r="34" spans="2:19" ht="13.5" x14ac:dyDescent="0.2">
      <c r="B34" s="790"/>
      <c r="C34" s="790"/>
      <c r="D34" s="790"/>
      <c r="E34" s="790"/>
      <c r="F34" s="790"/>
      <c r="G34" s="790"/>
      <c r="H34" s="790"/>
      <c r="I34" s="790"/>
      <c r="J34" s="790"/>
      <c r="K34" s="790"/>
      <c r="L34" s="891"/>
      <c r="M34" s="891"/>
      <c r="N34" s="891"/>
      <c r="O34" s="891"/>
      <c r="P34" s="891"/>
      <c r="Q34" s="891"/>
      <c r="R34" s="891"/>
      <c r="S34" s="891"/>
    </row>
    <row r="35" spans="2:19" ht="13.5" x14ac:dyDescent="0.2">
      <c r="B35" s="790"/>
      <c r="C35" s="790"/>
      <c r="D35" s="790"/>
      <c r="E35" s="790"/>
      <c r="F35" s="790"/>
      <c r="G35" s="790"/>
      <c r="H35" s="790"/>
      <c r="I35" s="790"/>
      <c r="J35" s="790"/>
      <c r="K35" s="790"/>
      <c r="L35" s="891"/>
      <c r="M35" s="891"/>
      <c r="N35" s="891"/>
      <c r="O35" s="891"/>
      <c r="P35" s="891"/>
      <c r="Q35" s="891"/>
      <c r="R35" s="891"/>
      <c r="S35" s="891"/>
    </row>
    <row r="36" spans="2:19" ht="13.5" x14ac:dyDescent="0.2">
      <c r="B36" s="790"/>
      <c r="C36" s="790"/>
      <c r="D36" s="790"/>
      <c r="E36" s="790"/>
      <c r="F36" s="790"/>
      <c r="G36" s="790"/>
      <c r="H36" s="790"/>
      <c r="I36" s="790"/>
      <c r="J36" s="790"/>
      <c r="K36" s="790"/>
      <c r="L36" s="891"/>
      <c r="M36" s="891"/>
      <c r="N36" s="891"/>
      <c r="O36" s="891"/>
      <c r="P36" s="891"/>
      <c r="Q36" s="891"/>
      <c r="R36" s="891"/>
      <c r="S36" s="891"/>
    </row>
    <row r="37" spans="2:19" ht="13.5" x14ac:dyDescent="0.2">
      <c r="B37" s="790"/>
      <c r="C37" s="790"/>
      <c r="D37" s="790"/>
      <c r="E37" s="790"/>
      <c r="F37" s="790"/>
      <c r="G37" s="790"/>
      <c r="H37" s="790"/>
      <c r="I37" s="790"/>
      <c r="J37" s="790"/>
      <c r="K37" s="790"/>
      <c r="L37" s="891"/>
      <c r="M37" s="891"/>
      <c r="N37" s="891"/>
      <c r="O37" s="891"/>
      <c r="P37" s="891"/>
      <c r="Q37" s="891"/>
      <c r="R37" s="891"/>
      <c r="S37" s="891"/>
    </row>
    <row r="38" spans="2:19" ht="14.25" thickBot="1" x14ac:dyDescent="0.25">
      <c r="B38" s="790"/>
      <c r="C38" s="790"/>
      <c r="D38" s="790"/>
      <c r="E38" s="790"/>
      <c r="F38" s="790"/>
      <c r="G38" s="790"/>
      <c r="H38" s="790"/>
      <c r="I38" s="790"/>
      <c r="J38" s="790"/>
      <c r="K38" s="790"/>
      <c r="L38" s="891"/>
      <c r="M38" s="891"/>
      <c r="N38" s="891"/>
      <c r="O38" s="891"/>
      <c r="P38" s="891"/>
      <c r="Q38" s="891"/>
      <c r="R38" s="891"/>
      <c r="S38" s="891"/>
    </row>
    <row r="39" spans="2:19" x14ac:dyDescent="0.2">
      <c r="B39" s="849" t="s">
        <v>390</v>
      </c>
      <c r="C39" s="850"/>
      <c r="D39" s="850"/>
      <c r="E39" s="850"/>
      <c r="F39" s="850"/>
      <c r="G39" s="850"/>
      <c r="H39" s="850"/>
      <c r="I39" s="850"/>
      <c r="J39" s="850"/>
      <c r="K39" s="850"/>
      <c r="L39" s="850"/>
      <c r="M39" s="850"/>
      <c r="N39" s="850"/>
      <c r="O39" s="850"/>
      <c r="P39" s="850"/>
      <c r="Q39" s="850"/>
      <c r="R39" s="850"/>
      <c r="S39" s="851"/>
    </row>
    <row r="40" spans="2:19" x14ac:dyDescent="0.2">
      <c r="B40" s="1329"/>
      <c r="C40" s="1333"/>
      <c r="D40" s="1333"/>
      <c r="E40" s="1333"/>
      <c r="F40" s="1333"/>
      <c r="G40" s="1333"/>
      <c r="H40" s="1333"/>
      <c r="I40" s="1333"/>
      <c r="J40" s="1333"/>
      <c r="K40" s="1333"/>
      <c r="L40" s="1333"/>
      <c r="M40" s="1333"/>
      <c r="N40" s="1333"/>
      <c r="O40" s="1333"/>
      <c r="P40" s="1333"/>
      <c r="Q40" s="1333"/>
      <c r="R40" s="1333"/>
      <c r="S40" s="1334"/>
    </row>
    <row r="41" spans="2:19" x14ac:dyDescent="0.2">
      <c r="B41" s="1329"/>
      <c r="C41" s="1333"/>
      <c r="D41" s="1333"/>
      <c r="E41" s="1333"/>
      <c r="F41" s="1333"/>
      <c r="G41" s="1333"/>
      <c r="H41" s="1333"/>
      <c r="I41" s="1333"/>
      <c r="J41" s="1333"/>
      <c r="K41" s="1333"/>
      <c r="L41" s="1333"/>
      <c r="M41" s="1333"/>
      <c r="N41" s="1333"/>
      <c r="O41" s="1333"/>
      <c r="P41" s="1333"/>
      <c r="Q41" s="1333"/>
      <c r="R41" s="1333"/>
      <c r="S41" s="1334"/>
    </row>
    <row r="42" spans="2:19" x14ac:dyDescent="0.2">
      <c r="B42" s="1335"/>
      <c r="C42" s="1336"/>
      <c r="D42" s="1336"/>
      <c r="E42" s="1336"/>
      <c r="F42" s="1336"/>
      <c r="G42" s="1336"/>
      <c r="H42" s="1336"/>
      <c r="I42" s="1336"/>
      <c r="J42" s="1336"/>
      <c r="K42" s="1336"/>
      <c r="L42" s="1336"/>
      <c r="M42" s="1336"/>
      <c r="N42" s="1336"/>
      <c r="O42" s="1336"/>
      <c r="P42" s="1336"/>
      <c r="Q42" s="1336"/>
      <c r="R42" s="1336"/>
      <c r="S42" s="1337"/>
    </row>
    <row r="43" spans="2:19" ht="13.5" thickBot="1" x14ac:dyDescent="0.25">
      <c r="B43" s="852"/>
      <c r="C43" s="853"/>
      <c r="D43" s="853"/>
      <c r="E43" s="853"/>
      <c r="F43" s="853"/>
      <c r="G43" s="853"/>
      <c r="H43" s="853"/>
      <c r="I43" s="853"/>
      <c r="J43" s="853"/>
      <c r="K43" s="853"/>
      <c r="L43" s="853"/>
      <c r="M43" s="853"/>
      <c r="N43" s="853"/>
      <c r="O43" s="853"/>
      <c r="P43" s="853"/>
      <c r="Q43" s="853"/>
      <c r="R43" s="853"/>
      <c r="S43" s="854"/>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6.140625" style="83" customWidth="1"/>
    <col min="3" max="3" width="14.85546875" style="83" customWidth="1"/>
    <col min="4" max="6" width="11.7109375" style="83" customWidth="1"/>
    <col min="7" max="9" width="9" style="83" customWidth="1"/>
    <col min="10" max="10" width="13.85546875" style="83" customWidth="1"/>
    <col min="11" max="12" width="9.140625" style="83" customWidth="1"/>
    <col min="13" max="15" width="8.85546875" style="83" customWidth="1"/>
    <col min="16" max="16" width="14.85546875" style="83" customWidth="1"/>
    <col min="17" max="18" width="9.425781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1106</v>
      </c>
      <c r="S1" s="14" t="s">
        <v>2521</v>
      </c>
    </row>
    <row r="2" spans="2:21" ht="15.75" x14ac:dyDescent="0.25">
      <c r="B2" s="13" t="s">
        <v>1008</v>
      </c>
      <c r="S2" s="14" t="s">
        <v>2522</v>
      </c>
    </row>
    <row r="3" spans="2:21" ht="15.75" x14ac:dyDescent="0.25">
      <c r="B3" s="13" t="s">
        <v>62</v>
      </c>
      <c r="S3" s="14" t="s">
        <v>2144</v>
      </c>
    </row>
    <row r="4" spans="2:21" ht="15.75" x14ac:dyDescent="0.25">
      <c r="B4" s="13"/>
      <c r="S4" s="226"/>
    </row>
    <row r="5" spans="2:21" ht="24.75" thickBot="1" x14ac:dyDescent="0.25">
      <c r="B5" s="2446" t="s">
        <v>64</v>
      </c>
      <c r="U5" s="2569" t="s">
        <v>1049</v>
      </c>
    </row>
    <row r="6" spans="2:21" ht="30.75" customHeight="1" x14ac:dyDescent="0.2">
      <c r="B6" s="829" t="s">
        <v>65</v>
      </c>
      <c r="C6" s="2686"/>
      <c r="D6" s="830" t="s">
        <v>419</v>
      </c>
      <c r="E6" s="830"/>
      <c r="F6" s="830"/>
      <c r="G6" s="824" t="s">
        <v>1016</v>
      </c>
      <c r="H6" s="826"/>
      <c r="I6" s="826"/>
      <c r="J6" s="826"/>
      <c r="K6" s="826"/>
      <c r="L6" s="825"/>
      <c r="M6" s="824" t="s">
        <v>1017</v>
      </c>
      <c r="N6" s="826"/>
      <c r="O6" s="826"/>
      <c r="P6" s="826"/>
      <c r="Q6" s="826"/>
      <c r="R6" s="826"/>
      <c r="S6" s="888"/>
      <c r="U6" s="2568" t="s">
        <v>2138</v>
      </c>
    </row>
    <row r="7" spans="2:21" ht="48" x14ac:dyDescent="0.2">
      <c r="B7" s="2573" t="s">
        <v>1018</v>
      </c>
      <c r="C7" s="800" t="s">
        <v>1019</v>
      </c>
      <c r="D7" s="2679" t="s">
        <v>1020</v>
      </c>
      <c r="E7" s="793" t="s">
        <v>1021</v>
      </c>
      <c r="F7" s="800" t="s">
        <v>1022</v>
      </c>
      <c r="G7" s="834" t="s">
        <v>1969</v>
      </c>
      <c r="H7" s="835"/>
      <c r="I7" s="836"/>
      <c r="J7" s="839" t="s">
        <v>1050</v>
      </c>
      <c r="K7" s="837" t="s">
        <v>1025</v>
      </c>
      <c r="L7" s="838"/>
      <c r="M7" s="835" t="s">
        <v>1974</v>
      </c>
      <c r="N7" s="835"/>
      <c r="O7" s="836"/>
      <c r="P7" s="839" t="s">
        <v>1074</v>
      </c>
      <c r="Q7" s="837" t="s">
        <v>1107</v>
      </c>
      <c r="R7" s="835"/>
      <c r="S7" s="461" t="s">
        <v>2085</v>
      </c>
      <c r="U7" s="2567" t="s">
        <v>2137</v>
      </c>
    </row>
    <row r="8" spans="2:21" ht="24" x14ac:dyDescent="0.2">
      <c r="B8" s="799"/>
      <c r="C8" s="801"/>
      <c r="D8" s="2680"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2409"/>
    </row>
    <row r="9" spans="2:21" ht="15.95" customHeight="1" thickBot="1" x14ac:dyDescent="0.25">
      <c r="B9" s="2574"/>
      <c r="C9" s="801"/>
      <c r="D9" s="2681"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1108</v>
      </c>
      <c r="C10" s="2687"/>
      <c r="D10" s="3586">
        <f>IF(SUM(D11:D12)=0,"NO",SUM(D11:D12))</f>
        <v>60692.328845821001</v>
      </c>
      <c r="E10" s="3583">
        <f t="shared" ref="E10:S10" si="0">IF(SUM(E11:E12)=0,"NO",SUM(E11:E12))</f>
        <v>60692.328845821001</v>
      </c>
      <c r="F10" s="3584" t="str">
        <f t="shared" si="0"/>
        <v>NO</v>
      </c>
      <c r="G10" s="3582" t="s">
        <v>2147</v>
      </c>
      <c r="H10" s="3583" t="s">
        <v>2147</v>
      </c>
      <c r="I10" s="3583" t="s">
        <v>2147</v>
      </c>
      <c r="J10" s="3583" t="s">
        <v>2147</v>
      </c>
      <c r="K10" s="3585" t="s">
        <v>2147</v>
      </c>
      <c r="L10" s="3585" t="s">
        <v>2147</v>
      </c>
      <c r="M10" s="3645" t="str">
        <f t="shared" si="0"/>
        <v>NO</v>
      </c>
      <c r="N10" s="3583" t="str">
        <f t="shared" si="0"/>
        <v>NO</v>
      </c>
      <c r="O10" s="3646" t="str">
        <f t="shared" si="0"/>
        <v>NO</v>
      </c>
      <c r="P10" s="3583" t="str">
        <f t="shared" si="0"/>
        <v>NO</v>
      </c>
      <c r="Q10" s="3585" t="str">
        <f t="shared" si="0"/>
        <v>NO</v>
      </c>
      <c r="R10" s="3585" t="str">
        <f t="shared" si="0"/>
        <v>NO</v>
      </c>
      <c r="S10" s="3647" t="str">
        <f t="shared" si="0"/>
        <v>NO</v>
      </c>
      <c r="U10" s="2261"/>
    </row>
    <row r="11" spans="2:21" ht="18" customHeight="1" x14ac:dyDescent="0.2">
      <c r="B11" s="493" t="s">
        <v>1109</v>
      </c>
      <c r="C11" s="2688"/>
      <c r="D11" s="3648">
        <f>IF(SUM(E11:F11)=0,E11,SUM(E11:F11))</f>
        <v>60692.328845821001</v>
      </c>
      <c r="E11" s="3602">
        <v>60692.328845821001</v>
      </c>
      <c r="F11" s="3603" t="s">
        <v>2146</v>
      </c>
      <c r="G11" s="3649"/>
      <c r="H11" s="3650"/>
      <c r="I11" s="3650"/>
      <c r="J11" s="3650"/>
      <c r="K11" s="3650"/>
      <c r="L11" s="3650"/>
      <c r="M11" s="3651"/>
      <c r="N11" s="3650"/>
      <c r="O11" s="3650"/>
      <c r="P11" s="3650"/>
      <c r="Q11" s="3652"/>
      <c r="R11" s="3652"/>
      <c r="S11" s="3653"/>
      <c r="U11" s="2405"/>
    </row>
    <row r="12" spans="2:21" ht="18" customHeight="1" x14ac:dyDescent="0.2">
      <c r="B12" s="485" t="s">
        <v>1110</v>
      </c>
      <c r="C12" s="2689"/>
      <c r="D12" s="3590" t="str">
        <f>IF(SUM(D13,D15,D17,D19,D21)=0,"NO",SUM(D13,D15,D17,D19,D21))</f>
        <v>NO</v>
      </c>
      <c r="E12" s="3591" t="str">
        <f>IF(SUM(E13,E15,E17,E19,E21)=0,"NO",SUM(E13,E15,E17,E19,E21))</f>
        <v>NO</v>
      </c>
      <c r="F12" s="3595" t="str">
        <f>IF(SUM(F13,F15,F17,F19,F21)=0,"NO",SUM(F13,F15,F17,F19,F21))</f>
        <v>NO</v>
      </c>
      <c r="G12" s="3558" t="s">
        <v>2147</v>
      </c>
      <c r="H12" s="3078" t="s">
        <v>2147</v>
      </c>
      <c r="I12" s="3078" t="s">
        <v>2147</v>
      </c>
      <c r="J12" s="3078" t="s">
        <v>2147</v>
      </c>
      <c r="K12" s="3573" t="s">
        <v>2147</v>
      </c>
      <c r="L12" s="3128" t="s">
        <v>2147</v>
      </c>
      <c r="M12" s="3590" t="str">
        <f t="shared" ref="M12:S12" si="1">IF(SUM(M13,M15,M17,M19,M21)=0,"NO",SUM(M13,M15,M17,M19,M21))</f>
        <v>NO</v>
      </c>
      <c r="N12" s="3591" t="str">
        <f t="shared" si="1"/>
        <v>NO</v>
      </c>
      <c r="O12" s="3592" t="str">
        <f t="shared" si="1"/>
        <v>NO</v>
      </c>
      <c r="P12" s="3592" t="str">
        <f t="shared" si="1"/>
        <v>NO</v>
      </c>
      <c r="Q12" s="3592" t="str">
        <f t="shared" si="1"/>
        <v>NO</v>
      </c>
      <c r="R12" s="3592" t="str">
        <f t="shared" si="1"/>
        <v>NO</v>
      </c>
      <c r="S12" s="3594" t="str">
        <f t="shared" si="1"/>
        <v>NO</v>
      </c>
      <c r="U12" s="2019"/>
    </row>
    <row r="13" spans="2:21" ht="24" x14ac:dyDescent="0.2">
      <c r="B13" s="487" t="s">
        <v>1111</v>
      </c>
      <c r="C13" s="2689"/>
      <c r="D13" s="3590" t="str">
        <f>D14</f>
        <v>NO</v>
      </c>
      <c r="E13" s="3078" t="str">
        <f t="shared" ref="E13:F13" si="2">E14</f>
        <v>NO</v>
      </c>
      <c r="F13" s="3078" t="str">
        <f t="shared" si="2"/>
        <v>NO</v>
      </c>
      <c r="G13" s="3558" t="s">
        <v>2147</v>
      </c>
      <c r="H13" s="3078" t="s">
        <v>2147</v>
      </c>
      <c r="I13" s="3078" t="s">
        <v>2147</v>
      </c>
      <c r="J13" s="3078" t="s">
        <v>2147</v>
      </c>
      <c r="K13" s="3573" t="s">
        <v>2147</v>
      </c>
      <c r="L13" s="3128" t="s">
        <v>2147</v>
      </c>
      <c r="M13" s="3590" t="str">
        <f t="shared" ref="M13:S13" si="3">M14</f>
        <v>NO</v>
      </c>
      <c r="N13" s="3591" t="str">
        <f t="shared" si="3"/>
        <v>NO</v>
      </c>
      <c r="O13" s="3592" t="str">
        <f t="shared" si="3"/>
        <v>NO</v>
      </c>
      <c r="P13" s="3591" t="str">
        <f t="shared" si="3"/>
        <v>NO</v>
      </c>
      <c r="Q13" s="3593" t="str">
        <f t="shared" si="3"/>
        <v>NO</v>
      </c>
      <c r="R13" s="3593" t="str">
        <f t="shared" si="3"/>
        <v>NO</v>
      </c>
      <c r="S13" s="3594" t="str">
        <f t="shared" si="3"/>
        <v>NO</v>
      </c>
      <c r="U13" s="2019"/>
    </row>
    <row r="14" spans="2:21" ht="18" customHeight="1" x14ac:dyDescent="0.2">
      <c r="B14" s="500"/>
      <c r="C14" s="508" t="s">
        <v>278</v>
      </c>
      <c r="D14" s="3568" t="str">
        <f>IF(SUM(E14:F14)=0,E14,SUM(E14:F14))</f>
        <v>NO</v>
      </c>
      <c r="E14" s="3569" t="s">
        <v>2146</v>
      </c>
      <c r="F14" s="3554" t="s">
        <v>2146</v>
      </c>
      <c r="G14" s="3558" t="s">
        <v>2147</v>
      </c>
      <c r="H14" s="3078" t="s">
        <v>2147</v>
      </c>
      <c r="I14" s="3078" t="s">
        <v>2147</v>
      </c>
      <c r="J14" s="3078" t="s">
        <v>2147</v>
      </c>
      <c r="K14" s="3573" t="s">
        <v>2147</v>
      </c>
      <c r="L14" s="3128" t="s">
        <v>2147</v>
      </c>
      <c r="M14" s="2905" t="s">
        <v>2146</v>
      </c>
      <c r="N14" s="2905" t="s">
        <v>2146</v>
      </c>
      <c r="O14" s="3109" t="str">
        <f>IF(SUM(M14:N14)=0,M14,SUM(M14:N14))</f>
        <v>NO</v>
      </c>
      <c r="P14" s="2905" t="s">
        <v>2146</v>
      </c>
      <c r="Q14" s="2906" t="s">
        <v>2146</v>
      </c>
      <c r="R14" s="2906" t="s">
        <v>2146</v>
      </c>
      <c r="S14" s="3594" t="str">
        <f>IF(SUM(O14:R14)=0,Q14,SUM(O14:R14)*-44/12)</f>
        <v>NO</v>
      </c>
      <c r="U14" s="2398"/>
    </row>
    <row r="15" spans="2:21" ht="27" customHeight="1" x14ac:dyDescent="0.2">
      <c r="B15" s="487" t="s">
        <v>1112</v>
      </c>
      <c r="C15" s="2689"/>
      <c r="D15" s="3590" t="str">
        <f>D16</f>
        <v>NO</v>
      </c>
      <c r="E15" s="3078" t="str">
        <f t="shared" ref="E15:F15" si="4">E16</f>
        <v>NO</v>
      </c>
      <c r="F15" s="3078" t="str">
        <f t="shared" si="4"/>
        <v>NO</v>
      </c>
      <c r="G15" s="3558" t="s">
        <v>2147</v>
      </c>
      <c r="H15" s="3078" t="s">
        <v>2147</v>
      </c>
      <c r="I15" s="3078" t="s">
        <v>2147</v>
      </c>
      <c r="J15" s="3078" t="s">
        <v>2147</v>
      </c>
      <c r="K15" s="3573" t="s">
        <v>2147</v>
      </c>
      <c r="L15" s="3128" t="s">
        <v>2147</v>
      </c>
      <c r="M15" s="3590" t="str">
        <f t="shared" ref="M15:S15" si="5">M16</f>
        <v>NO</v>
      </c>
      <c r="N15" s="3591" t="str">
        <f t="shared" si="5"/>
        <v>NO</v>
      </c>
      <c r="O15" s="3592" t="str">
        <f t="shared" si="5"/>
        <v>NO</v>
      </c>
      <c r="P15" s="3591" t="str">
        <f t="shared" si="5"/>
        <v>NO</v>
      </c>
      <c r="Q15" s="3593" t="str">
        <f t="shared" si="5"/>
        <v>NO</v>
      </c>
      <c r="R15" s="3593" t="str">
        <f t="shared" si="5"/>
        <v>NO</v>
      </c>
      <c r="S15" s="3594" t="str">
        <f t="shared" si="5"/>
        <v>NO</v>
      </c>
      <c r="U15" s="2019"/>
    </row>
    <row r="16" spans="2:21" ht="18" customHeight="1" x14ac:dyDescent="0.2">
      <c r="B16" s="500"/>
      <c r="C16" s="508" t="s">
        <v>278</v>
      </c>
      <c r="D16" s="3568" t="str">
        <f>IF(SUM(E16:F16)=0,E16,SUM(E16:F16))</f>
        <v>NO</v>
      </c>
      <c r="E16" s="3569" t="s">
        <v>2146</v>
      </c>
      <c r="F16" s="3554" t="s">
        <v>2146</v>
      </c>
      <c r="G16" s="3558" t="s">
        <v>2147</v>
      </c>
      <c r="H16" s="3078" t="s">
        <v>2147</v>
      </c>
      <c r="I16" s="3078" t="s">
        <v>2147</v>
      </c>
      <c r="J16" s="3078" t="s">
        <v>2147</v>
      </c>
      <c r="K16" s="3573" t="s">
        <v>2147</v>
      </c>
      <c r="L16" s="3128" t="s">
        <v>2147</v>
      </c>
      <c r="M16" s="2905" t="s">
        <v>2146</v>
      </c>
      <c r="N16" s="2905" t="s">
        <v>2146</v>
      </c>
      <c r="O16" s="3109" t="str">
        <f>IF(SUM(M16:N16)=0,M16,SUM(M16:N16))</f>
        <v>NO</v>
      </c>
      <c r="P16" s="2905" t="s">
        <v>2146</v>
      </c>
      <c r="Q16" s="2906" t="s">
        <v>2146</v>
      </c>
      <c r="R16" s="2906" t="s">
        <v>2146</v>
      </c>
      <c r="S16" s="3594" t="str">
        <f>IF(SUM(O16:R16)=0,Q16,SUM(O16:R16)*-44/12)</f>
        <v>NO</v>
      </c>
      <c r="U16" s="2398"/>
    </row>
    <row r="17" spans="2:21" ht="26.25" customHeight="1" x14ac:dyDescent="0.2">
      <c r="B17" s="487" t="s">
        <v>1113</v>
      </c>
      <c r="C17" s="2689"/>
      <c r="D17" s="3590" t="str">
        <f>D18</f>
        <v>NO</v>
      </c>
      <c r="E17" s="3078" t="str">
        <f t="shared" ref="E17:F17" si="6">E18</f>
        <v>NO</v>
      </c>
      <c r="F17" s="3078" t="str">
        <f t="shared" si="6"/>
        <v>NO</v>
      </c>
      <c r="G17" s="3558" t="s">
        <v>2147</v>
      </c>
      <c r="H17" s="3078" t="s">
        <v>2147</v>
      </c>
      <c r="I17" s="3078" t="s">
        <v>2147</v>
      </c>
      <c r="J17" s="3078" t="s">
        <v>2147</v>
      </c>
      <c r="K17" s="3573" t="s">
        <v>2147</v>
      </c>
      <c r="L17" s="3128" t="s">
        <v>2147</v>
      </c>
      <c r="M17" s="3590" t="str">
        <f t="shared" ref="M17:S17" si="7">M18</f>
        <v>NO</v>
      </c>
      <c r="N17" s="3591" t="str">
        <f t="shared" si="7"/>
        <v>NO</v>
      </c>
      <c r="O17" s="3592" t="str">
        <f t="shared" si="7"/>
        <v>NO</v>
      </c>
      <c r="P17" s="3591" t="str">
        <f t="shared" si="7"/>
        <v>NO</v>
      </c>
      <c r="Q17" s="3593" t="str">
        <f t="shared" si="7"/>
        <v>NO</v>
      </c>
      <c r="R17" s="3593" t="str">
        <f t="shared" si="7"/>
        <v>NO</v>
      </c>
      <c r="S17" s="3594" t="str">
        <f t="shared" si="7"/>
        <v>NO</v>
      </c>
      <c r="U17" s="2019"/>
    </row>
    <row r="18" spans="2:21" ht="18" customHeight="1" x14ac:dyDescent="0.2">
      <c r="B18" s="500"/>
      <c r="C18" s="508" t="s">
        <v>278</v>
      </c>
      <c r="D18" s="3568" t="str">
        <f>IF(SUM(E18:F18)=0,E18,SUM(E18:F18))</f>
        <v>NO</v>
      </c>
      <c r="E18" s="3569" t="s">
        <v>2146</v>
      </c>
      <c r="F18" s="3554" t="s">
        <v>2146</v>
      </c>
      <c r="G18" s="3558" t="s">
        <v>2147</v>
      </c>
      <c r="H18" s="3078" t="s">
        <v>2147</v>
      </c>
      <c r="I18" s="3078" t="s">
        <v>2147</v>
      </c>
      <c r="J18" s="3078" t="s">
        <v>2147</v>
      </c>
      <c r="K18" s="3573" t="s">
        <v>2147</v>
      </c>
      <c r="L18" s="3128" t="s">
        <v>2147</v>
      </c>
      <c r="M18" s="2905" t="s">
        <v>2146</v>
      </c>
      <c r="N18" s="2905" t="s">
        <v>2146</v>
      </c>
      <c r="O18" s="3109" t="str">
        <f>IF(SUM(M18:N18)=0,M18,SUM(M18:N18))</f>
        <v>NO</v>
      </c>
      <c r="P18" s="2905" t="s">
        <v>2146</v>
      </c>
      <c r="Q18" s="2906" t="s">
        <v>2146</v>
      </c>
      <c r="R18" s="2906" t="s">
        <v>2146</v>
      </c>
      <c r="S18" s="3594" t="str">
        <f>IF(SUM(O18:R18)=0,Q18,SUM(O18:R18)*-44/12)</f>
        <v>NO</v>
      </c>
      <c r="U18" s="2398"/>
    </row>
    <row r="19" spans="2:21" ht="27.75" customHeight="1" x14ac:dyDescent="0.2">
      <c r="B19" s="487" t="s">
        <v>1114</v>
      </c>
      <c r="C19" s="2689"/>
      <c r="D19" s="3590" t="str">
        <f>D20</f>
        <v>NO</v>
      </c>
      <c r="E19" s="3078" t="str">
        <f t="shared" ref="E19:F19" si="8">E20</f>
        <v>NO</v>
      </c>
      <c r="F19" s="3078" t="str">
        <f t="shared" si="8"/>
        <v>NO</v>
      </c>
      <c r="G19" s="3558" t="s">
        <v>2147</v>
      </c>
      <c r="H19" s="3078" t="s">
        <v>2147</v>
      </c>
      <c r="I19" s="3078" t="s">
        <v>2147</v>
      </c>
      <c r="J19" s="3078" t="s">
        <v>2147</v>
      </c>
      <c r="K19" s="3573" t="s">
        <v>2147</v>
      </c>
      <c r="L19" s="3128" t="s">
        <v>2147</v>
      </c>
      <c r="M19" s="3590" t="str">
        <f t="shared" ref="M19:S19" si="9">M20</f>
        <v>NO</v>
      </c>
      <c r="N19" s="3591" t="str">
        <f t="shared" si="9"/>
        <v>NO</v>
      </c>
      <c r="O19" s="3592" t="str">
        <f t="shared" si="9"/>
        <v>NO</v>
      </c>
      <c r="P19" s="3591" t="str">
        <f t="shared" si="9"/>
        <v>NO</v>
      </c>
      <c r="Q19" s="3593" t="str">
        <f t="shared" si="9"/>
        <v>NO</v>
      </c>
      <c r="R19" s="3593" t="str">
        <f t="shared" si="9"/>
        <v>NO</v>
      </c>
      <c r="S19" s="3594" t="str">
        <f t="shared" si="9"/>
        <v>NO</v>
      </c>
      <c r="U19" s="2019"/>
    </row>
    <row r="20" spans="2:21" ht="18" customHeight="1" x14ac:dyDescent="0.2">
      <c r="B20" s="500"/>
      <c r="C20" s="508" t="s">
        <v>278</v>
      </c>
      <c r="D20" s="3568" t="str">
        <f>IF(SUM(E20:F20)=0,E20,SUM(E20:F20))</f>
        <v>NO</v>
      </c>
      <c r="E20" s="3569" t="s">
        <v>2146</v>
      </c>
      <c r="F20" s="3554" t="s">
        <v>2146</v>
      </c>
      <c r="G20" s="3558" t="s">
        <v>2147</v>
      </c>
      <c r="H20" s="3078" t="s">
        <v>2147</v>
      </c>
      <c r="I20" s="3078" t="s">
        <v>2147</v>
      </c>
      <c r="J20" s="3078" t="s">
        <v>2147</v>
      </c>
      <c r="K20" s="3573" t="s">
        <v>2147</v>
      </c>
      <c r="L20" s="3128" t="s">
        <v>2147</v>
      </c>
      <c r="M20" s="2905" t="s">
        <v>2146</v>
      </c>
      <c r="N20" s="2905" t="s">
        <v>2146</v>
      </c>
      <c r="O20" s="3109" t="str">
        <f>IF(SUM(M20:N20)=0,M20,SUM(M20:N20))</f>
        <v>NO</v>
      </c>
      <c r="P20" s="2905" t="s">
        <v>2146</v>
      </c>
      <c r="Q20" s="2906" t="s">
        <v>2146</v>
      </c>
      <c r="R20" s="2906" t="s">
        <v>2146</v>
      </c>
      <c r="S20" s="3594" t="str">
        <f>IF(SUM(O20:R20)=0,Q20,SUM(O20:R20)*-44/12)</f>
        <v>NO</v>
      </c>
      <c r="U20" s="2398"/>
    </row>
    <row r="21" spans="2:21" ht="27.75" customHeight="1" x14ac:dyDescent="0.2">
      <c r="B21" s="487" t="s">
        <v>1115</v>
      </c>
      <c r="C21" s="2689"/>
      <c r="D21" s="3590" t="str">
        <f>D22</f>
        <v>NO</v>
      </c>
      <c r="E21" s="3078" t="str">
        <f t="shared" ref="E21:F21" si="10">E22</f>
        <v>NO</v>
      </c>
      <c r="F21" s="3078" t="str">
        <f t="shared" si="10"/>
        <v>NO</v>
      </c>
      <c r="G21" s="3558" t="s">
        <v>2147</v>
      </c>
      <c r="H21" s="3078" t="s">
        <v>2147</v>
      </c>
      <c r="I21" s="3078" t="s">
        <v>2147</v>
      </c>
      <c r="J21" s="3078" t="s">
        <v>2147</v>
      </c>
      <c r="K21" s="3573" t="s">
        <v>2147</v>
      </c>
      <c r="L21" s="3128" t="s">
        <v>2147</v>
      </c>
      <c r="M21" s="3590" t="str">
        <f t="shared" ref="M21:S21" si="11">M22</f>
        <v>NO</v>
      </c>
      <c r="N21" s="3591" t="str">
        <f t="shared" si="11"/>
        <v>NO</v>
      </c>
      <c r="O21" s="3592" t="str">
        <f t="shared" si="11"/>
        <v>NO</v>
      </c>
      <c r="P21" s="3591" t="str">
        <f t="shared" si="11"/>
        <v>NO</v>
      </c>
      <c r="Q21" s="3593" t="str">
        <f t="shared" si="11"/>
        <v>NO</v>
      </c>
      <c r="R21" s="3593" t="str">
        <f t="shared" si="11"/>
        <v>NO</v>
      </c>
      <c r="S21" s="3594" t="str">
        <f t="shared" si="11"/>
        <v>NO</v>
      </c>
      <c r="U21" s="2019"/>
    </row>
    <row r="22" spans="2:21" ht="18" customHeight="1" thickBot="1" x14ac:dyDescent="0.25">
      <c r="B22" s="858"/>
      <c r="C22" s="510" t="s">
        <v>278</v>
      </c>
      <c r="D22" s="3568" t="str">
        <f>IF(SUM(E22:F22)=0,E22,SUM(E22:F22))</f>
        <v>NO</v>
      </c>
      <c r="E22" s="3569" t="s">
        <v>2146</v>
      </c>
      <c r="F22" s="3554" t="s">
        <v>2146</v>
      </c>
      <c r="G22" s="3558" t="s">
        <v>2147</v>
      </c>
      <c r="H22" s="3078" t="s">
        <v>2147</v>
      </c>
      <c r="I22" s="3078" t="s">
        <v>2147</v>
      </c>
      <c r="J22" s="3078" t="s">
        <v>2147</v>
      </c>
      <c r="K22" s="3573" t="s">
        <v>2147</v>
      </c>
      <c r="L22" s="3128" t="s">
        <v>2147</v>
      </c>
      <c r="M22" s="2905" t="s">
        <v>2146</v>
      </c>
      <c r="N22" s="2905" t="s">
        <v>2146</v>
      </c>
      <c r="O22" s="3109" t="str">
        <f>IF(SUM(M22:N22)=0,M22,SUM(M22:N22))</f>
        <v>NO</v>
      </c>
      <c r="P22" s="2905" t="s">
        <v>2146</v>
      </c>
      <c r="Q22" s="2906" t="s">
        <v>2146</v>
      </c>
      <c r="R22" s="2906" t="s">
        <v>2146</v>
      </c>
      <c r="S22" s="3594" t="str">
        <f>IF(SUM(O22:R22)=0,Q22,SUM(O22:R22)*-44/12)</f>
        <v>NO</v>
      </c>
      <c r="U22" s="2399"/>
    </row>
    <row r="23" spans="2:21" ht="12.75" x14ac:dyDescent="0.2">
      <c r="B23" s="513"/>
      <c r="C23" s="513"/>
      <c r="D23" s="513"/>
      <c r="E23" s="513"/>
      <c r="F23" s="513"/>
      <c r="G23" s="513"/>
      <c r="H23" s="513"/>
      <c r="I23" s="513"/>
      <c r="J23" s="513"/>
      <c r="K23" s="513"/>
      <c r="L23" s="513"/>
      <c r="M23" s="513"/>
      <c r="N23" s="513"/>
      <c r="O23" s="513"/>
      <c r="P23" s="513"/>
      <c r="Q23" s="513"/>
      <c r="R23" s="513"/>
      <c r="S23" s="513"/>
    </row>
    <row r="24" spans="2:21" ht="13.5" x14ac:dyDescent="0.2">
      <c r="B24" s="889"/>
      <c r="C24" s="889"/>
      <c r="D24" s="889"/>
      <c r="E24" s="889"/>
      <c r="F24" s="889"/>
      <c r="G24" s="889"/>
      <c r="H24" s="889"/>
      <c r="I24" s="889"/>
      <c r="J24" s="889"/>
      <c r="K24" s="889"/>
      <c r="L24" s="889"/>
      <c r="M24" s="889"/>
      <c r="N24" s="889"/>
      <c r="O24" s="889"/>
      <c r="P24" s="889"/>
      <c r="Q24" s="889"/>
      <c r="R24" s="889"/>
      <c r="S24" s="872"/>
    </row>
    <row r="25" spans="2:21" ht="13.5" x14ac:dyDescent="0.2">
      <c r="B25" s="893"/>
      <c r="C25" s="889"/>
      <c r="D25" s="889"/>
      <c r="E25" s="889"/>
      <c r="F25" s="889"/>
      <c r="G25" s="889"/>
      <c r="H25" s="889"/>
      <c r="I25" s="889"/>
      <c r="J25" s="889"/>
      <c r="K25" s="889"/>
      <c r="L25" s="889"/>
      <c r="M25" s="889"/>
      <c r="N25" s="889"/>
      <c r="O25" s="889"/>
      <c r="P25" s="889"/>
      <c r="Q25" s="889"/>
      <c r="R25" s="889"/>
      <c r="S25" s="872"/>
    </row>
    <row r="26" spans="2:21" ht="13.5" x14ac:dyDescent="0.2">
      <c r="B26" s="894"/>
      <c r="C26" s="895"/>
      <c r="D26" s="895"/>
      <c r="E26" s="895"/>
      <c r="F26" s="895"/>
      <c r="G26" s="895"/>
      <c r="H26" s="895"/>
      <c r="I26" s="895"/>
      <c r="J26" s="895"/>
      <c r="K26" s="895"/>
      <c r="L26" s="895"/>
      <c r="M26" s="895"/>
      <c r="N26" s="895"/>
      <c r="O26" s="895"/>
      <c r="P26" s="895"/>
      <c r="Q26" s="895"/>
      <c r="R26" s="895"/>
      <c r="S26" s="895"/>
    </row>
    <row r="27" spans="2:21" ht="13.5" x14ac:dyDescent="0.2">
      <c r="B27" s="791"/>
      <c r="C27" s="791"/>
      <c r="D27" s="791"/>
      <c r="E27" s="791"/>
      <c r="F27" s="791"/>
      <c r="G27" s="791"/>
      <c r="H27" s="791"/>
      <c r="I27" s="791"/>
      <c r="J27" s="791"/>
      <c r="K27" s="791"/>
      <c r="L27" s="791"/>
      <c r="M27" s="791"/>
      <c r="N27" s="791"/>
      <c r="O27" s="791"/>
      <c r="P27" s="791"/>
      <c r="Q27" s="791"/>
      <c r="R27" s="514"/>
      <c r="S27" s="514"/>
    </row>
    <row r="28" spans="2:21" ht="13.5" x14ac:dyDescent="0.2">
      <c r="B28" s="790"/>
      <c r="C28" s="790"/>
      <c r="D28" s="790"/>
      <c r="E28" s="790"/>
      <c r="F28" s="790"/>
      <c r="G28" s="790"/>
      <c r="H28" s="790"/>
      <c r="I28" s="790"/>
      <c r="J28" s="790"/>
      <c r="K28" s="790"/>
      <c r="L28" s="514"/>
      <c r="M28" s="514"/>
      <c r="N28" s="514"/>
      <c r="O28" s="514"/>
      <c r="P28" s="514"/>
      <c r="Q28" s="514"/>
      <c r="R28" s="514"/>
      <c r="S28" s="514"/>
    </row>
    <row r="29" spans="2:21" ht="13.5" x14ac:dyDescent="0.2">
      <c r="B29" s="790"/>
      <c r="C29" s="790"/>
      <c r="D29" s="790"/>
      <c r="E29" s="790"/>
      <c r="F29" s="790"/>
      <c r="G29" s="790"/>
      <c r="H29" s="790"/>
      <c r="I29" s="790"/>
      <c r="J29" s="790"/>
      <c r="K29" s="790"/>
      <c r="L29" s="514"/>
      <c r="M29" s="514"/>
      <c r="N29" s="514"/>
      <c r="O29" s="514"/>
      <c r="P29" s="514"/>
      <c r="Q29" s="514"/>
      <c r="R29" s="514"/>
      <c r="S29" s="514"/>
    </row>
    <row r="30" spans="2:21" ht="13.5" x14ac:dyDescent="0.2">
      <c r="B30" s="790"/>
      <c r="C30" s="790"/>
      <c r="D30" s="790"/>
      <c r="E30" s="790"/>
      <c r="F30" s="790"/>
      <c r="G30" s="790"/>
      <c r="H30" s="790"/>
      <c r="I30" s="790"/>
      <c r="J30" s="790"/>
      <c r="K30" s="790"/>
      <c r="L30" s="514"/>
      <c r="M30" s="514"/>
      <c r="N30" s="514"/>
      <c r="O30" s="514"/>
      <c r="P30" s="514"/>
      <c r="Q30" s="514"/>
      <c r="R30" s="514"/>
      <c r="S30" s="514"/>
    </row>
    <row r="31" spans="2:21" ht="13.5" x14ac:dyDescent="0.2">
      <c r="B31" s="790"/>
      <c r="C31" s="790"/>
      <c r="D31" s="790"/>
      <c r="E31" s="790"/>
      <c r="F31" s="790"/>
      <c r="G31" s="790"/>
      <c r="H31" s="790"/>
      <c r="I31" s="790"/>
      <c r="J31" s="790"/>
      <c r="K31" s="790"/>
      <c r="L31" s="514"/>
      <c r="M31" s="514"/>
      <c r="N31" s="514"/>
      <c r="O31" s="514"/>
      <c r="P31" s="514"/>
      <c r="Q31" s="514"/>
      <c r="R31" s="514"/>
      <c r="S31" s="514"/>
    </row>
    <row r="32" spans="2:21" ht="13.5" x14ac:dyDescent="0.2">
      <c r="B32" s="790"/>
      <c r="C32" s="790"/>
      <c r="D32" s="790"/>
      <c r="E32" s="790"/>
      <c r="F32" s="790"/>
      <c r="G32" s="790"/>
      <c r="H32" s="790"/>
      <c r="I32" s="790"/>
      <c r="J32" s="790"/>
      <c r="K32" s="790"/>
      <c r="L32" s="514"/>
      <c r="M32" s="514"/>
      <c r="N32" s="514"/>
      <c r="O32" s="514"/>
      <c r="P32" s="514"/>
      <c r="Q32" s="514"/>
      <c r="R32" s="514"/>
      <c r="S32" s="514"/>
    </row>
    <row r="33" spans="2:19" ht="13.5" x14ac:dyDescent="0.2">
      <c r="B33" s="805"/>
      <c r="C33" s="805"/>
      <c r="D33" s="805"/>
      <c r="E33" s="805"/>
      <c r="F33" s="805"/>
      <c r="G33" s="805"/>
      <c r="H33" s="805"/>
      <c r="I33" s="805"/>
      <c r="J33" s="805"/>
      <c r="K33" s="805"/>
      <c r="L33" s="805"/>
      <c r="M33" s="805"/>
      <c r="N33" s="805"/>
      <c r="O33" s="805"/>
      <c r="P33" s="805"/>
      <c r="Q33" s="805"/>
      <c r="R33" s="805"/>
      <c r="S33" s="805"/>
    </row>
    <row r="34" spans="2:19" ht="13.5" x14ac:dyDescent="0.2">
      <c r="B34" s="805"/>
      <c r="C34" s="805"/>
      <c r="D34" s="805"/>
      <c r="E34" s="805"/>
      <c r="F34" s="805"/>
      <c r="G34" s="805"/>
      <c r="H34" s="805"/>
      <c r="I34" s="805"/>
      <c r="J34" s="805"/>
      <c r="K34" s="805"/>
      <c r="L34" s="805"/>
      <c r="M34" s="805"/>
      <c r="N34" s="805"/>
      <c r="O34" s="805"/>
      <c r="P34" s="805"/>
      <c r="Q34" s="805"/>
      <c r="R34" s="805"/>
      <c r="S34" s="805"/>
    </row>
    <row r="35" spans="2:19" ht="13.5" x14ac:dyDescent="0.2">
      <c r="B35" s="805"/>
      <c r="C35" s="805"/>
      <c r="D35" s="805"/>
      <c r="E35" s="805"/>
      <c r="F35" s="805"/>
      <c r="G35" s="805"/>
      <c r="H35" s="805"/>
      <c r="I35" s="805"/>
      <c r="J35" s="805"/>
      <c r="K35" s="805"/>
      <c r="L35" s="805"/>
      <c r="M35" s="805"/>
      <c r="N35" s="805"/>
      <c r="O35" s="805"/>
      <c r="P35" s="805"/>
      <c r="Q35" s="805"/>
      <c r="R35" s="805"/>
      <c r="S35" s="805"/>
    </row>
    <row r="36" spans="2:19" ht="14.25" thickBot="1" x14ac:dyDescent="0.25">
      <c r="B36" s="791"/>
      <c r="C36" s="791"/>
      <c r="D36" s="791"/>
      <c r="E36" s="791"/>
      <c r="F36" s="791"/>
      <c r="G36" s="791"/>
      <c r="H36" s="791"/>
      <c r="I36" s="791"/>
      <c r="J36" s="791"/>
      <c r="K36" s="791"/>
      <c r="L36" s="791"/>
      <c r="M36" s="791"/>
      <c r="N36" s="791"/>
      <c r="O36" s="791"/>
      <c r="P36" s="791"/>
      <c r="Q36" s="791"/>
      <c r="R36" s="791"/>
      <c r="S36" s="791"/>
    </row>
    <row r="37" spans="2:19" ht="12.75" x14ac:dyDescent="0.2">
      <c r="B37" s="849" t="s">
        <v>390</v>
      </c>
      <c r="C37" s="850"/>
      <c r="D37" s="850"/>
      <c r="E37" s="850"/>
      <c r="F37" s="850"/>
      <c r="G37" s="850"/>
      <c r="H37" s="850"/>
      <c r="I37" s="850"/>
      <c r="J37" s="850"/>
      <c r="K37" s="850"/>
      <c r="L37" s="850"/>
      <c r="M37" s="850"/>
      <c r="N37" s="850"/>
      <c r="O37" s="850"/>
      <c r="P37" s="850"/>
      <c r="Q37" s="850"/>
      <c r="R37" s="850"/>
      <c r="S37" s="851"/>
    </row>
    <row r="38" spans="2:19" ht="12.75" x14ac:dyDescent="0.2">
      <c r="B38" s="1329"/>
      <c r="C38" s="1333"/>
      <c r="D38" s="1333"/>
      <c r="E38" s="1333"/>
      <c r="F38" s="1333"/>
      <c r="G38" s="1333"/>
      <c r="H38" s="1333"/>
      <c r="I38" s="1333"/>
      <c r="J38" s="1333"/>
      <c r="K38" s="1333"/>
      <c r="L38" s="1333"/>
      <c r="M38" s="1333"/>
      <c r="N38" s="1333"/>
      <c r="O38" s="1333"/>
      <c r="P38" s="1333"/>
      <c r="Q38" s="1333"/>
      <c r="R38" s="1333"/>
      <c r="S38" s="1334"/>
    </row>
    <row r="39" spans="2:19" ht="12.75" x14ac:dyDescent="0.2">
      <c r="B39" s="1329"/>
      <c r="C39" s="1333"/>
      <c r="D39" s="1333"/>
      <c r="E39" s="1333"/>
      <c r="F39" s="1333"/>
      <c r="G39" s="1333"/>
      <c r="H39" s="1333"/>
      <c r="I39" s="1333"/>
      <c r="J39" s="1333"/>
      <c r="K39" s="1333"/>
      <c r="L39" s="1333"/>
      <c r="M39" s="1333"/>
      <c r="N39" s="1333"/>
      <c r="O39" s="1333"/>
      <c r="P39" s="1333"/>
      <c r="Q39" s="1333"/>
      <c r="R39" s="1333"/>
      <c r="S39" s="1334"/>
    </row>
    <row r="40" spans="2:19" ht="12.75" x14ac:dyDescent="0.2">
      <c r="B40" s="1338"/>
      <c r="C40" s="1336"/>
      <c r="D40" s="1336"/>
      <c r="E40" s="1336"/>
      <c r="F40" s="1336"/>
      <c r="G40" s="1336"/>
      <c r="H40" s="1336"/>
      <c r="I40" s="1336"/>
      <c r="J40" s="1336"/>
      <c r="K40" s="1336"/>
      <c r="L40" s="1336"/>
      <c r="M40" s="1336"/>
      <c r="N40" s="1336"/>
      <c r="O40" s="1336"/>
      <c r="P40" s="1336"/>
      <c r="Q40" s="1336"/>
      <c r="R40" s="1336"/>
      <c r="S40" s="1337"/>
    </row>
    <row r="41" spans="2:19" ht="13.5" thickBot="1" x14ac:dyDescent="0.25">
      <c r="B41" s="852"/>
      <c r="C41" s="853"/>
      <c r="D41" s="853"/>
      <c r="E41" s="853"/>
      <c r="F41" s="853"/>
      <c r="G41" s="853"/>
      <c r="H41" s="853"/>
      <c r="I41" s="853"/>
      <c r="J41" s="853"/>
      <c r="K41" s="853"/>
      <c r="L41" s="853"/>
      <c r="M41" s="853"/>
      <c r="N41" s="853"/>
      <c r="O41" s="853"/>
      <c r="P41" s="853"/>
      <c r="Q41" s="853"/>
      <c r="R41" s="853"/>
      <c r="S41" s="854"/>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21.42578125" style="83" customWidth="1"/>
    <col min="10" max="10" width="18.5703125" style="83" customWidth="1"/>
    <col min="11" max="11" width="17.5703125" style="83" customWidth="1"/>
    <col min="12" max="12" width="19.5703125" style="83" customWidth="1"/>
    <col min="13" max="14" width="11" style="83" customWidth="1"/>
    <col min="15" max="16384" width="8" style="83"/>
  </cols>
  <sheetData>
    <row r="1" spans="1:12" ht="15.75" x14ac:dyDescent="0.25">
      <c r="B1" s="215" t="s">
        <v>1116</v>
      </c>
      <c r="C1"/>
      <c r="D1"/>
      <c r="E1"/>
      <c r="F1"/>
      <c r="G1"/>
      <c r="H1"/>
      <c r="I1" s="226"/>
      <c r="L1" s="14" t="s">
        <v>2521</v>
      </c>
    </row>
    <row r="2" spans="1:12" ht="19.5" x14ac:dyDescent="0.3">
      <c r="B2" s="208" t="s">
        <v>1117</v>
      </c>
      <c r="C2" s="208"/>
      <c r="D2" s="208"/>
      <c r="E2" s="208"/>
      <c r="F2"/>
      <c r="G2"/>
      <c r="H2"/>
      <c r="I2" s="226"/>
      <c r="L2" s="14" t="s">
        <v>2522</v>
      </c>
    </row>
    <row r="3" spans="1:12" ht="15.75" x14ac:dyDescent="0.25">
      <c r="B3" s="515"/>
      <c r="C3" s="515"/>
      <c r="D3" s="515"/>
      <c r="E3" s="515"/>
      <c r="F3" s="1802"/>
      <c r="G3" s="1802"/>
      <c r="H3" s="1802"/>
      <c r="I3" s="226"/>
      <c r="L3" s="14" t="s">
        <v>2144</v>
      </c>
    </row>
    <row r="4" spans="1:12" ht="15.75" hidden="1" x14ac:dyDescent="0.25">
      <c r="B4" s="515"/>
      <c r="C4" s="515"/>
      <c r="D4" s="515"/>
      <c r="E4" s="515"/>
      <c r="F4" s="1802"/>
      <c r="G4" s="1802"/>
      <c r="H4" s="1802"/>
      <c r="I4" s="226"/>
      <c r="L4" s="226"/>
    </row>
    <row r="5" spans="1:12" ht="11.25" customHeight="1" thickBot="1" x14ac:dyDescent="0.25">
      <c r="B5" s="2446" t="s">
        <v>64</v>
      </c>
      <c r="F5" s="491"/>
      <c r="G5" s="491"/>
      <c r="H5" s="491"/>
    </row>
    <row r="6" spans="1:12" ht="24.75" customHeight="1" x14ac:dyDescent="0.2">
      <c r="B6" s="516" t="s">
        <v>65</v>
      </c>
      <c r="C6" s="1475" t="s">
        <v>1118</v>
      </c>
      <c r="D6" s="1476"/>
      <c r="E6" s="1477"/>
      <c r="F6" s="1475" t="s">
        <v>123</v>
      </c>
      <c r="G6" s="823"/>
      <c r="H6" s="1477"/>
      <c r="I6" s="1803" t="s">
        <v>1119</v>
      </c>
      <c r="J6" s="1804"/>
      <c r="K6" s="177"/>
      <c r="L6" s="1805"/>
    </row>
    <row r="7" spans="1:12" ht="24.75" customHeight="1" x14ac:dyDescent="0.2">
      <c r="B7" s="1588"/>
      <c r="C7" s="2318"/>
      <c r="D7" s="2319"/>
      <c r="E7" s="2320"/>
      <c r="F7" s="339" t="s">
        <v>1120</v>
      </c>
      <c r="G7" s="2325" t="s">
        <v>1121</v>
      </c>
      <c r="H7" s="2317"/>
      <c r="I7" s="339" t="s">
        <v>1122</v>
      </c>
      <c r="J7" s="327" t="s">
        <v>1978</v>
      </c>
      <c r="K7" s="327"/>
      <c r="L7" s="263" t="s">
        <v>1123</v>
      </c>
    </row>
    <row r="8" spans="1:12" ht="72" x14ac:dyDescent="0.2">
      <c r="B8" s="2316" t="s">
        <v>1124</v>
      </c>
      <c r="C8" s="1478" t="s">
        <v>1125</v>
      </c>
      <c r="D8" s="2321" t="s">
        <v>1126</v>
      </c>
      <c r="E8" s="1806" t="s">
        <v>1127</v>
      </c>
      <c r="F8" s="2324" t="s">
        <v>1128</v>
      </c>
      <c r="G8" s="2326" t="s">
        <v>1129</v>
      </c>
      <c r="H8" s="2327" t="s">
        <v>1130</v>
      </c>
      <c r="I8" s="2328"/>
      <c r="J8" s="92" t="s">
        <v>1131</v>
      </c>
      <c r="K8" s="1769" t="s">
        <v>1132</v>
      </c>
      <c r="L8" s="1844"/>
    </row>
    <row r="9" spans="1:12" ht="24" customHeight="1" thickBot="1" x14ac:dyDescent="0.25">
      <c r="B9" s="1589"/>
      <c r="C9" s="2332" t="s">
        <v>893</v>
      </c>
      <c r="D9" s="2333"/>
      <c r="E9" s="2334"/>
      <c r="F9" s="2322" t="s">
        <v>1133</v>
      </c>
      <c r="G9" s="2022"/>
      <c r="H9" s="2323"/>
      <c r="I9" s="2329" t="s">
        <v>73</v>
      </c>
      <c r="J9" s="2330"/>
      <c r="K9" s="2330"/>
      <c r="L9" s="2331"/>
    </row>
    <row r="10" spans="1:12" ht="64.5" customHeight="1" thickTop="1" thickBot="1" x14ac:dyDescent="0.25">
      <c r="B10" s="898" t="s">
        <v>1134</v>
      </c>
      <c r="C10" s="2690" t="s">
        <v>2153</v>
      </c>
      <c r="D10" s="2691" t="s">
        <v>2153</v>
      </c>
      <c r="E10" s="2692" t="s">
        <v>2153</v>
      </c>
      <c r="F10" s="2690" t="s">
        <v>2147</v>
      </c>
      <c r="G10" s="2693" t="s">
        <v>2147</v>
      </c>
      <c r="H10" s="2692" t="s">
        <v>2147</v>
      </c>
      <c r="I10" s="2690" t="s">
        <v>2153</v>
      </c>
      <c r="J10" s="2691" t="s">
        <v>2153</v>
      </c>
      <c r="K10" s="2694" t="s">
        <v>2153</v>
      </c>
      <c r="L10" s="2692" t="s">
        <v>2153</v>
      </c>
    </row>
    <row r="11" spans="1:12" ht="18" customHeight="1" x14ac:dyDescent="0.2">
      <c r="A11" s="1556"/>
      <c r="B11" s="1808" t="s">
        <v>345</v>
      </c>
      <c r="C11" s="2695"/>
      <c r="D11" s="2696"/>
      <c r="E11" s="2696"/>
      <c r="F11" s="2696"/>
      <c r="G11" s="2696"/>
      <c r="H11" s="2696"/>
      <c r="I11" s="2696"/>
      <c r="J11" s="2696"/>
      <c r="K11" s="2696"/>
      <c r="L11" s="2697"/>
    </row>
    <row r="12" spans="1:12" ht="18" customHeight="1" x14ac:dyDescent="0.2">
      <c r="B12" s="897" t="s">
        <v>1882</v>
      </c>
      <c r="C12" s="2698" t="s">
        <v>2153</v>
      </c>
      <c r="D12" s="2699" t="s">
        <v>2153</v>
      </c>
      <c r="E12" s="2700" t="s">
        <v>2153</v>
      </c>
      <c r="F12" s="2698" t="s">
        <v>2147</v>
      </c>
      <c r="G12" s="2701" t="s">
        <v>2147</v>
      </c>
      <c r="H12" s="2700" t="s">
        <v>2147</v>
      </c>
      <c r="I12" s="2698" t="s">
        <v>2153</v>
      </c>
      <c r="J12" s="2699" t="s">
        <v>2153</v>
      </c>
      <c r="K12" s="2702" t="s">
        <v>2153</v>
      </c>
      <c r="L12" s="2700" t="s">
        <v>2153</v>
      </c>
    </row>
    <row r="13" spans="1:12" ht="26.25" customHeight="1" x14ac:dyDescent="0.2">
      <c r="B13" s="897" t="s">
        <v>1135</v>
      </c>
      <c r="C13" s="2698" t="s">
        <v>2153</v>
      </c>
      <c r="D13" s="2699" t="s">
        <v>2153</v>
      </c>
      <c r="E13" s="2700" t="s">
        <v>2153</v>
      </c>
      <c r="F13" s="2698" t="s">
        <v>2147</v>
      </c>
      <c r="G13" s="2701" t="s">
        <v>2147</v>
      </c>
      <c r="H13" s="2700" t="s">
        <v>2147</v>
      </c>
      <c r="I13" s="2698" t="s">
        <v>2153</v>
      </c>
      <c r="J13" s="2699" t="s">
        <v>2153</v>
      </c>
      <c r="K13" s="2702" t="s">
        <v>2153</v>
      </c>
      <c r="L13" s="2700" t="s">
        <v>2153</v>
      </c>
    </row>
    <row r="14" spans="1:12" ht="18" customHeight="1" x14ac:dyDescent="0.2">
      <c r="B14" s="2439" t="s">
        <v>1883</v>
      </c>
      <c r="C14" s="2703" t="s">
        <v>2153</v>
      </c>
      <c r="D14" s="2650" t="s">
        <v>2153</v>
      </c>
      <c r="E14" s="2704" t="s">
        <v>2153</v>
      </c>
      <c r="F14" s="2705" t="s">
        <v>2147</v>
      </c>
      <c r="G14" s="2706" t="s">
        <v>2147</v>
      </c>
      <c r="H14" s="2707" t="s">
        <v>2147</v>
      </c>
      <c r="I14" s="2708" t="s">
        <v>2153</v>
      </c>
      <c r="J14" s="2709" t="s">
        <v>2153</v>
      </c>
      <c r="K14" s="2710" t="s">
        <v>2153</v>
      </c>
      <c r="L14" s="2711" t="s">
        <v>2153</v>
      </c>
    </row>
    <row r="15" spans="1:12" ht="18" customHeight="1" x14ac:dyDescent="0.2">
      <c r="B15" s="2439" t="s">
        <v>1884</v>
      </c>
      <c r="C15" s="2712" t="s">
        <v>2146</v>
      </c>
      <c r="D15" s="2713" t="s">
        <v>2146</v>
      </c>
      <c r="E15" s="2714" t="s">
        <v>2146</v>
      </c>
      <c r="F15" s="2698" t="s">
        <v>2147</v>
      </c>
      <c r="G15" s="2701" t="s">
        <v>2147</v>
      </c>
      <c r="H15" s="2700" t="s">
        <v>2147</v>
      </c>
      <c r="I15" s="2712" t="s">
        <v>2146</v>
      </c>
      <c r="J15" s="2713" t="s">
        <v>2146</v>
      </c>
      <c r="K15" s="2715" t="s">
        <v>2146</v>
      </c>
      <c r="L15" s="2714" t="s">
        <v>2146</v>
      </c>
    </row>
    <row r="16" spans="1:12" ht="27" customHeight="1" x14ac:dyDescent="0.2">
      <c r="B16" s="897" t="s">
        <v>1136</v>
      </c>
      <c r="C16" s="2716" t="s">
        <v>2153</v>
      </c>
      <c r="D16" s="2717" t="s">
        <v>2153</v>
      </c>
      <c r="E16" s="2718" t="s">
        <v>2153</v>
      </c>
      <c r="F16" s="2705" t="s">
        <v>2147</v>
      </c>
      <c r="G16" s="2706" t="s">
        <v>2147</v>
      </c>
      <c r="H16" s="2707" t="s">
        <v>2147</v>
      </c>
      <c r="I16" s="2719" t="s">
        <v>2153</v>
      </c>
      <c r="J16" s="2720" t="s">
        <v>2153</v>
      </c>
      <c r="K16" s="2721" t="s">
        <v>2153</v>
      </c>
      <c r="L16" s="2722" t="s">
        <v>2153</v>
      </c>
    </row>
    <row r="17" spans="2:12" ht="18" customHeight="1" x14ac:dyDescent="0.2">
      <c r="B17" s="2439" t="s">
        <v>1885</v>
      </c>
      <c r="C17" s="2703" t="s">
        <v>2153</v>
      </c>
      <c r="D17" s="2650" t="s">
        <v>2153</v>
      </c>
      <c r="E17" s="2704" t="s">
        <v>2153</v>
      </c>
      <c r="F17" s="2705" t="s">
        <v>2147</v>
      </c>
      <c r="G17" s="2706" t="s">
        <v>2147</v>
      </c>
      <c r="H17" s="2707" t="s">
        <v>2147</v>
      </c>
      <c r="I17" s="2708" t="s">
        <v>2153</v>
      </c>
      <c r="J17" s="2709" t="s">
        <v>2153</v>
      </c>
      <c r="K17" s="2710" t="s">
        <v>2153</v>
      </c>
      <c r="L17" s="2711" t="s">
        <v>2153</v>
      </c>
    </row>
    <row r="18" spans="2:12" ht="18" customHeight="1" thickBot="1" x14ac:dyDescent="0.25">
      <c r="B18" s="2440" t="s">
        <v>1886</v>
      </c>
      <c r="C18" s="2723" t="s">
        <v>2146</v>
      </c>
      <c r="D18" s="2724" t="s">
        <v>2146</v>
      </c>
      <c r="E18" s="2667" t="s">
        <v>2146</v>
      </c>
      <c r="F18" s="2725" t="s">
        <v>2147</v>
      </c>
      <c r="G18" s="2726" t="s">
        <v>2147</v>
      </c>
      <c r="H18" s="2727" t="s">
        <v>2147</v>
      </c>
      <c r="I18" s="2728" t="s">
        <v>2146</v>
      </c>
      <c r="J18" s="2729" t="s">
        <v>2146</v>
      </c>
      <c r="K18" s="2730" t="s">
        <v>2146</v>
      </c>
      <c r="L18" s="246" t="s">
        <v>2146</v>
      </c>
    </row>
    <row r="19" spans="2:12" ht="18" customHeight="1" x14ac:dyDescent="0.2">
      <c r="B19" s="846" t="s">
        <v>1887</v>
      </c>
      <c r="C19" s="2731" t="s">
        <v>2153</v>
      </c>
      <c r="D19" s="2732" t="s">
        <v>2153</v>
      </c>
      <c r="E19" s="2733" t="s">
        <v>2153</v>
      </c>
      <c r="F19" s="2731" t="s">
        <v>2147</v>
      </c>
      <c r="G19" s="2734" t="s">
        <v>2147</v>
      </c>
      <c r="H19" s="2733" t="s">
        <v>2147</v>
      </c>
      <c r="I19" s="2731" t="s">
        <v>2153</v>
      </c>
      <c r="J19" s="2732" t="s">
        <v>2153</v>
      </c>
      <c r="K19" s="2735" t="s">
        <v>2153</v>
      </c>
      <c r="L19" s="2733" t="s">
        <v>2153</v>
      </c>
    </row>
    <row r="20" spans="2:12" ht="25.5" customHeight="1" x14ac:dyDescent="0.2">
      <c r="B20" s="897" t="s">
        <v>1137</v>
      </c>
      <c r="C20" s="2716" t="s">
        <v>2153</v>
      </c>
      <c r="D20" s="2717" t="s">
        <v>2153</v>
      </c>
      <c r="E20" s="2718" t="s">
        <v>2153</v>
      </c>
      <c r="F20" s="2705" t="s">
        <v>2147</v>
      </c>
      <c r="G20" s="2706" t="s">
        <v>2147</v>
      </c>
      <c r="H20" s="2707" t="s">
        <v>2147</v>
      </c>
      <c r="I20" s="2716" t="s">
        <v>2153</v>
      </c>
      <c r="J20" s="2717" t="s">
        <v>2153</v>
      </c>
      <c r="K20" s="2736" t="s">
        <v>2153</v>
      </c>
      <c r="L20" s="2718" t="s">
        <v>2153</v>
      </c>
    </row>
    <row r="21" spans="2:12" ht="18" customHeight="1" x14ac:dyDescent="0.2">
      <c r="B21" s="2439" t="s">
        <v>1888</v>
      </c>
      <c r="C21" s="2703" t="s">
        <v>2153</v>
      </c>
      <c r="D21" s="2650" t="s">
        <v>2153</v>
      </c>
      <c r="E21" s="2704" t="s">
        <v>2153</v>
      </c>
      <c r="F21" s="2705" t="s">
        <v>2147</v>
      </c>
      <c r="G21" s="2706" t="s">
        <v>2147</v>
      </c>
      <c r="H21" s="2707" t="s">
        <v>2147</v>
      </c>
      <c r="I21" s="2708" t="s">
        <v>2153</v>
      </c>
      <c r="J21" s="2709" t="s">
        <v>2153</v>
      </c>
      <c r="K21" s="2710" t="s">
        <v>2153</v>
      </c>
      <c r="L21" s="2711" t="s">
        <v>2153</v>
      </c>
    </row>
    <row r="22" spans="2:12" ht="18" customHeight="1" x14ac:dyDescent="0.2">
      <c r="B22" s="2439" t="s">
        <v>1889</v>
      </c>
      <c r="C22" s="2703" t="s">
        <v>2146</v>
      </c>
      <c r="D22" s="2650" t="s">
        <v>2146</v>
      </c>
      <c r="E22" s="2704" t="s">
        <v>2146</v>
      </c>
      <c r="F22" s="2705" t="s">
        <v>2147</v>
      </c>
      <c r="G22" s="2706" t="s">
        <v>2147</v>
      </c>
      <c r="H22" s="2707" t="s">
        <v>2147</v>
      </c>
      <c r="I22" s="2708" t="s">
        <v>2146</v>
      </c>
      <c r="J22" s="2709" t="s">
        <v>2146</v>
      </c>
      <c r="K22" s="2710" t="s">
        <v>2146</v>
      </c>
      <c r="L22" s="2711" t="s">
        <v>2146</v>
      </c>
    </row>
    <row r="23" spans="2:12" ht="24.75" customHeight="1" x14ac:dyDescent="0.2">
      <c r="B23" s="897" t="s">
        <v>1138</v>
      </c>
      <c r="C23" s="2716" t="s">
        <v>2153</v>
      </c>
      <c r="D23" s="2717" t="s">
        <v>2153</v>
      </c>
      <c r="E23" s="2718" t="s">
        <v>2153</v>
      </c>
      <c r="F23" s="2705" t="s">
        <v>2147</v>
      </c>
      <c r="G23" s="2706" t="s">
        <v>2147</v>
      </c>
      <c r="H23" s="2707" t="s">
        <v>2147</v>
      </c>
      <c r="I23" s="2716" t="s">
        <v>2153</v>
      </c>
      <c r="J23" s="2717" t="s">
        <v>2153</v>
      </c>
      <c r="K23" s="2736" t="s">
        <v>2153</v>
      </c>
      <c r="L23" s="2718" t="s">
        <v>2153</v>
      </c>
    </row>
    <row r="24" spans="2:12" ht="18" customHeight="1" x14ac:dyDescent="0.2">
      <c r="B24" s="2439" t="s">
        <v>1890</v>
      </c>
      <c r="C24" s="2703" t="s">
        <v>2153</v>
      </c>
      <c r="D24" s="2650" t="s">
        <v>2153</v>
      </c>
      <c r="E24" s="2704" t="s">
        <v>2153</v>
      </c>
      <c r="F24" s="2705" t="s">
        <v>2147</v>
      </c>
      <c r="G24" s="2706" t="s">
        <v>2147</v>
      </c>
      <c r="H24" s="2707" t="s">
        <v>2147</v>
      </c>
      <c r="I24" s="2708" t="s">
        <v>2153</v>
      </c>
      <c r="J24" s="2709" t="s">
        <v>2153</v>
      </c>
      <c r="K24" s="2710" t="s">
        <v>2153</v>
      </c>
      <c r="L24" s="2711" t="s">
        <v>2153</v>
      </c>
    </row>
    <row r="25" spans="2:12" ht="18" customHeight="1" thickBot="1" x14ac:dyDescent="0.25">
      <c r="B25" s="2440" t="s">
        <v>1891</v>
      </c>
      <c r="C25" s="2723" t="s">
        <v>2146</v>
      </c>
      <c r="D25" s="2724" t="s">
        <v>2146</v>
      </c>
      <c r="E25" s="2667" t="s">
        <v>2146</v>
      </c>
      <c r="F25" s="2725" t="s">
        <v>2147</v>
      </c>
      <c r="G25" s="2726" t="s">
        <v>2147</v>
      </c>
      <c r="H25" s="2727" t="s">
        <v>2147</v>
      </c>
      <c r="I25" s="2728" t="s">
        <v>2146</v>
      </c>
      <c r="J25" s="2729" t="s">
        <v>2146</v>
      </c>
      <c r="K25" s="2730" t="s">
        <v>2146</v>
      </c>
      <c r="L25" s="246" t="s">
        <v>2146</v>
      </c>
    </row>
    <row r="26" spans="2:12" ht="18" customHeight="1" x14ac:dyDescent="0.2">
      <c r="B26" s="846" t="s">
        <v>1892</v>
      </c>
      <c r="C26" s="2731" t="s">
        <v>2153</v>
      </c>
      <c r="D26" s="2732" t="s">
        <v>2153</v>
      </c>
      <c r="E26" s="2733" t="s">
        <v>2153</v>
      </c>
      <c r="F26" s="2731" t="s">
        <v>2147</v>
      </c>
      <c r="G26" s="2734" t="s">
        <v>2147</v>
      </c>
      <c r="H26" s="2733" t="s">
        <v>2147</v>
      </c>
      <c r="I26" s="2731" t="s">
        <v>2153</v>
      </c>
      <c r="J26" s="2732" t="s">
        <v>2153</v>
      </c>
      <c r="K26" s="2735" t="s">
        <v>2153</v>
      </c>
      <c r="L26" s="2733" t="s">
        <v>2153</v>
      </c>
    </row>
    <row r="27" spans="2:12" ht="29.25" customHeight="1" x14ac:dyDescent="0.2">
      <c r="B27" s="897" t="s">
        <v>1139</v>
      </c>
      <c r="C27" s="2716" t="s">
        <v>2153</v>
      </c>
      <c r="D27" s="2717" t="s">
        <v>2153</v>
      </c>
      <c r="E27" s="2718" t="s">
        <v>2153</v>
      </c>
      <c r="F27" s="2705" t="s">
        <v>2147</v>
      </c>
      <c r="G27" s="2706" t="s">
        <v>2147</v>
      </c>
      <c r="H27" s="2707" t="s">
        <v>2147</v>
      </c>
      <c r="I27" s="2716" t="s">
        <v>2153</v>
      </c>
      <c r="J27" s="2717" t="s">
        <v>2153</v>
      </c>
      <c r="K27" s="2736" t="s">
        <v>2153</v>
      </c>
      <c r="L27" s="2718" t="s">
        <v>2153</v>
      </c>
    </row>
    <row r="28" spans="2:12" ht="18" customHeight="1" x14ac:dyDescent="0.2">
      <c r="B28" s="2439" t="s">
        <v>1893</v>
      </c>
      <c r="C28" s="2703" t="s">
        <v>2153</v>
      </c>
      <c r="D28" s="2650" t="s">
        <v>2153</v>
      </c>
      <c r="E28" s="2704" t="s">
        <v>2153</v>
      </c>
      <c r="F28" s="2705" t="s">
        <v>2147</v>
      </c>
      <c r="G28" s="2706" t="s">
        <v>2147</v>
      </c>
      <c r="H28" s="2707" t="s">
        <v>2147</v>
      </c>
      <c r="I28" s="2708" t="s">
        <v>2153</v>
      </c>
      <c r="J28" s="2709" t="s">
        <v>2153</v>
      </c>
      <c r="K28" s="2710" t="s">
        <v>2153</v>
      </c>
      <c r="L28" s="2711" t="s">
        <v>2153</v>
      </c>
    </row>
    <row r="29" spans="2:12" ht="18" customHeight="1" x14ac:dyDescent="0.2">
      <c r="B29" s="2439" t="s">
        <v>1894</v>
      </c>
      <c r="C29" s="2703" t="s">
        <v>2146</v>
      </c>
      <c r="D29" s="2650" t="s">
        <v>2146</v>
      </c>
      <c r="E29" s="2704" t="s">
        <v>2146</v>
      </c>
      <c r="F29" s="2705" t="s">
        <v>2147</v>
      </c>
      <c r="G29" s="2706" t="s">
        <v>2147</v>
      </c>
      <c r="H29" s="2707" t="s">
        <v>2147</v>
      </c>
      <c r="I29" s="2708" t="s">
        <v>2146</v>
      </c>
      <c r="J29" s="2709" t="s">
        <v>2146</v>
      </c>
      <c r="K29" s="2710" t="s">
        <v>2146</v>
      </c>
      <c r="L29" s="2711" t="s">
        <v>2146</v>
      </c>
    </row>
    <row r="30" spans="2:12" ht="25.5" customHeight="1" x14ac:dyDescent="0.2">
      <c r="B30" s="897" t="s">
        <v>1140</v>
      </c>
      <c r="C30" s="2716" t="s">
        <v>2153</v>
      </c>
      <c r="D30" s="2717" t="s">
        <v>2153</v>
      </c>
      <c r="E30" s="2718" t="s">
        <v>2153</v>
      </c>
      <c r="F30" s="2705" t="s">
        <v>2147</v>
      </c>
      <c r="G30" s="2706" t="s">
        <v>2147</v>
      </c>
      <c r="H30" s="2707" t="s">
        <v>2147</v>
      </c>
      <c r="I30" s="2716" t="s">
        <v>2153</v>
      </c>
      <c r="J30" s="2717" t="s">
        <v>2153</v>
      </c>
      <c r="K30" s="2736" t="s">
        <v>2153</v>
      </c>
      <c r="L30" s="2718" t="s">
        <v>2153</v>
      </c>
    </row>
    <row r="31" spans="2:12" ht="18" customHeight="1" x14ac:dyDescent="0.2">
      <c r="B31" s="2439" t="s">
        <v>1895</v>
      </c>
      <c r="C31" s="2703" t="s">
        <v>2153</v>
      </c>
      <c r="D31" s="2650" t="s">
        <v>2153</v>
      </c>
      <c r="E31" s="2704" t="s">
        <v>2153</v>
      </c>
      <c r="F31" s="2705" t="s">
        <v>2147</v>
      </c>
      <c r="G31" s="2706" t="s">
        <v>2147</v>
      </c>
      <c r="H31" s="2707" t="s">
        <v>2147</v>
      </c>
      <c r="I31" s="2708" t="s">
        <v>2153</v>
      </c>
      <c r="J31" s="2709" t="s">
        <v>2153</v>
      </c>
      <c r="K31" s="2710" t="s">
        <v>2153</v>
      </c>
      <c r="L31" s="2711" t="s">
        <v>2153</v>
      </c>
    </row>
    <row r="32" spans="2:12" ht="18" customHeight="1" thickBot="1" x14ac:dyDescent="0.25">
      <c r="B32" s="2440" t="s">
        <v>1896</v>
      </c>
      <c r="C32" s="2723" t="s">
        <v>2146</v>
      </c>
      <c r="D32" s="2724" t="s">
        <v>2146</v>
      </c>
      <c r="E32" s="2667" t="s">
        <v>2146</v>
      </c>
      <c r="F32" s="2725" t="s">
        <v>2147</v>
      </c>
      <c r="G32" s="2726" t="s">
        <v>2147</v>
      </c>
      <c r="H32" s="2727" t="s">
        <v>2147</v>
      </c>
      <c r="I32" s="2728" t="s">
        <v>2146</v>
      </c>
      <c r="J32" s="2729" t="s">
        <v>2146</v>
      </c>
      <c r="K32" s="2730" t="s">
        <v>2146</v>
      </c>
      <c r="L32" s="246" t="s">
        <v>2146</v>
      </c>
    </row>
    <row r="33" spans="2:12" ht="25.5" customHeight="1" x14ac:dyDescent="0.2">
      <c r="B33" s="899" t="s">
        <v>1897</v>
      </c>
      <c r="C33" s="2737" t="s">
        <v>2146</v>
      </c>
      <c r="D33" s="2738" t="s">
        <v>2146</v>
      </c>
      <c r="E33" s="2739" t="s">
        <v>2146</v>
      </c>
      <c r="F33" s="2740" t="s">
        <v>2147</v>
      </c>
      <c r="G33" s="2741" t="s">
        <v>2147</v>
      </c>
      <c r="H33" s="2742" t="s">
        <v>2147</v>
      </c>
      <c r="I33" s="2743" t="s">
        <v>2146</v>
      </c>
      <c r="J33" s="2744" t="s">
        <v>2146</v>
      </c>
      <c r="K33" s="2745" t="s">
        <v>2146</v>
      </c>
      <c r="L33" s="2746" t="s">
        <v>2146</v>
      </c>
    </row>
    <row r="34" spans="2:12" ht="18" customHeight="1" x14ac:dyDescent="0.2">
      <c r="B34" s="2439" t="s">
        <v>1898</v>
      </c>
      <c r="C34" s="2703" t="s">
        <v>2146</v>
      </c>
      <c r="D34" s="2650" t="s">
        <v>2146</v>
      </c>
      <c r="E34" s="2704" t="s">
        <v>2146</v>
      </c>
      <c r="F34" s="2705" t="s">
        <v>2147</v>
      </c>
      <c r="G34" s="2706" t="s">
        <v>2147</v>
      </c>
      <c r="H34" s="2707" t="s">
        <v>2147</v>
      </c>
      <c r="I34" s="2708" t="s">
        <v>2146</v>
      </c>
      <c r="J34" s="2709" t="s">
        <v>2146</v>
      </c>
      <c r="K34" s="2710" t="s">
        <v>2146</v>
      </c>
      <c r="L34" s="2711" t="s">
        <v>2146</v>
      </c>
    </row>
    <row r="35" spans="2:12" ht="18" customHeight="1" thickBot="1" x14ac:dyDescent="0.25">
      <c r="B35" s="2440" t="s">
        <v>1899</v>
      </c>
      <c r="C35" s="2747" t="s">
        <v>2146</v>
      </c>
      <c r="D35" s="2748" t="s">
        <v>2146</v>
      </c>
      <c r="E35" s="2749" t="s">
        <v>2146</v>
      </c>
      <c r="F35" s="2750" t="s">
        <v>2147</v>
      </c>
      <c r="G35" s="2751" t="s">
        <v>2147</v>
      </c>
      <c r="H35" s="2752" t="s">
        <v>2147</v>
      </c>
      <c r="I35" s="2728" t="s">
        <v>2146</v>
      </c>
      <c r="J35" s="2729" t="s">
        <v>2146</v>
      </c>
      <c r="K35" s="2730" t="s">
        <v>2146</v>
      </c>
      <c r="L35" s="246" t="s">
        <v>2146</v>
      </c>
    </row>
    <row r="36" spans="2:12" ht="11.25" customHeight="1" x14ac:dyDescent="0.2">
      <c r="F36" s="491"/>
      <c r="G36" s="491"/>
      <c r="H36" s="491"/>
    </row>
    <row r="37" spans="2:12" ht="13.5" x14ac:dyDescent="0.2">
      <c r="B37" s="1020"/>
      <c r="C37" s="1072"/>
      <c r="D37" s="1072"/>
      <c r="E37" s="1072"/>
      <c r="F37" s="1072"/>
      <c r="G37" s="1072"/>
      <c r="H37" s="1072"/>
      <c r="I37" s="1072"/>
    </row>
    <row r="38" spans="2:12" ht="13.5" x14ac:dyDescent="0.2">
      <c r="B38" s="787"/>
      <c r="C38" s="787"/>
      <c r="D38" s="787"/>
      <c r="E38" s="787"/>
      <c r="F38" s="787"/>
      <c r="G38" s="787"/>
      <c r="H38" s="787"/>
      <c r="I38" s="787"/>
    </row>
    <row r="39" spans="2:12" ht="13.5" x14ac:dyDescent="0.2">
      <c r="B39" s="787"/>
      <c r="C39" s="787"/>
      <c r="D39" s="787"/>
      <c r="E39" s="787"/>
      <c r="F39" s="526"/>
      <c r="G39" s="526"/>
      <c r="H39" s="526"/>
      <c r="I39" s="526"/>
    </row>
    <row r="40" spans="2:12" ht="13.5" x14ac:dyDescent="0.2">
      <c r="B40" s="787"/>
      <c r="C40" s="517"/>
      <c r="D40" s="517"/>
      <c r="E40" s="517"/>
      <c r="F40" s="517"/>
      <c r="G40" s="517"/>
      <c r="H40" s="517"/>
      <c r="I40" s="518"/>
    </row>
    <row r="41" spans="2:12" ht="13.5" x14ac:dyDescent="0.2">
      <c r="B41" s="1116"/>
      <c r="C41" s="1116"/>
      <c r="D41" s="1116"/>
      <c r="E41" s="1116"/>
      <c r="F41" s="1116"/>
      <c r="G41" s="1116"/>
      <c r="H41" s="1116"/>
      <c r="I41" s="1116"/>
    </row>
    <row r="42" spans="2:12" ht="13.5" x14ac:dyDescent="0.2">
      <c r="B42" s="1116"/>
      <c r="C42" s="1116"/>
      <c r="D42" s="1116"/>
      <c r="E42" s="1116"/>
      <c r="F42" s="1116"/>
      <c r="G42" s="1116"/>
      <c r="H42" s="1116"/>
      <c r="I42" s="1116"/>
    </row>
    <row r="43" spans="2:12" ht="13.5" x14ac:dyDescent="0.2">
      <c r="B43" s="1116"/>
      <c r="C43" s="1116"/>
      <c r="D43" s="1116"/>
      <c r="E43" s="1116"/>
      <c r="F43" s="1116"/>
      <c r="G43" s="1116"/>
      <c r="H43" s="1116"/>
      <c r="I43" s="1116"/>
    </row>
    <row r="44" spans="2:12" ht="13.5" x14ac:dyDescent="0.2">
      <c r="B44" s="787"/>
      <c r="C44" s="787"/>
      <c r="D44" s="787"/>
      <c r="E44" s="787"/>
      <c r="F44" s="787"/>
      <c r="G44" s="787"/>
      <c r="H44" s="787"/>
      <c r="I44" s="787"/>
    </row>
    <row r="45" spans="2:12" ht="13.5" x14ac:dyDescent="0.2">
      <c r="B45" s="787"/>
      <c r="C45" s="787"/>
      <c r="D45" s="787"/>
      <c r="E45" s="787"/>
      <c r="F45" s="787"/>
      <c r="G45" s="787"/>
      <c r="H45" s="787"/>
      <c r="I45" s="787"/>
    </row>
    <row r="46" spans="2:12" ht="13.5" x14ac:dyDescent="0.2">
      <c r="B46" s="787"/>
      <c r="C46" s="787"/>
      <c r="D46" s="787"/>
      <c r="E46" s="787"/>
      <c r="F46" s="787"/>
      <c r="G46" s="787"/>
      <c r="H46" s="787"/>
      <c r="I46" s="787"/>
    </row>
    <row r="47" spans="2:12" ht="13.5" x14ac:dyDescent="0.2">
      <c r="B47" s="787"/>
      <c r="C47" s="787"/>
      <c r="D47" s="787"/>
      <c r="E47" s="787"/>
      <c r="F47" s="787"/>
      <c r="G47" s="787"/>
      <c r="H47" s="787"/>
      <c r="I47" s="787"/>
    </row>
    <row r="48" spans="2:12" ht="30.75" customHeight="1" thickBot="1" x14ac:dyDescent="0.25">
      <c r="B48" s="1117"/>
      <c r="C48" s="1118"/>
      <c r="D48" s="1118"/>
      <c r="E48" s="1118"/>
      <c r="F48" s="1118"/>
      <c r="G48" s="1118"/>
      <c r="H48" s="1118"/>
      <c r="I48" s="1118"/>
    </row>
    <row r="49" spans="2:17" ht="12.75" x14ac:dyDescent="0.2">
      <c r="B49" s="849" t="s">
        <v>390</v>
      </c>
      <c r="C49" s="900"/>
      <c r="D49" s="900"/>
      <c r="E49" s="900"/>
      <c r="F49" s="900"/>
      <c r="G49" s="900"/>
      <c r="H49" s="900"/>
      <c r="I49" s="900"/>
      <c r="J49" s="900"/>
      <c r="K49" s="900"/>
      <c r="L49" s="1115"/>
    </row>
    <row r="50" spans="2:17" ht="12.75" x14ac:dyDescent="0.2">
      <c r="B50" s="1329"/>
      <c r="C50" s="1342"/>
      <c r="D50" s="1342"/>
      <c r="E50" s="1342"/>
      <c r="F50" s="1342"/>
      <c r="G50" s="1342"/>
      <c r="H50" s="1342"/>
      <c r="I50" s="1342"/>
      <c r="J50" s="1342"/>
      <c r="K50" s="1342"/>
      <c r="L50" s="1343"/>
    </row>
    <row r="51" spans="2:17" ht="12.75" x14ac:dyDescent="0.2">
      <c r="B51" s="1329"/>
      <c r="C51" s="1342"/>
      <c r="D51" s="1342"/>
      <c r="E51" s="1342"/>
      <c r="F51" s="1342"/>
      <c r="G51" s="1342"/>
      <c r="H51" s="1342"/>
      <c r="I51" s="1342"/>
      <c r="J51" s="1342"/>
      <c r="K51" s="1342"/>
      <c r="L51" s="1343"/>
    </row>
    <row r="52" spans="2:17" ht="13.5" thickBot="1" x14ac:dyDescent="0.25">
      <c r="B52" s="1339"/>
      <c r="C52" s="1340"/>
      <c r="D52" s="1340"/>
      <c r="E52" s="1340"/>
      <c r="F52" s="1340"/>
      <c r="G52" s="1340"/>
      <c r="H52" s="1340"/>
      <c r="I52" s="1340"/>
      <c r="J52" s="1340"/>
      <c r="K52" s="1340"/>
      <c r="L52" s="1341"/>
    </row>
    <row r="53" spans="2:17" ht="13.5" thickBot="1" x14ac:dyDescent="0.25">
      <c r="B53" s="4483" t="s">
        <v>2401</v>
      </c>
      <c r="C53" s="4484"/>
      <c r="D53" s="4484"/>
      <c r="E53" s="4484"/>
      <c r="F53" s="4484"/>
      <c r="G53" s="4484"/>
      <c r="H53" s="4484"/>
      <c r="I53" s="4484"/>
      <c r="J53" s="4484"/>
      <c r="K53" s="4484"/>
      <c r="L53" s="4485"/>
    </row>
    <row r="54" spans="2:17" ht="9" customHeight="1" x14ac:dyDescent="0.2">
      <c r="B54" s="85"/>
      <c r="C54" s="85"/>
      <c r="D54" s="85"/>
      <c r="E54" s="85"/>
      <c r="F54" s="85"/>
      <c r="G54" s="85"/>
      <c r="H54" s="247"/>
      <c r="J54" s="519"/>
      <c r="K54" s="519"/>
      <c r="L54" s="519"/>
      <c r="M54" s="519"/>
      <c r="N54" s="519"/>
      <c r="O54" s="519"/>
      <c r="P54" s="519"/>
      <c r="Q54" s="519"/>
    </row>
    <row r="55" spans="2:17" ht="12.75" customHeight="1" x14ac:dyDescent="0.2">
      <c r="B55" s="4505"/>
      <c r="C55" s="4505"/>
      <c r="D55" s="4505"/>
      <c r="E55" s="4505"/>
      <c r="F55" s="4505"/>
      <c r="G55" s="4505"/>
      <c r="H55" s="4505"/>
      <c r="I55" s="4505"/>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1141</v>
      </c>
      <c r="J1" s="14" t="s">
        <v>2521</v>
      </c>
    </row>
    <row r="2" spans="2:10" ht="15.75" x14ac:dyDescent="0.25">
      <c r="B2" s="520" t="s">
        <v>1142</v>
      </c>
      <c r="C2" s="520"/>
      <c r="D2" s="520"/>
      <c r="E2" s="520"/>
      <c r="J2" s="14" t="s">
        <v>2522</v>
      </c>
    </row>
    <row r="3" spans="2:10" ht="15.75" x14ac:dyDescent="0.25">
      <c r="B3" s="13" t="s">
        <v>62</v>
      </c>
      <c r="J3" s="14" t="s">
        <v>2144</v>
      </c>
    </row>
    <row r="4" spans="2:10" ht="15.75" hidden="1" x14ac:dyDescent="0.25">
      <c r="B4" s="13"/>
      <c r="J4" s="226"/>
    </row>
    <row r="5" spans="2:10" ht="15.75" hidden="1" x14ac:dyDescent="0.25">
      <c r="B5" s="13"/>
      <c r="J5" s="226"/>
    </row>
    <row r="6" spans="2:10" ht="13.5" thickBot="1" x14ac:dyDescent="0.25">
      <c r="B6" s="2446" t="s">
        <v>64</v>
      </c>
      <c r="H6" s="1431"/>
      <c r="I6" s="1431"/>
      <c r="J6" s="1431"/>
    </row>
    <row r="7" spans="2:10" x14ac:dyDescent="0.2">
      <c r="B7" s="824" t="s">
        <v>65</v>
      </c>
      <c r="C7" s="826"/>
      <c r="D7" s="1441" t="s">
        <v>419</v>
      </c>
      <c r="E7" s="824" t="s">
        <v>1143</v>
      </c>
      <c r="F7" s="826"/>
      <c r="G7" s="825"/>
      <c r="H7" s="827" t="s">
        <v>124</v>
      </c>
      <c r="I7" s="827"/>
      <c r="J7" s="828"/>
    </row>
    <row r="8" spans="2:10" ht="16.5" x14ac:dyDescent="0.25">
      <c r="B8" s="4506" t="s">
        <v>1144</v>
      </c>
      <c r="C8" s="2455" t="s">
        <v>1019</v>
      </c>
      <c r="D8" s="2823" t="s">
        <v>1145</v>
      </c>
      <c r="E8" s="907" t="s">
        <v>1146</v>
      </c>
      <c r="F8" s="906" t="s">
        <v>1147</v>
      </c>
      <c r="G8" s="521" t="s">
        <v>1148</v>
      </c>
      <c r="H8" s="522" t="s">
        <v>1149</v>
      </c>
      <c r="I8" s="522" t="s">
        <v>1150</v>
      </c>
      <c r="J8" s="523" t="s">
        <v>1151</v>
      </c>
    </row>
    <row r="9" spans="2:10" ht="15" thickBot="1" x14ac:dyDescent="0.3">
      <c r="B9" s="4507"/>
      <c r="C9" s="2456"/>
      <c r="D9" s="2824" t="s">
        <v>1012</v>
      </c>
      <c r="E9" s="908" t="s">
        <v>1152</v>
      </c>
      <c r="F9" s="806" t="s">
        <v>1153</v>
      </c>
      <c r="G9" s="524" t="s">
        <v>1154</v>
      </c>
      <c r="H9" s="904" t="s">
        <v>73</v>
      </c>
      <c r="I9" s="904"/>
      <c r="J9" s="905"/>
    </row>
    <row r="10" spans="2:10" ht="18" customHeight="1" thickTop="1" thickBot="1" x14ac:dyDescent="0.25">
      <c r="B10" s="910" t="s">
        <v>1155</v>
      </c>
      <c r="C10" s="2825"/>
      <c r="D10" s="2783"/>
      <c r="E10" s="2784"/>
      <c r="F10" s="2785"/>
      <c r="G10" s="2783"/>
      <c r="H10" s="2817" t="str">
        <f>H269</f>
        <v>IE,NE</v>
      </c>
      <c r="I10" s="2786" t="s">
        <v>2154</v>
      </c>
      <c r="J10" s="3739">
        <f>J269</f>
        <v>69.990630695396689</v>
      </c>
    </row>
    <row r="11" spans="2:10" ht="18" customHeight="1" x14ac:dyDescent="0.2">
      <c r="B11" s="909" t="s">
        <v>1156</v>
      </c>
      <c r="C11" s="2826"/>
      <c r="D11" s="2787"/>
      <c r="E11" s="2788"/>
      <c r="F11" s="2789"/>
      <c r="G11" s="2787"/>
      <c r="H11" s="2818" t="s">
        <v>2154</v>
      </c>
      <c r="I11" s="2813" t="s">
        <v>2154</v>
      </c>
      <c r="J11" s="3740" t="s">
        <v>2154</v>
      </c>
    </row>
    <row r="12" spans="2:10" ht="18" customHeight="1" collapsed="1" x14ac:dyDescent="0.2">
      <c r="B12" s="909" t="s">
        <v>1157</v>
      </c>
      <c r="C12" s="2826"/>
      <c r="D12" s="2787"/>
      <c r="E12" s="2788"/>
      <c r="F12" s="2789"/>
      <c r="G12" s="2787"/>
      <c r="H12" s="2819" t="s">
        <v>2154</v>
      </c>
      <c r="I12" s="2815" t="s">
        <v>2154</v>
      </c>
      <c r="J12" s="3741" t="s">
        <v>2154</v>
      </c>
    </row>
    <row r="13" spans="2:10" ht="18" hidden="1" customHeight="1" outlineLevel="1" x14ac:dyDescent="0.2">
      <c r="B13" s="2827" t="s">
        <v>1158</v>
      </c>
      <c r="C13" s="2828"/>
      <c r="D13" s="2790" t="s">
        <v>2154</v>
      </c>
      <c r="E13" s="2820" t="s">
        <v>2147</v>
      </c>
      <c r="F13" s="2798" t="s">
        <v>2147</v>
      </c>
      <c r="G13" s="2790" t="s">
        <v>2147</v>
      </c>
      <c r="H13" s="2791" t="s">
        <v>2154</v>
      </c>
      <c r="I13" s="2753" t="s">
        <v>2154</v>
      </c>
      <c r="J13" s="3733" t="s">
        <v>2154</v>
      </c>
    </row>
    <row r="14" spans="2:10" ht="18" hidden="1" customHeight="1" outlineLevel="1" x14ac:dyDescent="0.2">
      <c r="B14" s="2829" t="s">
        <v>200</v>
      </c>
      <c r="C14" s="2828"/>
      <c r="D14" s="2792"/>
      <c r="E14" s="2792"/>
      <c r="F14" s="2792"/>
      <c r="G14" s="2792"/>
      <c r="H14" s="2792"/>
      <c r="I14" s="2792"/>
      <c r="J14" s="3742"/>
    </row>
    <row r="15" spans="2:10" ht="18" hidden="1" customHeight="1" outlineLevel="1" x14ac:dyDescent="0.2">
      <c r="B15" s="2830" t="s">
        <v>1159</v>
      </c>
      <c r="C15" s="2831" t="s">
        <v>278</v>
      </c>
      <c r="D15" s="2793" t="s">
        <v>2146</v>
      </c>
      <c r="E15" s="2755" t="s">
        <v>2147</v>
      </c>
      <c r="F15" s="2753" t="s">
        <v>2147</v>
      </c>
      <c r="G15" s="2754" t="s">
        <v>2147</v>
      </c>
      <c r="H15" s="2794" t="s">
        <v>2146</v>
      </c>
      <c r="I15" s="2795" t="s">
        <v>2146</v>
      </c>
      <c r="J15" s="3743" t="s">
        <v>2146</v>
      </c>
    </row>
    <row r="16" spans="2:10" ht="18" hidden="1" customHeight="1" outlineLevel="1" x14ac:dyDescent="0.2">
      <c r="B16" s="2830" t="s">
        <v>1160</v>
      </c>
      <c r="C16" s="2832" t="s">
        <v>278</v>
      </c>
      <c r="D16" s="2793" t="s">
        <v>2154</v>
      </c>
      <c r="E16" s="2755" t="s">
        <v>2147</v>
      </c>
      <c r="F16" s="2753" t="s">
        <v>2147</v>
      </c>
      <c r="G16" s="2754" t="s">
        <v>2147</v>
      </c>
      <c r="H16" s="2794" t="s">
        <v>2154</v>
      </c>
      <c r="I16" s="2795" t="s">
        <v>2154</v>
      </c>
      <c r="J16" s="3743" t="s">
        <v>2154</v>
      </c>
    </row>
    <row r="17" spans="2:10" ht="18" hidden="1" customHeight="1" outlineLevel="1" x14ac:dyDescent="0.2">
      <c r="B17" s="2830" t="s">
        <v>1161</v>
      </c>
      <c r="C17" s="2833"/>
      <c r="D17" s="2754" t="str">
        <f>D18</f>
        <v>NA</v>
      </c>
      <c r="E17" s="2755" t="s">
        <v>2147</v>
      </c>
      <c r="F17" s="2753" t="s">
        <v>2147</v>
      </c>
      <c r="G17" s="2754" t="s">
        <v>2147</v>
      </c>
      <c r="H17" s="2756" t="str">
        <f>H18</f>
        <v>NA</v>
      </c>
      <c r="I17" s="2753" t="str">
        <f>I18</f>
        <v>NA</v>
      </c>
      <c r="J17" s="3733" t="str">
        <f>J18</f>
        <v>NA</v>
      </c>
    </row>
    <row r="18" spans="2:10" ht="18" hidden="1" customHeight="1" outlineLevel="1" x14ac:dyDescent="0.2">
      <c r="B18" s="2834" t="s">
        <v>2147</v>
      </c>
      <c r="C18" s="2835" t="s">
        <v>2147</v>
      </c>
      <c r="D18" s="2757" t="s">
        <v>2147</v>
      </c>
      <c r="E18" s="2755" t="s">
        <v>2147</v>
      </c>
      <c r="F18" s="2753" t="s">
        <v>2147</v>
      </c>
      <c r="G18" s="2754" t="s">
        <v>2147</v>
      </c>
      <c r="H18" s="2794" t="s">
        <v>2147</v>
      </c>
      <c r="I18" s="2758" t="s">
        <v>2147</v>
      </c>
      <c r="J18" s="3744" t="s">
        <v>2147</v>
      </c>
    </row>
    <row r="19" spans="2:10" ht="18" hidden="1" customHeight="1" outlineLevel="1" x14ac:dyDescent="0.2">
      <c r="B19" s="2827" t="s">
        <v>1162</v>
      </c>
      <c r="C19" s="2828"/>
      <c r="D19" s="2797" t="s">
        <v>2154</v>
      </c>
      <c r="E19" s="2755" t="s">
        <v>2147</v>
      </c>
      <c r="F19" s="2753" t="s">
        <v>2147</v>
      </c>
      <c r="G19" s="2754" t="s">
        <v>2147</v>
      </c>
      <c r="H19" s="2791" t="s">
        <v>2154</v>
      </c>
      <c r="I19" s="2753" t="s">
        <v>2154</v>
      </c>
      <c r="J19" s="3733" t="s">
        <v>2154</v>
      </c>
    </row>
    <row r="20" spans="2:10" ht="18" hidden="1" customHeight="1" outlineLevel="1" x14ac:dyDescent="0.2">
      <c r="B20" s="2829" t="s">
        <v>200</v>
      </c>
      <c r="C20" s="2828"/>
      <c r="D20" s="2760"/>
      <c r="E20" s="2761"/>
      <c r="F20" s="2762"/>
      <c r="G20" s="2763"/>
      <c r="H20" s="2764"/>
      <c r="I20" s="2762"/>
      <c r="J20" s="3745"/>
    </row>
    <row r="21" spans="2:10" ht="18" hidden="1" customHeight="1" outlineLevel="1" x14ac:dyDescent="0.2">
      <c r="B21" s="2830" t="s">
        <v>1163</v>
      </c>
      <c r="C21" s="2835" t="s">
        <v>278</v>
      </c>
      <c r="D21" s="2757" t="s">
        <v>2154</v>
      </c>
      <c r="E21" s="2755" t="s">
        <v>2147</v>
      </c>
      <c r="F21" s="2753" t="s">
        <v>2147</v>
      </c>
      <c r="G21" s="2754" t="s">
        <v>2147</v>
      </c>
      <c r="H21" s="2765" t="s">
        <v>2154</v>
      </c>
      <c r="I21" s="2758" t="s">
        <v>2154</v>
      </c>
      <c r="J21" s="3744" t="s">
        <v>2154</v>
      </c>
    </row>
    <row r="22" spans="2:10" ht="18" hidden="1" customHeight="1" outlineLevel="1" x14ac:dyDescent="0.2">
      <c r="B22" s="2830" t="s">
        <v>1164</v>
      </c>
      <c r="C22" s="2828"/>
      <c r="D22" s="2754" t="s">
        <v>2147</v>
      </c>
      <c r="E22" s="2755" t="s">
        <v>2147</v>
      </c>
      <c r="F22" s="2753" t="s">
        <v>2147</v>
      </c>
      <c r="G22" s="2754" t="s">
        <v>2147</v>
      </c>
      <c r="H22" s="2756" t="s">
        <v>2147</v>
      </c>
      <c r="I22" s="2753" t="s">
        <v>2147</v>
      </c>
      <c r="J22" s="3733" t="s">
        <v>2147</v>
      </c>
    </row>
    <row r="23" spans="2:10" ht="18" hidden="1" customHeight="1" outlineLevel="1" x14ac:dyDescent="0.2">
      <c r="B23" s="2834" t="s">
        <v>2147</v>
      </c>
      <c r="C23" s="2835" t="s">
        <v>2147</v>
      </c>
      <c r="D23" s="2757" t="s">
        <v>2147</v>
      </c>
      <c r="E23" s="2755" t="s">
        <v>2147</v>
      </c>
      <c r="F23" s="2753" t="s">
        <v>2147</v>
      </c>
      <c r="G23" s="2754" t="s">
        <v>2147</v>
      </c>
      <c r="H23" s="2794" t="s">
        <v>2147</v>
      </c>
      <c r="I23" s="2758" t="s">
        <v>2147</v>
      </c>
      <c r="J23" s="3744" t="s">
        <v>2147</v>
      </c>
    </row>
    <row r="24" spans="2:10" ht="18" customHeight="1" collapsed="1" thickBot="1" x14ac:dyDescent="0.25">
      <c r="B24" s="909" t="s">
        <v>1165</v>
      </c>
      <c r="C24" s="2826"/>
      <c r="D24" s="2787"/>
      <c r="E24" s="2788"/>
      <c r="F24" s="2789"/>
      <c r="G24" s="2787"/>
      <c r="H24" s="2819" t="s">
        <v>2154</v>
      </c>
      <c r="I24" s="2815" t="s">
        <v>2154</v>
      </c>
      <c r="J24" s="3741" t="s">
        <v>2154</v>
      </c>
    </row>
    <row r="25" spans="2:10" ht="18" hidden="1" customHeight="1" outlineLevel="1" x14ac:dyDescent="0.2">
      <c r="B25" s="2827" t="s">
        <v>1158</v>
      </c>
      <c r="C25" s="2828"/>
      <c r="D25" s="2790" t="s">
        <v>2154</v>
      </c>
      <c r="E25" s="2820" t="s">
        <v>2147</v>
      </c>
      <c r="F25" s="2798" t="s">
        <v>2147</v>
      </c>
      <c r="G25" s="2790" t="s">
        <v>2147</v>
      </c>
      <c r="H25" s="2791" t="s">
        <v>2154</v>
      </c>
      <c r="I25" s="2753" t="s">
        <v>2154</v>
      </c>
      <c r="J25" s="3733" t="s">
        <v>2154</v>
      </c>
    </row>
    <row r="26" spans="2:10" ht="18" hidden="1" customHeight="1" outlineLevel="1" x14ac:dyDescent="0.2">
      <c r="B26" s="2829" t="s">
        <v>200</v>
      </c>
      <c r="C26" s="2828"/>
      <c r="D26" s="2792"/>
      <c r="E26" s="2792"/>
      <c r="F26" s="2792"/>
      <c r="G26" s="2792"/>
      <c r="H26" s="2792"/>
      <c r="I26" s="2792"/>
      <c r="J26" s="3742"/>
    </row>
    <row r="27" spans="2:10" ht="18" hidden="1" customHeight="1" outlineLevel="1" x14ac:dyDescent="0.2">
      <c r="B27" s="2830" t="s">
        <v>1159</v>
      </c>
      <c r="C27" s="2831" t="s">
        <v>278</v>
      </c>
      <c r="D27" s="2793" t="s">
        <v>2146</v>
      </c>
      <c r="E27" s="2755" t="s">
        <v>2147</v>
      </c>
      <c r="F27" s="2798" t="s">
        <v>2147</v>
      </c>
      <c r="G27" s="2790" t="s">
        <v>2147</v>
      </c>
      <c r="H27" s="2794" t="s">
        <v>2146</v>
      </c>
      <c r="I27" s="2795" t="s">
        <v>2146</v>
      </c>
      <c r="J27" s="3743" t="s">
        <v>2146</v>
      </c>
    </row>
    <row r="28" spans="2:10" ht="18" hidden="1" customHeight="1" outlineLevel="1" x14ac:dyDescent="0.2">
      <c r="B28" s="2830" t="s">
        <v>1160</v>
      </c>
      <c r="C28" s="2832" t="s">
        <v>278</v>
      </c>
      <c r="D28" s="2793" t="s">
        <v>2154</v>
      </c>
      <c r="E28" s="2755" t="s">
        <v>2147</v>
      </c>
      <c r="F28" s="2798" t="s">
        <v>2147</v>
      </c>
      <c r="G28" s="2790" t="s">
        <v>2147</v>
      </c>
      <c r="H28" s="2794" t="s">
        <v>2154</v>
      </c>
      <c r="I28" s="2795" t="s">
        <v>2154</v>
      </c>
      <c r="J28" s="3743" t="s">
        <v>2154</v>
      </c>
    </row>
    <row r="29" spans="2:10" ht="18" hidden="1" customHeight="1" outlineLevel="1" x14ac:dyDescent="0.2">
      <c r="B29" s="2830" t="s">
        <v>1161</v>
      </c>
      <c r="C29" s="2833"/>
      <c r="D29" s="2754" t="s">
        <v>2147</v>
      </c>
      <c r="E29" s="2755" t="s">
        <v>2147</v>
      </c>
      <c r="F29" s="2753" t="s">
        <v>2147</v>
      </c>
      <c r="G29" s="2754" t="s">
        <v>2147</v>
      </c>
      <c r="H29" s="2756" t="s">
        <v>2147</v>
      </c>
      <c r="I29" s="2753" t="s">
        <v>2147</v>
      </c>
      <c r="J29" s="3733" t="s">
        <v>2147</v>
      </c>
    </row>
    <row r="30" spans="2:10" ht="18" hidden="1" customHeight="1" outlineLevel="1" x14ac:dyDescent="0.2">
      <c r="B30" s="2834" t="s">
        <v>2147</v>
      </c>
      <c r="C30" s="2835" t="s">
        <v>2147</v>
      </c>
      <c r="D30" s="2757" t="s">
        <v>2147</v>
      </c>
      <c r="E30" s="2755" t="s">
        <v>2147</v>
      </c>
      <c r="F30" s="2753" t="s">
        <v>2147</v>
      </c>
      <c r="G30" s="2754" t="s">
        <v>2147</v>
      </c>
      <c r="H30" s="2794" t="s">
        <v>2147</v>
      </c>
      <c r="I30" s="2758" t="s">
        <v>2147</v>
      </c>
      <c r="J30" s="3744" t="s">
        <v>2147</v>
      </c>
    </row>
    <row r="31" spans="2:10" ht="18" hidden="1" customHeight="1" outlineLevel="1" x14ac:dyDescent="0.2">
      <c r="B31" s="2827" t="s">
        <v>1162</v>
      </c>
      <c r="C31" s="2828"/>
      <c r="D31" s="2797" t="s">
        <v>2154</v>
      </c>
      <c r="E31" s="2755" t="s">
        <v>2147</v>
      </c>
      <c r="F31" s="2798" t="s">
        <v>2147</v>
      </c>
      <c r="G31" s="2790" t="s">
        <v>2147</v>
      </c>
      <c r="H31" s="2791" t="s">
        <v>2154</v>
      </c>
      <c r="I31" s="2753" t="s">
        <v>2154</v>
      </c>
      <c r="J31" s="3733" t="s">
        <v>2154</v>
      </c>
    </row>
    <row r="32" spans="2:10" ht="18" hidden="1" customHeight="1" outlineLevel="1" x14ac:dyDescent="0.2">
      <c r="B32" s="2829" t="s">
        <v>200</v>
      </c>
      <c r="C32" s="2828"/>
      <c r="D32" s="2766"/>
      <c r="E32" s="2766"/>
      <c r="F32" s="2767"/>
      <c r="G32" s="2767"/>
      <c r="H32" s="2767"/>
      <c r="I32" s="2767"/>
      <c r="J32" s="3746"/>
    </row>
    <row r="33" spans="2:10" ht="18" hidden="1" customHeight="1" outlineLevel="1" x14ac:dyDescent="0.2">
      <c r="B33" s="2830" t="s">
        <v>1163</v>
      </c>
      <c r="C33" s="2835" t="s">
        <v>278</v>
      </c>
      <c r="D33" s="2757" t="s">
        <v>2154</v>
      </c>
      <c r="E33" s="2755" t="s">
        <v>2147</v>
      </c>
      <c r="F33" s="2753" t="s">
        <v>2147</v>
      </c>
      <c r="G33" s="2754" t="s">
        <v>2147</v>
      </c>
      <c r="H33" s="2765" t="s">
        <v>2154</v>
      </c>
      <c r="I33" s="2758" t="s">
        <v>2154</v>
      </c>
      <c r="J33" s="3744" t="s">
        <v>2154</v>
      </c>
    </row>
    <row r="34" spans="2:10" ht="18" hidden="1" customHeight="1" outlineLevel="1" x14ac:dyDescent="0.2">
      <c r="B34" s="2830" t="s">
        <v>1164</v>
      </c>
      <c r="C34" s="2828"/>
      <c r="D34" s="2754" t="s">
        <v>2147</v>
      </c>
      <c r="E34" s="2755" t="s">
        <v>2147</v>
      </c>
      <c r="F34" s="2753" t="s">
        <v>2147</v>
      </c>
      <c r="G34" s="2754" t="s">
        <v>2147</v>
      </c>
      <c r="H34" s="2756" t="s">
        <v>2147</v>
      </c>
      <c r="I34" s="2753" t="s">
        <v>2147</v>
      </c>
      <c r="J34" s="3733" t="s">
        <v>2147</v>
      </c>
    </row>
    <row r="35" spans="2:10" ht="18" hidden="1" customHeight="1" outlineLevel="1" x14ac:dyDescent="0.2">
      <c r="B35" s="2834" t="s">
        <v>2147</v>
      </c>
      <c r="C35" s="2835" t="s">
        <v>2147</v>
      </c>
      <c r="D35" s="2757" t="s">
        <v>2147</v>
      </c>
      <c r="E35" s="2755" t="s">
        <v>2147</v>
      </c>
      <c r="F35" s="2753" t="s">
        <v>2147</v>
      </c>
      <c r="G35" s="2754" t="s">
        <v>2147</v>
      </c>
      <c r="H35" s="2794" t="s">
        <v>2147</v>
      </c>
      <c r="I35" s="2758" t="s">
        <v>2147</v>
      </c>
      <c r="J35" s="3744" t="s">
        <v>2147</v>
      </c>
    </row>
    <row r="36" spans="2:10" ht="18" hidden="1" customHeight="1" outlineLevel="1" x14ac:dyDescent="0.2">
      <c r="B36" s="2829" t="s">
        <v>200</v>
      </c>
      <c r="C36" s="2828"/>
      <c r="D36" s="2766"/>
      <c r="E36" s="2766"/>
      <c r="F36" s="2767"/>
      <c r="G36" s="2767"/>
      <c r="H36" s="2767"/>
      <c r="I36" s="2767"/>
      <c r="J36" s="3746"/>
    </row>
    <row r="37" spans="2:10" ht="18" hidden="1" customHeight="1" outlineLevel="1" collapsed="1" x14ac:dyDescent="0.2">
      <c r="B37" s="2827" t="s">
        <v>1166</v>
      </c>
      <c r="C37" s="2828"/>
      <c r="D37" s="2790" t="s">
        <v>2154</v>
      </c>
      <c r="E37" s="2820" t="s">
        <v>2147</v>
      </c>
      <c r="F37" s="2798" t="s">
        <v>2147</v>
      </c>
      <c r="G37" s="2790" t="s">
        <v>2147</v>
      </c>
      <c r="H37" s="2791" t="s">
        <v>2154</v>
      </c>
      <c r="I37" s="2753" t="s">
        <v>2154</v>
      </c>
      <c r="J37" s="3733" t="s">
        <v>2154</v>
      </c>
    </row>
    <row r="38" spans="2:10" ht="18" hidden="1" customHeight="1" outlineLevel="2" x14ac:dyDescent="0.2">
      <c r="B38" s="2827" t="s">
        <v>1158</v>
      </c>
      <c r="C38" s="2828"/>
      <c r="D38" s="2790" t="s">
        <v>2154</v>
      </c>
      <c r="E38" s="2820" t="s">
        <v>2147</v>
      </c>
      <c r="F38" s="2798" t="s">
        <v>2147</v>
      </c>
      <c r="G38" s="2790" t="s">
        <v>2147</v>
      </c>
      <c r="H38" s="2791" t="s">
        <v>2154</v>
      </c>
      <c r="I38" s="2753" t="s">
        <v>2154</v>
      </c>
      <c r="J38" s="3733" t="s">
        <v>2154</v>
      </c>
    </row>
    <row r="39" spans="2:10" ht="18" hidden="1" customHeight="1" outlineLevel="2" x14ac:dyDescent="0.2">
      <c r="B39" s="2829" t="s">
        <v>200</v>
      </c>
      <c r="C39" s="2828"/>
      <c r="D39" s="2792"/>
      <c r="E39" s="2792"/>
      <c r="F39" s="2792"/>
      <c r="G39" s="2792"/>
      <c r="H39" s="2792"/>
      <c r="I39" s="2792"/>
      <c r="J39" s="3742"/>
    </row>
    <row r="40" spans="2:10" ht="18" hidden="1" customHeight="1" outlineLevel="2" x14ac:dyDescent="0.2">
      <c r="B40" s="2830" t="s">
        <v>1159</v>
      </c>
      <c r="C40" s="2831" t="s">
        <v>278</v>
      </c>
      <c r="D40" s="2793" t="s">
        <v>2146</v>
      </c>
      <c r="E40" s="2755" t="s">
        <v>2147</v>
      </c>
      <c r="F40" s="2798" t="s">
        <v>2147</v>
      </c>
      <c r="G40" s="2790" t="s">
        <v>2147</v>
      </c>
      <c r="H40" s="2794" t="s">
        <v>2146</v>
      </c>
      <c r="I40" s="2795" t="s">
        <v>2146</v>
      </c>
      <c r="J40" s="3743" t="s">
        <v>2146</v>
      </c>
    </row>
    <row r="41" spans="2:10" ht="18" hidden="1" customHeight="1" outlineLevel="2" x14ac:dyDescent="0.2">
      <c r="B41" s="2830" t="s">
        <v>1160</v>
      </c>
      <c r="C41" s="2832" t="s">
        <v>278</v>
      </c>
      <c r="D41" s="2793" t="s">
        <v>2154</v>
      </c>
      <c r="E41" s="2755" t="s">
        <v>2147</v>
      </c>
      <c r="F41" s="2798" t="s">
        <v>2147</v>
      </c>
      <c r="G41" s="2790" t="s">
        <v>2147</v>
      </c>
      <c r="H41" s="2794" t="s">
        <v>2154</v>
      </c>
      <c r="I41" s="2795" t="s">
        <v>2154</v>
      </c>
      <c r="J41" s="3743" t="s">
        <v>2154</v>
      </c>
    </row>
    <row r="42" spans="2:10" ht="18" hidden="1" customHeight="1" outlineLevel="2" x14ac:dyDescent="0.2">
      <c r="B42" s="2830" t="s">
        <v>1161</v>
      </c>
      <c r="C42" s="2833"/>
      <c r="D42" s="2754" t="s">
        <v>2147</v>
      </c>
      <c r="E42" s="2755" t="s">
        <v>2147</v>
      </c>
      <c r="F42" s="2753" t="s">
        <v>2147</v>
      </c>
      <c r="G42" s="2754" t="s">
        <v>2147</v>
      </c>
      <c r="H42" s="2756" t="s">
        <v>2147</v>
      </c>
      <c r="I42" s="2753" t="s">
        <v>2147</v>
      </c>
      <c r="J42" s="3733" t="s">
        <v>2147</v>
      </c>
    </row>
    <row r="43" spans="2:10" ht="18" hidden="1" customHeight="1" outlineLevel="2" x14ac:dyDescent="0.2">
      <c r="B43" s="2834" t="s">
        <v>2147</v>
      </c>
      <c r="C43" s="2835" t="s">
        <v>2147</v>
      </c>
      <c r="D43" s="2757" t="s">
        <v>2147</v>
      </c>
      <c r="E43" s="2755" t="s">
        <v>2147</v>
      </c>
      <c r="F43" s="2753" t="s">
        <v>2147</v>
      </c>
      <c r="G43" s="2754" t="s">
        <v>2147</v>
      </c>
      <c r="H43" s="2794" t="s">
        <v>2147</v>
      </c>
      <c r="I43" s="2758" t="s">
        <v>2147</v>
      </c>
      <c r="J43" s="3744" t="s">
        <v>2147</v>
      </c>
    </row>
    <row r="44" spans="2:10" ht="18" hidden="1" customHeight="1" outlineLevel="2" x14ac:dyDescent="0.2">
      <c r="B44" s="2827" t="s">
        <v>1162</v>
      </c>
      <c r="C44" s="2828"/>
      <c r="D44" s="2797" t="s">
        <v>2154</v>
      </c>
      <c r="E44" s="2755" t="s">
        <v>2147</v>
      </c>
      <c r="F44" s="2798" t="s">
        <v>2147</v>
      </c>
      <c r="G44" s="2790" t="s">
        <v>2147</v>
      </c>
      <c r="H44" s="2791" t="s">
        <v>2154</v>
      </c>
      <c r="I44" s="2753" t="s">
        <v>2154</v>
      </c>
      <c r="J44" s="3733" t="s">
        <v>2154</v>
      </c>
    </row>
    <row r="45" spans="2:10" ht="18" hidden="1" customHeight="1" outlineLevel="2" x14ac:dyDescent="0.2">
      <c r="B45" s="2829" t="s">
        <v>200</v>
      </c>
      <c r="C45" s="2828"/>
      <c r="D45" s="2766"/>
      <c r="E45" s="2766"/>
      <c r="F45" s="2767"/>
      <c r="G45" s="2767"/>
      <c r="H45" s="2767"/>
      <c r="I45" s="2767"/>
      <c r="J45" s="3746"/>
    </row>
    <row r="46" spans="2:10" ht="18" hidden="1" customHeight="1" outlineLevel="2" x14ac:dyDescent="0.2">
      <c r="B46" s="2830" t="s">
        <v>1163</v>
      </c>
      <c r="C46" s="2835" t="s">
        <v>278</v>
      </c>
      <c r="D46" s="2757" t="s">
        <v>2154</v>
      </c>
      <c r="E46" s="2755" t="s">
        <v>2147</v>
      </c>
      <c r="F46" s="2753" t="s">
        <v>2147</v>
      </c>
      <c r="G46" s="2754" t="s">
        <v>2147</v>
      </c>
      <c r="H46" s="2765" t="s">
        <v>2154</v>
      </c>
      <c r="I46" s="2758" t="s">
        <v>2154</v>
      </c>
      <c r="J46" s="3744" t="s">
        <v>2154</v>
      </c>
    </row>
    <row r="47" spans="2:10" ht="18" hidden="1" customHeight="1" outlineLevel="2" x14ac:dyDescent="0.2">
      <c r="B47" s="2830" t="s">
        <v>1164</v>
      </c>
      <c r="C47" s="2828"/>
      <c r="D47" s="2754" t="s">
        <v>2147</v>
      </c>
      <c r="E47" s="2755" t="s">
        <v>2147</v>
      </c>
      <c r="F47" s="2753" t="s">
        <v>2147</v>
      </c>
      <c r="G47" s="2754" t="s">
        <v>2147</v>
      </c>
      <c r="H47" s="2756" t="s">
        <v>2147</v>
      </c>
      <c r="I47" s="2753" t="s">
        <v>2147</v>
      </c>
      <c r="J47" s="3733" t="s">
        <v>2147</v>
      </c>
    </row>
    <row r="48" spans="2:10" ht="18" hidden="1" customHeight="1" outlineLevel="2" x14ac:dyDescent="0.2">
      <c r="B48" s="2834" t="s">
        <v>2147</v>
      </c>
      <c r="C48" s="2835" t="s">
        <v>2147</v>
      </c>
      <c r="D48" s="2757" t="s">
        <v>2147</v>
      </c>
      <c r="E48" s="2755" t="s">
        <v>2147</v>
      </c>
      <c r="F48" s="2753" t="s">
        <v>2147</v>
      </c>
      <c r="G48" s="2754" t="s">
        <v>2147</v>
      </c>
      <c r="H48" s="2794" t="s">
        <v>2147</v>
      </c>
      <c r="I48" s="2758" t="s">
        <v>2147</v>
      </c>
      <c r="J48" s="3744" t="s">
        <v>2147</v>
      </c>
    </row>
    <row r="49" spans="2:10" ht="18" hidden="1" customHeight="1" outlineLevel="1" collapsed="1" x14ac:dyDescent="0.2">
      <c r="B49" s="2836" t="s">
        <v>1167</v>
      </c>
      <c r="C49" s="2837"/>
      <c r="D49" s="2790" t="s">
        <v>2154</v>
      </c>
      <c r="E49" s="2820" t="s">
        <v>2147</v>
      </c>
      <c r="F49" s="2798" t="s">
        <v>2147</v>
      </c>
      <c r="G49" s="2790" t="s">
        <v>2147</v>
      </c>
      <c r="H49" s="2791" t="s">
        <v>2154</v>
      </c>
      <c r="I49" s="2753" t="s">
        <v>2154</v>
      </c>
      <c r="J49" s="3733" t="s">
        <v>2154</v>
      </c>
    </row>
    <row r="50" spans="2:10" ht="18" hidden="1" customHeight="1" outlineLevel="2" x14ac:dyDescent="0.2">
      <c r="B50" s="2827" t="s">
        <v>1158</v>
      </c>
      <c r="C50" s="2828"/>
      <c r="D50" s="2790" t="s">
        <v>2154</v>
      </c>
      <c r="E50" s="2820" t="s">
        <v>2147</v>
      </c>
      <c r="F50" s="2798" t="s">
        <v>2147</v>
      </c>
      <c r="G50" s="2790" t="s">
        <v>2147</v>
      </c>
      <c r="H50" s="2791" t="s">
        <v>2154</v>
      </c>
      <c r="I50" s="2753" t="s">
        <v>2154</v>
      </c>
      <c r="J50" s="3733" t="s">
        <v>2154</v>
      </c>
    </row>
    <row r="51" spans="2:10" ht="18" hidden="1" customHeight="1" outlineLevel="2" x14ac:dyDescent="0.2">
      <c r="B51" s="2829" t="s">
        <v>200</v>
      </c>
      <c r="C51" s="2828"/>
      <c r="D51" s="2792"/>
      <c r="E51" s="2792"/>
      <c r="F51" s="2792"/>
      <c r="G51" s="2792"/>
      <c r="H51" s="2792"/>
      <c r="I51" s="2792"/>
      <c r="J51" s="3742"/>
    </row>
    <row r="52" spans="2:10" ht="18" hidden="1" customHeight="1" outlineLevel="2" x14ac:dyDescent="0.2">
      <c r="B52" s="2830" t="s">
        <v>1159</v>
      </c>
      <c r="C52" s="2831" t="s">
        <v>278</v>
      </c>
      <c r="D52" s="2793" t="s">
        <v>2146</v>
      </c>
      <c r="E52" s="2755" t="s">
        <v>2147</v>
      </c>
      <c r="F52" s="2798" t="s">
        <v>2147</v>
      </c>
      <c r="G52" s="2790" t="s">
        <v>2147</v>
      </c>
      <c r="H52" s="2794" t="s">
        <v>2146</v>
      </c>
      <c r="I52" s="2795" t="s">
        <v>2146</v>
      </c>
      <c r="J52" s="3743" t="s">
        <v>2146</v>
      </c>
    </row>
    <row r="53" spans="2:10" ht="18" hidden="1" customHeight="1" outlineLevel="2" x14ac:dyDescent="0.2">
      <c r="B53" s="2830" t="s">
        <v>1160</v>
      </c>
      <c r="C53" s="2832" t="s">
        <v>278</v>
      </c>
      <c r="D53" s="2793" t="s">
        <v>2154</v>
      </c>
      <c r="E53" s="2755" t="s">
        <v>2147</v>
      </c>
      <c r="F53" s="2798" t="s">
        <v>2147</v>
      </c>
      <c r="G53" s="2790" t="s">
        <v>2147</v>
      </c>
      <c r="H53" s="2794" t="s">
        <v>2154</v>
      </c>
      <c r="I53" s="2795" t="s">
        <v>2154</v>
      </c>
      <c r="J53" s="3743" t="s">
        <v>2154</v>
      </c>
    </row>
    <row r="54" spans="2:10" ht="18" hidden="1" customHeight="1" outlineLevel="2" x14ac:dyDescent="0.2">
      <c r="B54" s="2830" t="s">
        <v>1161</v>
      </c>
      <c r="C54" s="2833"/>
      <c r="D54" s="2754" t="s">
        <v>2147</v>
      </c>
      <c r="E54" s="2755" t="s">
        <v>2147</v>
      </c>
      <c r="F54" s="2753" t="s">
        <v>2147</v>
      </c>
      <c r="G54" s="2754" t="s">
        <v>2147</v>
      </c>
      <c r="H54" s="2756" t="s">
        <v>2147</v>
      </c>
      <c r="I54" s="2753" t="s">
        <v>2147</v>
      </c>
      <c r="J54" s="3733" t="s">
        <v>2147</v>
      </c>
    </row>
    <row r="55" spans="2:10" ht="18" hidden="1" customHeight="1" outlineLevel="2" x14ac:dyDescent="0.2">
      <c r="B55" s="2834" t="s">
        <v>2147</v>
      </c>
      <c r="C55" s="2835" t="s">
        <v>2147</v>
      </c>
      <c r="D55" s="2757" t="s">
        <v>2147</v>
      </c>
      <c r="E55" s="2755" t="s">
        <v>2147</v>
      </c>
      <c r="F55" s="2753" t="s">
        <v>2147</v>
      </c>
      <c r="G55" s="2754" t="s">
        <v>2147</v>
      </c>
      <c r="H55" s="2794" t="s">
        <v>2147</v>
      </c>
      <c r="I55" s="2758" t="s">
        <v>2147</v>
      </c>
      <c r="J55" s="3744" t="s">
        <v>2147</v>
      </c>
    </row>
    <row r="56" spans="2:10" ht="18" hidden="1" customHeight="1" outlineLevel="2" x14ac:dyDescent="0.2">
      <c r="B56" s="2827" t="s">
        <v>1162</v>
      </c>
      <c r="C56" s="2828"/>
      <c r="D56" s="2797" t="s">
        <v>2154</v>
      </c>
      <c r="E56" s="2755" t="s">
        <v>2147</v>
      </c>
      <c r="F56" s="2798" t="s">
        <v>2147</v>
      </c>
      <c r="G56" s="2790" t="s">
        <v>2147</v>
      </c>
      <c r="H56" s="2791" t="s">
        <v>2154</v>
      </c>
      <c r="I56" s="2753" t="s">
        <v>2154</v>
      </c>
      <c r="J56" s="3733" t="s">
        <v>2154</v>
      </c>
    </row>
    <row r="57" spans="2:10" ht="18" hidden="1" customHeight="1" outlineLevel="2" x14ac:dyDescent="0.2">
      <c r="B57" s="2829" t="s">
        <v>200</v>
      </c>
      <c r="C57" s="2828"/>
      <c r="D57" s="2766"/>
      <c r="E57" s="2766"/>
      <c r="F57" s="2767"/>
      <c r="G57" s="2767"/>
      <c r="H57" s="2767"/>
      <c r="I57" s="2767"/>
      <c r="J57" s="3746"/>
    </row>
    <row r="58" spans="2:10" ht="18" hidden="1" customHeight="1" outlineLevel="2" x14ac:dyDescent="0.2">
      <c r="B58" s="2830" t="s">
        <v>1163</v>
      </c>
      <c r="C58" s="2835" t="s">
        <v>278</v>
      </c>
      <c r="D58" s="2757" t="s">
        <v>2154</v>
      </c>
      <c r="E58" s="2755" t="s">
        <v>2147</v>
      </c>
      <c r="F58" s="2753" t="s">
        <v>2147</v>
      </c>
      <c r="G58" s="2754" t="s">
        <v>2147</v>
      </c>
      <c r="H58" s="2765" t="s">
        <v>2154</v>
      </c>
      <c r="I58" s="2758" t="s">
        <v>2154</v>
      </c>
      <c r="J58" s="3744" t="s">
        <v>2154</v>
      </c>
    </row>
    <row r="59" spans="2:10" ht="18" hidden="1" customHeight="1" outlineLevel="2" x14ac:dyDescent="0.2">
      <c r="B59" s="2830" t="s">
        <v>1164</v>
      </c>
      <c r="C59" s="2828"/>
      <c r="D59" s="2754" t="s">
        <v>2147</v>
      </c>
      <c r="E59" s="2755" t="s">
        <v>2147</v>
      </c>
      <c r="F59" s="2753" t="s">
        <v>2147</v>
      </c>
      <c r="G59" s="2754" t="s">
        <v>2147</v>
      </c>
      <c r="H59" s="2756" t="s">
        <v>2147</v>
      </c>
      <c r="I59" s="2753" t="s">
        <v>2147</v>
      </c>
      <c r="J59" s="3733" t="s">
        <v>2147</v>
      </c>
    </row>
    <row r="60" spans="2:10" ht="18" hidden="1" customHeight="1" outlineLevel="2" x14ac:dyDescent="0.2">
      <c r="B60" s="2834" t="s">
        <v>2147</v>
      </c>
      <c r="C60" s="2835" t="s">
        <v>2147</v>
      </c>
      <c r="D60" s="2757" t="s">
        <v>2147</v>
      </c>
      <c r="E60" s="2755" t="s">
        <v>2147</v>
      </c>
      <c r="F60" s="2753" t="s">
        <v>2147</v>
      </c>
      <c r="G60" s="2754" t="s">
        <v>2147</v>
      </c>
      <c r="H60" s="2794" t="s">
        <v>2147</v>
      </c>
      <c r="I60" s="2758" t="s">
        <v>2147</v>
      </c>
      <c r="J60" s="3744" t="s">
        <v>2147</v>
      </c>
    </row>
    <row r="61" spans="2:10" ht="18" hidden="1" customHeight="1" outlineLevel="1" collapsed="1" x14ac:dyDescent="0.2">
      <c r="B61" s="2836" t="s">
        <v>1168</v>
      </c>
      <c r="C61" s="2837"/>
      <c r="D61" s="2790" t="s">
        <v>2154</v>
      </c>
      <c r="E61" s="2820" t="s">
        <v>2147</v>
      </c>
      <c r="F61" s="2798" t="s">
        <v>2147</v>
      </c>
      <c r="G61" s="2790" t="s">
        <v>2147</v>
      </c>
      <c r="H61" s="2791" t="s">
        <v>2154</v>
      </c>
      <c r="I61" s="2753" t="s">
        <v>2154</v>
      </c>
      <c r="J61" s="3733" t="s">
        <v>2154</v>
      </c>
    </row>
    <row r="62" spans="2:10" ht="18" hidden="1" customHeight="1" outlineLevel="2" x14ac:dyDescent="0.2">
      <c r="B62" s="2827" t="s">
        <v>1158</v>
      </c>
      <c r="C62" s="2828"/>
      <c r="D62" s="2790" t="s">
        <v>2154</v>
      </c>
      <c r="E62" s="2820" t="s">
        <v>2147</v>
      </c>
      <c r="F62" s="2798" t="s">
        <v>2147</v>
      </c>
      <c r="G62" s="2790" t="s">
        <v>2147</v>
      </c>
      <c r="H62" s="2791" t="s">
        <v>2154</v>
      </c>
      <c r="I62" s="2753" t="s">
        <v>2154</v>
      </c>
      <c r="J62" s="3733" t="s">
        <v>2154</v>
      </c>
    </row>
    <row r="63" spans="2:10" ht="18" hidden="1" customHeight="1" outlineLevel="2" x14ac:dyDescent="0.2">
      <c r="B63" s="2829" t="s">
        <v>200</v>
      </c>
      <c r="C63" s="2828"/>
      <c r="D63" s="2792"/>
      <c r="E63" s="2792"/>
      <c r="F63" s="2792"/>
      <c r="G63" s="2792"/>
      <c r="H63" s="2792"/>
      <c r="I63" s="2792"/>
      <c r="J63" s="3742"/>
    </row>
    <row r="64" spans="2:10" ht="18" hidden="1" customHeight="1" outlineLevel="2" x14ac:dyDescent="0.2">
      <c r="B64" s="2830" t="s">
        <v>1159</v>
      </c>
      <c r="C64" s="2831" t="s">
        <v>278</v>
      </c>
      <c r="D64" s="2793" t="s">
        <v>2146</v>
      </c>
      <c r="E64" s="2755" t="s">
        <v>2147</v>
      </c>
      <c r="F64" s="2798" t="s">
        <v>2147</v>
      </c>
      <c r="G64" s="2790" t="s">
        <v>2147</v>
      </c>
      <c r="H64" s="2794" t="s">
        <v>2146</v>
      </c>
      <c r="I64" s="2795" t="s">
        <v>2146</v>
      </c>
      <c r="J64" s="3743" t="s">
        <v>2146</v>
      </c>
    </row>
    <row r="65" spans="2:10" ht="18" hidden="1" customHeight="1" outlineLevel="2" x14ac:dyDescent="0.2">
      <c r="B65" s="2830" t="s">
        <v>1160</v>
      </c>
      <c r="C65" s="2832" t="s">
        <v>278</v>
      </c>
      <c r="D65" s="2793" t="s">
        <v>2154</v>
      </c>
      <c r="E65" s="2755" t="s">
        <v>2147</v>
      </c>
      <c r="F65" s="2798" t="s">
        <v>2147</v>
      </c>
      <c r="G65" s="2790" t="s">
        <v>2147</v>
      </c>
      <c r="H65" s="2794" t="s">
        <v>2154</v>
      </c>
      <c r="I65" s="2795" t="s">
        <v>2154</v>
      </c>
      <c r="J65" s="3743" t="s">
        <v>2154</v>
      </c>
    </row>
    <row r="66" spans="2:10" ht="18" hidden="1" customHeight="1" outlineLevel="2" x14ac:dyDescent="0.2">
      <c r="B66" s="2830" t="s">
        <v>1161</v>
      </c>
      <c r="C66" s="2833"/>
      <c r="D66" s="2754" t="s">
        <v>2147</v>
      </c>
      <c r="E66" s="2755" t="s">
        <v>2147</v>
      </c>
      <c r="F66" s="2753" t="s">
        <v>2147</v>
      </c>
      <c r="G66" s="2754" t="s">
        <v>2147</v>
      </c>
      <c r="H66" s="2756" t="s">
        <v>2147</v>
      </c>
      <c r="I66" s="2753" t="s">
        <v>2147</v>
      </c>
      <c r="J66" s="3733" t="s">
        <v>2147</v>
      </c>
    </row>
    <row r="67" spans="2:10" ht="18" hidden="1" customHeight="1" outlineLevel="2" x14ac:dyDescent="0.2">
      <c r="B67" s="2834" t="s">
        <v>2147</v>
      </c>
      <c r="C67" s="2835" t="s">
        <v>2147</v>
      </c>
      <c r="D67" s="2757" t="s">
        <v>2147</v>
      </c>
      <c r="E67" s="2755" t="s">
        <v>2147</v>
      </c>
      <c r="F67" s="2753" t="s">
        <v>2147</v>
      </c>
      <c r="G67" s="2754" t="s">
        <v>2147</v>
      </c>
      <c r="H67" s="2794" t="s">
        <v>2147</v>
      </c>
      <c r="I67" s="2758" t="s">
        <v>2147</v>
      </c>
      <c r="J67" s="3744" t="s">
        <v>2147</v>
      </c>
    </row>
    <row r="68" spans="2:10" ht="18" hidden="1" customHeight="1" outlineLevel="2" x14ac:dyDescent="0.2">
      <c r="B68" s="2827" t="s">
        <v>1162</v>
      </c>
      <c r="C68" s="2828"/>
      <c r="D68" s="2797" t="s">
        <v>2154</v>
      </c>
      <c r="E68" s="2755" t="s">
        <v>2147</v>
      </c>
      <c r="F68" s="2798" t="s">
        <v>2147</v>
      </c>
      <c r="G68" s="2790" t="s">
        <v>2147</v>
      </c>
      <c r="H68" s="2791" t="s">
        <v>2154</v>
      </c>
      <c r="I68" s="2753" t="s">
        <v>2154</v>
      </c>
      <c r="J68" s="3733" t="s">
        <v>2154</v>
      </c>
    </row>
    <row r="69" spans="2:10" ht="18" hidden="1" customHeight="1" outlineLevel="2" x14ac:dyDescent="0.2">
      <c r="B69" s="2829" t="s">
        <v>200</v>
      </c>
      <c r="C69" s="2828"/>
      <c r="D69" s="2766"/>
      <c r="E69" s="2766"/>
      <c r="F69" s="2767"/>
      <c r="G69" s="2767"/>
      <c r="H69" s="2767"/>
      <c r="I69" s="2767"/>
      <c r="J69" s="3746"/>
    </row>
    <row r="70" spans="2:10" ht="18" hidden="1" customHeight="1" outlineLevel="2" x14ac:dyDescent="0.2">
      <c r="B70" s="2830" t="s">
        <v>1163</v>
      </c>
      <c r="C70" s="2835" t="s">
        <v>278</v>
      </c>
      <c r="D70" s="2757" t="s">
        <v>2154</v>
      </c>
      <c r="E70" s="2755" t="s">
        <v>2147</v>
      </c>
      <c r="F70" s="2753" t="s">
        <v>2147</v>
      </c>
      <c r="G70" s="2754" t="s">
        <v>2147</v>
      </c>
      <c r="H70" s="2765" t="s">
        <v>2154</v>
      </c>
      <c r="I70" s="2758" t="s">
        <v>2154</v>
      </c>
      <c r="J70" s="3744" t="s">
        <v>2154</v>
      </c>
    </row>
    <row r="71" spans="2:10" ht="18" hidden="1" customHeight="1" outlineLevel="2" x14ac:dyDescent="0.2">
      <c r="B71" s="2830" t="s">
        <v>1164</v>
      </c>
      <c r="C71" s="2828"/>
      <c r="D71" s="2754" t="s">
        <v>2147</v>
      </c>
      <c r="E71" s="2755" t="s">
        <v>2147</v>
      </c>
      <c r="F71" s="2753" t="s">
        <v>2147</v>
      </c>
      <c r="G71" s="2754" t="s">
        <v>2147</v>
      </c>
      <c r="H71" s="2756" t="s">
        <v>2147</v>
      </c>
      <c r="I71" s="2753" t="s">
        <v>2147</v>
      </c>
      <c r="J71" s="3733" t="s">
        <v>2147</v>
      </c>
    </row>
    <row r="72" spans="2:10" ht="18" hidden="1" customHeight="1" outlineLevel="2" x14ac:dyDescent="0.2">
      <c r="B72" s="2834" t="s">
        <v>2147</v>
      </c>
      <c r="C72" s="2835" t="s">
        <v>2147</v>
      </c>
      <c r="D72" s="2757" t="s">
        <v>2147</v>
      </c>
      <c r="E72" s="2755" t="s">
        <v>2147</v>
      </c>
      <c r="F72" s="2753" t="s">
        <v>2147</v>
      </c>
      <c r="G72" s="2754" t="s">
        <v>2147</v>
      </c>
      <c r="H72" s="2794" t="s">
        <v>2147</v>
      </c>
      <c r="I72" s="2758" t="s">
        <v>2147</v>
      </c>
      <c r="J72" s="3744" t="s">
        <v>2147</v>
      </c>
    </row>
    <row r="73" spans="2:10" ht="18" hidden="1" customHeight="1" outlineLevel="1" collapsed="1" x14ac:dyDescent="0.2">
      <c r="B73" s="2836" t="s">
        <v>1169</v>
      </c>
      <c r="C73" s="2837"/>
      <c r="D73" s="2790" t="s">
        <v>2154</v>
      </c>
      <c r="E73" s="2820" t="s">
        <v>2147</v>
      </c>
      <c r="F73" s="2798" t="s">
        <v>2147</v>
      </c>
      <c r="G73" s="2790" t="s">
        <v>2147</v>
      </c>
      <c r="H73" s="2791" t="s">
        <v>2154</v>
      </c>
      <c r="I73" s="2753" t="s">
        <v>2154</v>
      </c>
      <c r="J73" s="3733" t="s">
        <v>2154</v>
      </c>
    </row>
    <row r="74" spans="2:10" ht="18" hidden="1" customHeight="1" outlineLevel="2" x14ac:dyDescent="0.2">
      <c r="B74" s="2827" t="s">
        <v>1158</v>
      </c>
      <c r="C74" s="2828"/>
      <c r="D74" s="2790" t="s">
        <v>2154</v>
      </c>
      <c r="E74" s="2820" t="s">
        <v>2147</v>
      </c>
      <c r="F74" s="2798" t="s">
        <v>2147</v>
      </c>
      <c r="G74" s="2790" t="s">
        <v>2147</v>
      </c>
      <c r="H74" s="2791" t="s">
        <v>2154</v>
      </c>
      <c r="I74" s="2753" t="s">
        <v>2154</v>
      </c>
      <c r="J74" s="3733" t="s">
        <v>2154</v>
      </c>
    </row>
    <row r="75" spans="2:10" ht="18" hidden="1" customHeight="1" outlineLevel="2" x14ac:dyDescent="0.2">
      <c r="B75" s="2829" t="s">
        <v>200</v>
      </c>
      <c r="C75" s="2828"/>
      <c r="D75" s="2792"/>
      <c r="E75" s="2792"/>
      <c r="F75" s="2792"/>
      <c r="G75" s="2792"/>
      <c r="H75" s="2792"/>
      <c r="I75" s="2792"/>
      <c r="J75" s="3742"/>
    </row>
    <row r="76" spans="2:10" ht="18" hidden="1" customHeight="1" outlineLevel="2" x14ac:dyDescent="0.2">
      <c r="B76" s="2830" t="s">
        <v>1159</v>
      </c>
      <c r="C76" s="2831" t="s">
        <v>278</v>
      </c>
      <c r="D76" s="2793" t="s">
        <v>2146</v>
      </c>
      <c r="E76" s="2755" t="s">
        <v>2147</v>
      </c>
      <c r="F76" s="2798" t="s">
        <v>2147</v>
      </c>
      <c r="G76" s="2790" t="s">
        <v>2147</v>
      </c>
      <c r="H76" s="2794" t="s">
        <v>2146</v>
      </c>
      <c r="I76" s="2795" t="s">
        <v>2146</v>
      </c>
      <c r="J76" s="3743" t="s">
        <v>2146</v>
      </c>
    </row>
    <row r="77" spans="2:10" ht="18" hidden="1" customHeight="1" outlineLevel="2" x14ac:dyDescent="0.2">
      <c r="B77" s="2830" t="s">
        <v>1160</v>
      </c>
      <c r="C77" s="2832" t="s">
        <v>278</v>
      </c>
      <c r="D77" s="2793" t="s">
        <v>2154</v>
      </c>
      <c r="E77" s="2755" t="s">
        <v>2147</v>
      </c>
      <c r="F77" s="2798" t="s">
        <v>2147</v>
      </c>
      <c r="G77" s="2790" t="s">
        <v>2147</v>
      </c>
      <c r="H77" s="2794" t="s">
        <v>2154</v>
      </c>
      <c r="I77" s="2795" t="s">
        <v>2154</v>
      </c>
      <c r="J77" s="3743" t="s">
        <v>2154</v>
      </c>
    </row>
    <row r="78" spans="2:10" ht="18" hidden="1" customHeight="1" outlineLevel="2" x14ac:dyDescent="0.2">
      <c r="B78" s="2830" t="s">
        <v>1161</v>
      </c>
      <c r="C78" s="2833"/>
      <c r="D78" s="2754" t="s">
        <v>2147</v>
      </c>
      <c r="E78" s="2755" t="s">
        <v>2147</v>
      </c>
      <c r="F78" s="2753" t="s">
        <v>2147</v>
      </c>
      <c r="G78" s="2754" t="s">
        <v>2147</v>
      </c>
      <c r="H78" s="2756" t="s">
        <v>2147</v>
      </c>
      <c r="I78" s="2753" t="s">
        <v>2147</v>
      </c>
      <c r="J78" s="3733" t="s">
        <v>2147</v>
      </c>
    </row>
    <row r="79" spans="2:10" ht="18" hidden="1" customHeight="1" outlineLevel="2" x14ac:dyDescent="0.2">
      <c r="B79" s="2834" t="s">
        <v>2147</v>
      </c>
      <c r="C79" s="2835" t="s">
        <v>2147</v>
      </c>
      <c r="D79" s="2757" t="s">
        <v>2147</v>
      </c>
      <c r="E79" s="2755" t="s">
        <v>2147</v>
      </c>
      <c r="F79" s="2753" t="s">
        <v>2147</v>
      </c>
      <c r="G79" s="2754" t="s">
        <v>2147</v>
      </c>
      <c r="H79" s="2794" t="s">
        <v>2147</v>
      </c>
      <c r="I79" s="2758" t="s">
        <v>2147</v>
      </c>
      <c r="J79" s="3744" t="s">
        <v>2147</v>
      </c>
    </row>
    <row r="80" spans="2:10" ht="18" hidden="1" customHeight="1" outlineLevel="2" x14ac:dyDescent="0.2">
      <c r="B80" s="2827" t="s">
        <v>1162</v>
      </c>
      <c r="C80" s="2828"/>
      <c r="D80" s="2797" t="s">
        <v>2154</v>
      </c>
      <c r="E80" s="2755" t="s">
        <v>2147</v>
      </c>
      <c r="F80" s="2798" t="s">
        <v>2147</v>
      </c>
      <c r="G80" s="2790" t="s">
        <v>2147</v>
      </c>
      <c r="H80" s="2791" t="s">
        <v>2154</v>
      </c>
      <c r="I80" s="2753" t="s">
        <v>2154</v>
      </c>
      <c r="J80" s="3733" t="s">
        <v>2154</v>
      </c>
    </row>
    <row r="81" spans="2:10" ht="18" hidden="1" customHeight="1" outlineLevel="2" x14ac:dyDescent="0.2">
      <c r="B81" s="2829" t="s">
        <v>200</v>
      </c>
      <c r="C81" s="2828"/>
      <c r="D81" s="2766"/>
      <c r="E81" s="2766"/>
      <c r="F81" s="2767"/>
      <c r="G81" s="2767"/>
      <c r="H81" s="2767"/>
      <c r="I81" s="2767"/>
      <c r="J81" s="3746"/>
    </row>
    <row r="82" spans="2:10" ht="18" hidden="1" customHeight="1" outlineLevel="2" x14ac:dyDescent="0.2">
      <c r="B82" s="2830" t="s">
        <v>1163</v>
      </c>
      <c r="C82" s="2835" t="s">
        <v>278</v>
      </c>
      <c r="D82" s="2757" t="s">
        <v>2154</v>
      </c>
      <c r="E82" s="2755" t="s">
        <v>2147</v>
      </c>
      <c r="F82" s="2753" t="s">
        <v>2147</v>
      </c>
      <c r="G82" s="2754" t="s">
        <v>2147</v>
      </c>
      <c r="H82" s="2765" t="s">
        <v>2154</v>
      </c>
      <c r="I82" s="2758" t="s">
        <v>2154</v>
      </c>
      <c r="J82" s="3744" t="s">
        <v>2154</v>
      </c>
    </row>
    <row r="83" spans="2:10" ht="18" hidden="1" customHeight="1" outlineLevel="2" x14ac:dyDescent="0.2">
      <c r="B83" s="2830" t="s">
        <v>1164</v>
      </c>
      <c r="C83" s="2828"/>
      <c r="D83" s="2754" t="s">
        <v>2147</v>
      </c>
      <c r="E83" s="2755" t="s">
        <v>2147</v>
      </c>
      <c r="F83" s="2753" t="s">
        <v>2147</v>
      </c>
      <c r="G83" s="2754" t="s">
        <v>2147</v>
      </c>
      <c r="H83" s="2756" t="s">
        <v>2147</v>
      </c>
      <c r="I83" s="2753" t="s">
        <v>2147</v>
      </c>
      <c r="J83" s="3733" t="s">
        <v>2147</v>
      </c>
    </row>
    <row r="84" spans="2:10" ht="18" hidden="1" customHeight="1" outlineLevel="2" x14ac:dyDescent="0.2">
      <c r="B84" s="2834" t="s">
        <v>2147</v>
      </c>
      <c r="C84" s="2835" t="s">
        <v>2147</v>
      </c>
      <c r="D84" s="2757" t="s">
        <v>2147</v>
      </c>
      <c r="E84" s="2755" t="s">
        <v>2147</v>
      </c>
      <c r="F84" s="2753" t="s">
        <v>2147</v>
      </c>
      <c r="G84" s="2754" t="s">
        <v>2147</v>
      </c>
      <c r="H84" s="2794" t="s">
        <v>2147</v>
      </c>
      <c r="I84" s="2758" t="s">
        <v>2147</v>
      </c>
      <c r="J84" s="3744" t="s">
        <v>2147</v>
      </c>
    </row>
    <row r="85" spans="2:10" ht="18" hidden="1" customHeight="1" outlineLevel="1" collapsed="1" thickBot="1" x14ac:dyDescent="0.25">
      <c r="B85" s="2836" t="s">
        <v>1170</v>
      </c>
      <c r="C85" s="2837"/>
      <c r="D85" s="2790" t="s">
        <v>2154</v>
      </c>
      <c r="E85" s="2820" t="s">
        <v>2147</v>
      </c>
      <c r="F85" s="2798" t="s">
        <v>2147</v>
      </c>
      <c r="G85" s="2790" t="s">
        <v>2147</v>
      </c>
      <c r="H85" s="2791" t="s">
        <v>2154</v>
      </c>
      <c r="I85" s="2753" t="s">
        <v>2154</v>
      </c>
      <c r="J85" s="3733" t="s">
        <v>2154</v>
      </c>
    </row>
    <row r="86" spans="2:10" ht="18" hidden="1" customHeight="1" outlineLevel="2" x14ac:dyDescent="0.2">
      <c r="B86" s="2827" t="s">
        <v>1158</v>
      </c>
      <c r="C86" s="2828"/>
      <c r="D86" s="2790" t="s">
        <v>2146</v>
      </c>
      <c r="E86" s="2820" t="s">
        <v>2147</v>
      </c>
      <c r="F86" s="2798" t="s">
        <v>2147</v>
      </c>
      <c r="G86" s="2790" t="s">
        <v>2147</v>
      </c>
      <c r="H86" s="2791" t="s">
        <v>2146</v>
      </c>
      <c r="I86" s="2753" t="s">
        <v>2146</v>
      </c>
      <c r="J86" s="3733" t="s">
        <v>2146</v>
      </c>
    </row>
    <row r="87" spans="2:10" ht="18" hidden="1" customHeight="1" outlineLevel="2" x14ac:dyDescent="0.2">
      <c r="B87" s="2829" t="s">
        <v>200</v>
      </c>
      <c r="C87" s="2828"/>
      <c r="D87" s="2792"/>
      <c r="E87" s="2792"/>
      <c r="F87" s="2792"/>
      <c r="G87" s="2792"/>
      <c r="H87" s="2792"/>
      <c r="I87" s="2792"/>
      <c r="J87" s="3742"/>
    </row>
    <row r="88" spans="2:10" ht="18" hidden="1" customHeight="1" outlineLevel="2" x14ac:dyDescent="0.2">
      <c r="B88" s="2830" t="s">
        <v>1159</v>
      </c>
      <c r="C88" s="2831" t="s">
        <v>278</v>
      </c>
      <c r="D88" s="2793" t="s">
        <v>2146</v>
      </c>
      <c r="E88" s="2755" t="s">
        <v>2147</v>
      </c>
      <c r="F88" s="2798" t="s">
        <v>2147</v>
      </c>
      <c r="G88" s="2790" t="s">
        <v>2147</v>
      </c>
      <c r="H88" s="2794" t="s">
        <v>2146</v>
      </c>
      <c r="I88" s="2795" t="s">
        <v>2146</v>
      </c>
      <c r="J88" s="3743" t="s">
        <v>2146</v>
      </c>
    </row>
    <row r="89" spans="2:10" ht="18" hidden="1" customHeight="1" outlineLevel="2" x14ac:dyDescent="0.2">
      <c r="B89" s="2830" t="s">
        <v>1160</v>
      </c>
      <c r="C89" s="2832" t="s">
        <v>278</v>
      </c>
      <c r="D89" s="2793" t="s">
        <v>2146</v>
      </c>
      <c r="E89" s="2755" t="s">
        <v>2147</v>
      </c>
      <c r="F89" s="2798" t="s">
        <v>2147</v>
      </c>
      <c r="G89" s="2790" t="s">
        <v>2147</v>
      </c>
      <c r="H89" s="2794" t="s">
        <v>2146</v>
      </c>
      <c r="I89" s="2795" t="s">
        <v>2146</v>
      </c>
      <c r="J89" s="3743" t="s">
        <v>2146</v>
      </c>
    </row>
    <row r="90" spans="2:10" ht="18" hidden="1" customHeight="1" outlineLevel="2" x14ac:dyDescent="0.2">
      <c r="B90" s="2830" t="s">
        <v>1161</v>
      </c>
      <c r="C90" s="2833"/>
      <c r="D90" s="2754" t="s">
        <v>2147</v>
      </c>
      <c r="E90" s="2755" t="s">
        <v>2147</v>
      </c>
      <c r="F90" s="2753" t="s">
        <v>2147</v>
      </c>
      <c r="G90" s="2754" t="s">
        <v>2147</v>
      </c>
      <c r="H90" s="2756" t="s">
        <v>2147</v>
      </c>
      <c r="I90" s="2753" t="s">
        <v>2147</v>
      </c>
      <c r="J90" s="3733" t="s">
        <v>2147</v>
      </c>
    </row>
    <row r="91" spans="2:10" ht="18" hidden="1" customHeight="1" outlineLevel="2" x14ac:dyDescent="0.2">
      <c r="B91" s="2834" t="s">
        <v>2147</v>
      </c>
      <c r="C91" s="2835" t="s">
        <v>2147</v>
      </c>
      <c r="D91" s="2757" t="s">
        <v>2147</v>
      </c>
      <c r="E91" s="2755" t="s">
        <v>2147</v>
      </c>
      <c r="F91" s="2753" t="s">
        <v>2147</v>
      </c>
      <c r="G91" s="2754" t="s">
        <v>2147</v>
      </c>
      <c r="H91" s="2794" t="s">
        <v>2147</v>
      </c>
      <c r="I91" s="2758" t="s">
        <v>2147</v>
      </c>
      <c r="J91" s="3744" t="s">
        <v>2147</v>
      </c>
    </row>
    <row r="92" spans="2:10" ht="18" hidden="1" customHeight="1" outlineLevel="2" x14ac:dyDescent="0.2">
      <c r="B92" s="2827" t="s">
        <v>1162</v>
      </c>
      <c r="C92" s="2828"/>
      <c r="D92" s="2797" t="s">
        <v>2146</v>
      </c>
      <c r="E92" s="2755" t="s">
        <v>2147</v>
      </c>
      <c r="F92" s="2798" t="s">
        <v>2147</v>
      </c>
      <c r="G92" s="2790" t="s">
        <v>2147</v>
      </c>
      <c r="H92" s="2791" t="s">
        <v>2146</v>
      </c>
      <c r="I92" s="2753" t="s">
        <v>2146</v>
      </c>
      <c r="J92" s="3733" t="s">
        <v>2146</v>
      </c>
    </row>
    <row r="93" spans="2:10" ht="18" hidden="1" customHeight="1" outlineLevel="2" x14ac:dyDescent="0.2">
      <c r="B93" s="2829" t="s">
        <v>200</v>
      </c>
      <c r="C93" s="2828"/>
      <c r="D93" s="2766"/>
      <c r="E93" s="2766"/>
      <c r="F93" s="2767"/>
      <c r="G93" s="2767"/>
      <c r="H93" s="2767"/>
      <c r="I93" s="2767"/>
      <c r="J93" s="3746"/>
    </row>
    <row r="94" spans="2:10" ht="18" hidden="1" customHeight="1" outlineLevel="2" x14ac:dyDescent="0.2">
      <c r="B94" s="2830" t="s">
        <v>1163</v>
      </c>
      <c r="C94" s="2835" t="s">
        <v>278</v>
      </c>
      <c r="D94" s="2757" t="s">
        <v>2146</v>
      </c>
      <c r="E94" s="2755" t="s">
        <v>2147</v>
      </c>
      <c r="F94" s="2753" t="s">
        <v>2147</v>
      </c>
      <c r="G94" s="2754" t="s">
        <v>2147</v>
      </c>
      <c r="H94" s="2765" t="s">
        <v>2146</v>
      </c>
      <c r="I94" s="2758" t="s">
        <v>2146</v>
      </c>
      <c r="J94" s="3744" t="s">
        <v>2146</v>
      </c>
    </row>
    <row r="95" spans="2:10" ht="18" hidden="1" customHeight="1" outlineLevel="2" x14ac:dyDescent="0.2">
      <c r="B95" s="2830" t="s">
        <v>1164</v>
      </c>
      <c r="C95" s="2828"/>
      <c r="D95" s="2754" t="s">
        <v>2147</v>
      </c>
      <c r="E95" s="2755" t="s">
        <v>2147</v>
      </c>
      <c r="F95" s="2753" t="s">
        <v>2147</v>
      </c>
      <c r="G95" s="2754" t="s">
        <v>2147</v>
      </c>
      <c r="H95" s="2756" t="s">
        <v>2147</v>
      </c>
      <c r="I95" s="2753" t="s">
        <v>2147</v>
      </c>
      <c r="J95" s="3733" t="s">
        <v>2147</v>
      </c>
    </row>
    <row r="96" spans="2:10" ht="18" hidden="1" customHeight="1" outlineLevel="2" thickBot="1" x14ac:dyDescent="0.25">
      <c r="B96" s="2834" t="s">
        <v>2147</v>
      </c>
      <c r="C96" s="2835" t="s">
        <v>2147</v>
      </c>
      <c r="D96" s="2757" t="s">
        <v>2147</v>
      </c>
      <c r="E96" s="2755" t="s">
        <v>2147</v>
      </c>
      <c r="F96" s="2753" t="s">
        <v>2147</v>
      </c>
      <c r="G96" s="2754" t="s">
        <v>2147</v>
      </c>
      <c r="H96" s="2794" t="s">
        <v>2147</v>
      </c>
      <c r="I96" s="2758" t="s">
        <v>2147</v>
      </c>
      <c r="J96" s="3744" t="s">
        <v>2147</v>
      </c>
    </row>
    <row r="97" spans="2:10" ht="18" customHeight="1" x14ac:dyDescent="0.2">
      <c r="B97" s="1440" t="s">
        <v>1979</v>
      </c>
      <c r="C97" s="2838"/>
      <c r="D97" s="2769"/>
      <c r="E97" s="2770"/>
      <c r="F97" s="2771"/>
      <c r="G97" s="2772"/>
      <c r="H97" s="2818" t="s">
        <v>2238</v>
      </c>
      <c r="I97" s="2813" t="s">
        <v>2154</v>
      </c>
      <c r="J97" s="3740" t="s">
        <v>2154</v>
      </c>
    </row>
    <row r="98" spans="2:10" ht="18" customHeight="1" collapsed="1" x14ac:dyDescent="0.2">
      <c r="B98" s="909" t="s">
        <v>1171</v>
      </c>
      <c r="C98" s="2826"/>
      <c r="D98" s="2787"/>
      <c r="E98" s="2788"/>
      <c r="F98" s="2789"/>
      <c r="G98" s="2787"/>
      <c r="H98" s="2791" t="s">
        <v>2238</v>
      </c>
      <c r="I98" s="2801"/>
      <c r="J98" s="3741" t="s">
        <v>2154</v>
      </c>
    </row>
    <row r="99" spans="2:10" ht="18" hidden="1" customHeight="1" outlineLevel="1" x14ac:dyDescent="0.2">
      <c r="B99" s="2827" t="s">
        <v>1158</v>
      </c>
      <c r="C99" s="2828"/>
      <c r="D99" s="2790" t="s">
        <v>2238</v>
      </c>
      <c r="E99" s="2820" t="s">
        <v>2147</v>
      </c>
      <c r="F99" s="2798" t="s">
        <v>2147</v>
      </c>
      <c r="G99" s="2790" t="s">
        <v>2147</v>
      </c>
      <c r="H99" s="2791" t="s">
        <v>2238</v>
      </c>
      <c r="I99" s="2801"/>
      <c r="J99" s="3733" t="s">
        <v>2154</v>
      </c>
    </row>
    <row r="100" spans="2:10" ht="18" hidden="1" customHeight="1" outlineLevel="1" x14ac:dyDescent="0.2">
      <c r="B100" s="2829" t="s">
        <v>200</v>
      </c>
      <c r="C100" s="2828"/>
      <c r="D100" s="2792"/>
      <c r="E100" s="2792"/>
      <c r="F100" s="2792"/>
      <c r="G100" s="2792"/>
      <c r="H100" s="2792"/>
      <c r="I100" s="2792"/>
      <c r="J100" s="3742"/>
    </row>
    <row r="101" spans="2:10" ht="18" hidden="1" customHeight="1" outlineLevel="1" x14ac:dyDescent="0.2">
      <c r="B101" s="2830" t="s">
        <v>1159</v>
      </c>
      <c r="C101" s="2831" t="s">
        <v>278</v>
      </c>
      <c r="D101" s="2793" t="s">
        <v>2153</v>
      </c>
      <c r="E101" s="2755" t="s">
        <v>2147</v>
      </c>
      <c r="F101" s="2798" t="s">
        <v>2147</v>
      </c>
      <c r="G101" s="2790" t="s">
        <v>2147</v>
      </c>
      <c r="H101" s="2794" t="s">
        <v>2153</v>
      </c>
      <c r="I101" s="2801"/>
      <c r="J101" s="3743" t="s">
        <v>2154</v>
      </c>
    </row>
    <row r="102" spans="2:10" ht="18" hidden="1" customHeight="1" outlineLevel="1" x14ac:dyDescent="0.2">
      <c r="B102" s="2830" t="s">
        <v>1160</v>
      </c>
      <c r="C102" s="2832" t="s">
        <v>278</v>
      </c>
      <c r="D102" s="2793" t="s">
        <v>2154</v>
      </c>
      <c r="E102" s="2755" t="s">
        <v>2147</v>
      </c>
      <c r="F102" s="2798" t="s">
        <v>2147</v>
      </c>
      <c r="G102" s="2790" t="s">
        <v>2147</v>
      </c>
      <c r="H102" s="2794" t="s">
        <v>2154</v>
      </c>
      <c r="I102" s="2801"/>
      <c r="J102" s="3743" t="s">
        <v>2154</v>
      </c>
    </row>
    <row r="103" spans="2:10" ht="18" hidden="1" customHeight="1" outlineLevel="1" x14ac:dyDescent="0.2">
      <c r="B103" s="2830" t="s">
        <v>1161</v>
      </c>
      <c r="C103" s="2833"/>
      <c r="D103" s="2754" t="s">
        <v>2147</v>
      </c>
      <c r="E103" s="2755" t="s">
        <v>2147</v>
      </c>
      <c r="F103" s="2753" t="s">
        <v>2147</v>
      </c>
      <c r="G103" s="2754" t="s">
        <v>2147</v>
      </c>
      <c r="H103" s="2756" t="s">
        <v>2147</v>
      </c>
      <c r="I103" s="2801"/>
      <c r="J103" s="3733" t="s">
        <v>2147</v>
      </c>
    </row>
    <row r="104" spans="2:10" ht="18" hidden="1" customHeight="1" outlineLevel="1" x14ac:dyDescent="0.2">
      <c r="B104" s="2834" t="s">
        <v>2147</v>
      </c>
      <c r="C104" s="2835" t="s">
        <v>2147</v>
      </c>
      <c r="D104" s="2757" t="s">
        <v>2147</v>
      </c>
      <c r="E104" s="2755" t="s">
        <v>2147</v>
      </c>
      <c r="F104" s="2753" t="s">
        <v>2147</v>
      </c>
      <c r="G104" s="2754" t="s">
        <v>2147</v>
      </c>
      <c r="H104" s="2794" t="s">
        <v>2147</v>
      </c>
      <c r="I104" s="2801"/>
      <c r="J104" s="3744" t="s">
        <v>2147</v>
      </c>
    </row>
    <row r="105" spans="2:10" ht="18" hidden="1" customHeight="1" outlineLevel="1" x14ac:dyDescent="0.2">
      <c r="B105" s="2827" t="s">
        <v>1162</v>
      </c>
      <c r="C105" s="2828"/>
      <c r="D105" s="2797" t="s">
        <v>2154</v>
      </c>
      <c r="E105" s="2755" t="s">
        <v>2147</v>
      </c>
      <c r="F105" s="2798" t="s">
        <v>2147</v>
      </c>
      <c r="G105" s="2790" t="s">
        <v>2147</v>
      </c>
      <c r="H105" s="2791" t="s">
        <v>2154</v>
      </c>
      <c r="I105" s="2801"/>
      <c r="J105" s="3733" t="s">
        <v>2154</v>
      </c>
    </row>
    <row r="106" spans="2:10" ht="18" hidden="1" customHeight="1" outlineLevel="1" x14ac:dyDescent="0.2">
      <c r="B106" s="2829" t="s">
        <v>200</v>
      </c>
      <c r="C106" s="2828"/>
      <c r="D106" s="2766"/>
      <c r="E106" s="2766"/>
      <c r="F106" s="2767"/>
      <c r="G106" s="2767"/>
      <c r="H106" s="2767"/>
      <c r="I106" s="2792"/>
      <c r="J106" s="3746"/>
    </row>
    <row r="107" spans="2:10" ht="18" hidden="1" customHeight="1" outlineLevel="1" x14ac:dyDescent="0.2">
      <c r="B107" s="2830" t="s">
        <v>1163</v>
      </c>
      <c r="C107" s="2835" t="s">
        <v>278</v>
      </c>
      <c r="D107" s="2757" t="s">
        <v>2154</v>
      </c>
      <c r="E107" s="2755" t="s">
        <v>2147</v>
      </c>
      <c r="F107" s="2753" t="s">
        <v>2147</v>
      </c>
      <c r="G107" s="2754" t="s">
        <v>2147</v>
      </c>
      <c r="H107" s="2765" t="s">
        <v>2154</v>
      </c>
      <c r="I107" s="2801"/>
      <c r="J107" s="3744" t="s">
        <v>2154</v>
      </c>
    </row>
    <row r="108" spans="2:10" ht="18" hidden="1" customHeight="1" outlineLevel="1" x14ac:dyDescent="0.2">
      <c r="B108" s="2830" t="s">
        <v>1164</v>
      </c>
      <c r="C108" s="2828"/>
      <c r="D108" s="2754" t="s">
        <v>2147</v>
      </c>
      <c r="E108" s="2755" t="s">
        <v>2147</v>
      </c>
      <c r="F108" s="2753" t="s">
        <v>2147</v>
      </c>
      <c r="G108" s="2754" t="s">
        <v>2147</v>
      </c>
      <c r="H108" s="2756" t="s">
        <v>2147</v>
      </c>
      <c r="I108" s="2801"/>
      <c r="J108" s="3733" t="s">
        <v>2147</v>
      </c>
    </row>
    <row r="109" spans="2:10" ht="18" hidden="1" customHeight="1" outlineLevel="1" x14ac:dyDescent="0.2">
      <c r="B109" s="2834" t="s">
        <v>2147</v>
      </c>
      <c r="C109" s="2835" t="s">
        <v>2147</v>
      </c>
      <c r="D109" s="2757" t="s">
        <v>2147</v>
      </c>
      <c r="E109" s="2755" t="s">
        <v>2147</v>
      </c>
      <c r="F109" s="2753" t="s">
        <v>2147</v>
      </c>
      <c r="G109" s="2754" t="s">
        <v>2147</v>
      </c>
      <c r="H109" s="2765" t="s">
        <v>2147</v>
      </c>
      <c r="I109" s="2801"/>
      <c r="J109" s="3744" t="s">
        <v>2147</v>
      </c>
    </row>
    <row r="110" spans="2:10" ht="18" customHeight="1" collapsed="1" thickBot="1" x14ac:dyDescent="0.25">
      <c r="B110" s="909" t="s">
        <v>1172</v>
      </c>
      <c r="C110" s="2826"/>
      <c r="D110" s="2787"/>
      <c r="E110" s="2788"/>
      <c r="F110" s="2789"/>
      <c r="G110" s="2787"/>
      <c r="H110" s="2819" t="s">
        <v>2238</v>
      </c>
      <c r="I110" s="2815" t="s">
        <v>2154</v>
      </c>
      <c r="J110" s="3741" t="s">
        <v>2154</v>
      </c>
    </row>
    <row r="111" spans="2:10" ht="18" hidden="1" customHeight="1" outlineLevel="1" x14ac:dyDescent="0.2">
      <c r="B111" s="2827" t="s">
        <v>1158</v>
      </c>
      <c r="C111" s="2828"/>
      <c r="D111" s="2790" t="s">
        <v>2238</v>
      </c>
      <c r="E111" s="2820" t="s">
        <v>2147</v>
      </c>
      <c r="F111" s="2798" t="s">
        <v>2147</v>
      </c>
      <c r="G111" s="2790" t="s">
        <v>2147</v>
      </c>
      <c r="H111" s="2791" t="s">
        <v>2238</v>
      </c>
      <c r="I111" s="2753" t="s">
        <v>2154</v>
      </c>
      <c r="J111" s="3733" t="s">
        <v>2154</v>
      </c>
    </row>
    <row r="112" spans="2:10" ht="18" hidden="1" customHeight="1" outlineLevel="1" x14ac:dyDescent="0.2">
      <c r="B112" s="2829" t="s">
        <v>200</v>
      </c>
      <c r="C112" s="2828"/>
      <c r="D112" s="2792"/>
      <c r="E112" s="2792"/>
      <c r="F112" s="2792"/>
      <c r="G112" s="2792"/>
      <c r="H112" s="2792"/>
      <c r="I112" s="2792"/>
      <c r="J112" s="3742"/>
    </row>
    <row r="113" spans="2:10" ht="18" hidden="1" customHeight="1" outlineLevel="1" x14ac:dyDescent="0.2">
      <c r="B113" s="2830" t="s">
        <v>1159</v>
      </c>
      <c r="C113" s="2831" t="s">
        <v>278</v>
      </c>
      <c r="D113" s="2793" t="s">
        <v>2153</v>
      </c>
      <c r="E113" s="2755" t="s">
        <v>2147</v>
      </c>
      <c r="F113" s="2798" t="s">
        <v>2147</v>
      </c>
      <c r="G113" s="2790" t="s">
        <v>2147</v>
      </c>
      <c r="H113" s="2794" t="s">
        <v>2153</v>
      </c>
      <c r="I113" s="2795" t="s">
        <v>2154</v>
      </c>
      <c r="J113" s="3743" t="s">
        <v>2154</v>
      </c>
    </row>
    <row r="114" spans="2:10" ht="18" hidden="1" customHeight="1" outlineLevel="1" x14ac:dyDescent="0.2">
      <c r="B114" s="2830" t="s">
        <v>1160</v>
      </c>
      <c r="C114" s="2832" t="s">
        <v>278</v>
      </c>
      <c r="D114" s="2793" t="s">
        <v>2154</v>
      </c>
      <c r="E114" s="2755" t="s">
        <v>2147</v>
      </c>
      <c r="F114" s="2798" t="s">
        <v>2147</v>
      </c>
      <c r="G114" s="2790" t="s">
        <v>2147</v>
      </c>
      <c r="H114" s="2794" t="s">
        <v>2154</v>
      </c>
      <c r="I114" s="2795" t="s">
        <v>2154</v>
      </c>
      <c r="J114" s="3743" t="s">
        <v>2154</v>
      </c>
    </row>
    <row r="115" spans="2:10" ht="18" hidden="1" customHeight="1" outlineLevel="1" x14ac:dyDescent="0.2">
      <c r="B115" s="2830" t="s">
        <v>1161</v>
      </c>
      <c r="C115" s="2833"/>
      <c r="D115" s="2754" t="s">
        <v>2147</v>
      </c>
      <c r="E115" s="2755" t="s">
        <v>2147</v>
      </c>
      <c r="F115" s="2753" t="s">
        <v>2147</v>
      </c>
      <c r="G115" s="2754" t="s">
        <v>2147</v>
      </c>
      <c r="H115" s="2756" t="s">
        <v>2147</v>
      </c>
      <c r="I115" s="2753" t="s">
        <v>2147</v>
      </c>
      <c r="J115" s="3733" t="s">
        <v>2147</v>
      </c>
    </row>
    <row r="116" spans="2:10" ht="18" hidden="1" customHeight="1" outlineLevel="1" x14ac:dyDescent="0.2">
      <c r="B116" s="2834" t="s">
        <v>2147</v>
      </c>
      <c r="C116" s="2835" t="s">
        <v>2147</v>
      </c>
      <c r="D116" s="2757" t="s">
        <v>2147</v>
      </c>
      <c r="E116" s="2755" t="s">
        <v>2147</v>
      </c>
      <c r="F116" s="2753" t="s">
        <v>2147</v>
      </c>
      <c r="G116" s="2754" t="s">
        <v>2147</v>
      </c>
      <c r="H116" s="2794" t="s">
        <v>2147</v>
      </c>
      <c r="I116" s="2758" t="s">
        <v>2147</v>
      </c>
      <c r="J116" s="3744" t="s">
        <v>2147</v>
      </c>
    </row>
    <row r="117" spans="2:10" ht="18" hidden="1" customHeight="1" outlineLevel="1" x14ac:dyDescent="0.2">
      <c r="B117" s="2827" t="s">
        <v>1162</v>
      </c>
      <c r="C117" s="2828"/>
      <c r="D117" s="2797" t="s">
        <v>2154</v>
      </c>
      <c r="E117" s="2755" t="s">
        <v>2147</v>
      </c>
      <c r="F117" s="2798" t="s">
        <v>2147</v>
      </c>
      <c r="G117" s="2790" t="s">
        <v>2147</v>
      </c>
      <c r="H117" s="2791" t="s">
        <v>2154</v>
      </c>
      <c r="I117" s="2753" t="s">
        <v>2154</v>
      </c>
      <c r="J117" s="3733" t="s">
        <v>2154</v>
      </c>
    </row>
    <row r="118" spans="2:10" ht="18" hidden="1" customHeight="1" outlineLevel="1" x14ac:dyDescent="0.2">
      <c r="B118" s="2829" t="s">
        <v>200</v>
      </c>
      <c r="C118" s="2828"/>
      <c r="D118" s="2766"/>
      <c r="E118" s="2766"/>
      <c r="F118" s="2767"/>
      <c r="G118" s="2767"/>
      <c r="H118" s="2767"/>
      <c r="I118" s="2767"/>
      <c r="J118" s="3746"/>
    </row>
    <row r="119" spans="2:10" ht="18" hidden="1" customHeight="1" outlineLevel="1" x14ac:dyDescent="0.2">
      <c r="B119" s="2830" t="s">
        <v>1163</v>
      </c>
      <c r="C119" s="2835" t="s">
        <v>278</v>
      </c>
      <c r="D119" s="2757" t="s">
        <v>2154</v>
      </c>
      <c r="E119" s="2755" t="s">
        <v>2147</v>
      </c>
      <c r="F119" s="2753" t="s">
        <v>2147</v>
      </c>
      <c r="G119" s="2754" t="s">
        <v>2147</v>
      </c>
      <c r="H119" s="2765" t="s">
        <v>2154</v>
      </c>
      <c r="I119" s="2758" t="s">
        <v>2154</v>
      </c>
      <c r="J119" s="3744" t="s">
        <v>2154</v>
      </c>
    </row>
    <row r="120" spans="2:10" ht="18" hidden="1" customHeight="1" outlineLevel="1" x14ac:dyDescent="0.2">
      <c r="B120" s="2830" t="s">
        <v>1164</v>
      </c>
      <c r="C120" s="2828"/>
      <c r="D120" s="2754" t="s">
        <v>2147</v>
      </c>
      <c r="E120" s="2755" t="s">
        <v>2147</v>
      </c>
      <c r="F120" s="2753" t="s">
        <v>2147</v>
      </c>
      <c r="G120" s="2754" t="s">
        <v>2147</v>
      </c>
      <c r="H120" s="2756" t="s">
        <v>2147</v>
      </c>
      <c r="I120" s="2753" t="s">
        <v>2147</v>
      </c>
      <c r="J120" s="3733" t="s">
        <v>2147</v>
      </c>
    </row>
    <row r="121" spans="2:10" ht="18" hidden="1" customHeight="1" outlineLevel="1" x14ac:dyDescent="0.2">
      <c r="B121" s="2834" t="s">
        <v>2147</v>
      </c>
      <c r="C121" s="2835" t="s">
        <v>2147</v>
      </c>
      <c r="D121" s="2757" t="s">
        <v>2147</v>
      </c>
      <c r="E121" s="2755" t="s">
        <v>2147</v>
      </c>
      <c r="F121" s="2753" t="s">
        <v>2147</v>
      </c>
      <c r="G121" s="2754" t="s">
        <v>2147</v>
      </c>
      <c r="H121" s="2794" t="s">
        <v>2147</v>
      </c>
      <c r="I121" s="2758" t="s">
        <v>2147</v>
      </c>
      <c r="J121" s="3744" t="s">
        <v>2147</v>
      </c>
    </row>
    <row r="122" spans="2:10" ht="18" hidden="1" customHeight="1" outlineLevel="1" x14ac:dyDescent="0.2">
      <c r="B122" s="2829" t="s">
        <v>200</v>
      </c>
      <c r="C122" s="2828"/>
      <c r="D122" s="2766"/>
      <c r="E122" s="2766"/>
      <c r="F122" s="2767"/>
      <c r="G122" s="2767"/>
      <c r="H122" s="2767"/>
      <c r="I122" s="2767"/>
      <c r="J122" s="3746"/>
    </row>
    <row r="123" spans="2:10" ht="18" hidden="1" customHeight="1" outlineLevel="1" collapsed="1" x14ac:dyDescent="0.2">
      <c r="B123" s="2827" t="s">
        <v>1173</v>
      </c>
      <c r="C123" s="2828"/>
      <c r="D123" s="2790" t="s">
        <v>2238</v>
      </c>
      <c r="E123" s="2820" t="s">
        <v>2147</v>
      </c>
      <c r="F123" s="2798" t="s">
        <v>2147</v>
      </c>
      <c r="G123" s="2790" t="s">
        <v>2147</v>
      </c>
      <c r="H123" s="2791" t="s">
        <v>2238</v>
      </c>
      <c r="I123" s="2753" t="s">
        <v>2154</v>
      </c>
      <c r="J123" s="3733" t="s">
        <v>2154</v>
      </c>
    </row>
    <row r="124" spans="2:10" ht="18" hidden="1" customHeight="1" outlineLevel="2" x14ac:dyDescent="0.2">
      <c r="B124" s="2827" t="s">
        <v>1158</v>
      </c>
      <c r="C124" s="2828"/>
      <c r="D124" s="2790" t="s">
        <v>2238</v>
      </c>
      <c r="E124" s="2820" t="s">
        <v>2147</v>
      </c>
      <c r="F124" s="2798" t="s">
        <v>2147</v>
      </c>
      <c r="G124" s="2790" t="s">
        <v>2147</v>
      </c>
      <c r="H124" s="2791" t="s">
        <v>2238</v>
      </c>
      <c r="I124" s="2753" t="s">
        <v>2154</v>
      </c>
      <c r="J124" s="3733" t="s">
        <v>2154</v>
      </c>
    </row>
    <row r="125" spans="2:10" ht="18" hidden="1" customHeight="1" outlineLevel="2" x14ac:dyDescent="0.2">
      <c r="B125" s="2829" t="s">
        <v>200</v>
      </c>
      <c r="C125" s="2828"/>
      <c r="D125" s="2792"/>
      <c r="E125" s="2792"/>
      <c r="F125" s="2792"/>
      <c r="G125" s="2792"/>
      <c r="H125" s="2792"/>
      <c r="I125" s="2792"/>
      <c r="J125" s="3742"/>
    </row>
    <row r="126" spans="2:10" ht="18" hidden="1" customHeight="1" outlineLevel="2" x14ac:dyDescent="0.2">
      <c r="B126" s="2830" t="s">
        <v>1159</v>
      </c>
      <c r="C126" s="2831" t="s">
        <v>278</v>
      </c>
      <c r="D126" s="2793" t="s">
        <v>2153</v>
      </c>
      <c r="E126" s="2755" t="s">
        <v>2147</v>
      </c>
      <c r="F126" s="2798" t="s">
        <v>2147</v>
      </c>
      <c r="G126" s="2790" t="s">
        <v>2147</v>
      </c>
      <c r="H126" s="2794" t="s">
        <v>2153</v>
      </c>
      <c r="I126" s="2795" t="s">
        <v>2154</v>
      </c>
      <c r="J126" s="3743" t="s">
        <v>2154</v>
      </c>
    </row>
    <row r="127" spans="2:10" ht="18" hidden="1" customHeight="1" outlineLevel="2" x14ac:dyDescent="0.2">
      <c r="B127" s="2830" t="s">
        <v>1160</v>
      </c>
      <c r="C127" s="2832" t="s">
        <v>278</v>
      </c>
      <c r="D127" s="2793" t="s">
        <v>2154</v>
      </c>
      <c r="E127" s="2755" t="s">
        <v>2147</v>
      </c>
      <c r="F127" s="2798" t="s">
        <v>2147</v>
      </c>
      <c r="G127" s="2790" t="s">
        <v>2147</v>
      </c>
      <c r="H127" s="2794" t="s">
        <v>2154</v>
      </c>
      <c r="I127" s="2795" t="s">
        <v>2154</v>
      </c>
      <c r="J127" s="3743" t="s">
        <v>2154</v>
      </c>
    </row>
    <row r="128" spans="2:10" ht="18" hidden="1" customHeight="1" outlineLevel="2" x14ac:dyDescent="0.2">
      <c r="B128" s="2830" t="s">
        <v>1161</v>
      </c>
      <c r="C128" s="2833"/>
      <c r="D128" s="2754" t="s">
        <v>2147</v>
      </c>
      <c r="E128" s="2755" t="s">
        <v>2147</v>
      </c>
      <c r="F128" s="2753" t="s">
        <v>2147</v>
      </c>
      <c r="G128" s="2754" t="s">
        <v>2147</v>
      </c>
      <c r="H128" s="2756" t="s">
        <v>2147</v>
      </c>
      <c r="I128" s="2753" t="s">
        <v>2147</v>
      </c>
      <c r="J128" s="3733" t="s">
        <v>2147</v>
      </c>
    </row>
    <row r="129" spans="2:10" ht="18" hidden="1" customHeight="1" outlineLevel="2" x14ac:dyDescent="0.2">
      <c r="B129" s="2834" t="s">
        <v>2147</v>
      </c>
      <c r="C129" s="2835" t="s">
        <v>2147</v>
      </c>
      <c r="D129" s="2757" t="s">
        <v>2147</v>
      </c>
      <c r="E129" s="2755" t="s">
        <v>2147</v>
      </c>
      <c r="F129" s="2753" t="s">
        <v>2147</v>
      </c>
      <c r="G129" s="2754" t="s">
        <v>2147</v>
      </c>
      <c r="H129" s="2794" t="s">
        <v>2147</v>
      </c>
      <c r="I129" s="2758" t="s">
        <v>2147</v>
      </c>
      <c r="J129" s="3744" t="s">
        <v>2147</v>
      </c>
    </row>
    <row r="130" spans="2:10" ht="18" hidden="1" customHeight="1" outlineLevel="2" x14ac:dyDescent="0.2">
      <c r="B130" s="2827" t="s">
        <v>1162</v>
      </c>
      <c r="C130" s="2828"/>
      <c r="D130" s="2797" t="s">
        <v>2154</v>
      </c>
      <c r="E130" s="2755" t="s">
        <v>2147</v>
      </c>
      <c r="F130" s="2798" t="s">
        <v>2147</v>
      </c>
      <c r="G130" s="2790" t="s">
        <v>2147</v>
      </c>
      <c r="H130" s="2791" t="s">
        <v>2154</v>
      </c>
      <c r="I130" s="2753" t="s">
        <v>2154</v>
      </c>
      <c r="J130" s="3733" t="s">
        <v>2154</v>
      </c>
    </row>
    <row r="131" spans="2:10" ht="18" hidden="1" customHeight="1" outlineLevel="2" x14ac:dyDescent="0.2">
      <c r="B131" s="2829" t="s">
        <v>200</v>
      </c>
      <c r="C131" s="2828"/>
      <c r="D131" s="2766"/>
      <c r="E131" s="2766"/>
      <c r="F131" s="2767"/>
      <c r="G131" s="2767"/>
      <c r="H131" s="2767"/>
      <c r="I131" s="2767"/>
      <c r="J131" s="3746"/>
    </row>
    <row r="132" spans="2:10" ht="18" hidden="1" customHeight="1" outlineLevel="2" x14ac:dyDescent="0.2">
      <c r="B132" s="2830" t="s">
        <v>1163</v>
      </c>
      <c r="C132" s="2835" t="s">
        <v>278</v>
      </c>
      <c r="D132" s="2757" t="s">
        <v>2154</v>
      </c>
      <c r="E132" s="2755" t="s">
        <v>2147</v>
      </c>
      <c r="F132" s="2753" t="s">
        <v>2147</v>
      </c>
      <c r="G132" s="2754" t="s">
        <v>2147</v>
      </c>
      <c r="H132" s="2765" t="s">
        <v>2154</v>
      </c>
      <c r="I132" s="2758" t="s">
        <v>2154</v>
      </c>
      <c r="J132" s="3744" t="s">
        <v>2154</v>
      </c>
    </row>
    <row r="133" spans="2:10" ht="18" hidden="1" customHeight="1" outlineLevel="2" x14ac:dyDescent="0.2">
      <c r="B133" s="2830" t="s">
        <v>1164</v>
      </c>
      <c r="C133" s="2828"/>
      <c r="D133" s="2754" t="s">
        <v>2147</v>
      </c>
      <c r="E133" s="2755" t="s">
        <v>2147</v>
      </c>
      <c r="F133" s="2753" t="s">
        <v>2147</v>
      </c>
      <c r="G133" s="2754" t="s">
        <v>2147</v>
      </c>
      <c r="H133" s="2756" t="s">
        <v>2147</v>
      </c>
      <c r="I133" s="2753" t="s">
        <v>2147</v>
      </c>
      <c r="J133" s="3733" t="s">
        <v>2147</v>
      </c>
    </row>
    <row r="134" spans="2:10" ht="18" hidden="1" customHeight="1" outlineLevel="2" x14ac:dyDescent="0.2">
      <c r="B134" s="2834" t="s">
        <v>2147</v>
      </c>
      <c r="C134" s="2835" t="s">
        <v>2147</v>
      </c>
      <c r="D134" s="2757" t="s">
        <v>2147</v>
      </c>
      <c r="E134" s="2755" t="s">
        <v>2147</v>
      </c>
      <c r="F134" s="2753" t="s">
        <v>2147</v>
      </c>
      <c r="G134" s="2754" t="s">
        <v>2147</v>
      </c>
      <c r="H134" s="2794" t="s">
        <v>2147</v>
      </c>
      <c r="I134" s="2758" t="s">
        <v>2147</v>
      </c>
      <c r="J134" s="3744" t="s">
        <v>2147</v>
      </c>
    </row>
    <row r="135" spans="2:10" ht="18" hidden="1" customHeight="1" outlineLevel="1" collapsed="1" x14ac:dyDescent="0.2">
      <c r="B135" s="2836" t="s">
        <v>1174</v>
      </c>
      <c r="C135" s="2837"/>
      <c r="D135" s="2799" t="s">
        <v>2238</v>
      </c>
      <c r="E135" s="2821" t="s">
        <v>2147</v>
      </c>
      <c r="F135" s="2822" t="s">
        <v>2147</v>
      </c>
      <c r="G135" s="2799" t="s">
        <v>2147</v>
      </c>
      <c r="H135" s="2800" t="s">
        <v>2238</v>
      </c>
      <c r="I135" s="2768" t="s">
        <v>2154</v>
      </c>
      <c r="J135" s="3747" t="s">
        <v>2154</v>
      </c>
    </row>
    <row r="136" spans="2:10" ht="18" hidden="1" customHeight="1" outlineLevel="2" x14ac:dyDescent="0.2">
      <c r="B136" s="2827" t="s">
        <v>1158</v>
      </c>
      <c r="C136" s="2828"/>
      <c r="D136" s="2790" t="s">
        <v>2238</v>
      </c>
      <c r="E136" s="2820" t="s">
        <v>2147</v>
      </c>
      <c r="F136" s="2798" t="s">
        <v>2147</v>
      </c>
      <c r="G136" s="2790" t="s">
        <v>2147</v>
      </c>
      <c r="H136" s="2791" t="s">
        <v>2238</v>
      </c>
      <c r="I136" s="2753" t="s">
        <v>2154</v>
      </c>
      <c r="J136" s="3733" t="s">
        <v>2154</v>
      </c>
    </row>
    <row r="137" spans="2:10" ht="18" hidden="1" customHeight="1" outlineLevel="2" x14ac:dyDescent="0.2">
      <c r="B137" s="2829" t="s">
        <v>200</v>
      </c>
      <c r="C137" s="2828"/>
      <c r="D137" s="2792"/>
      <c r="E137" s="2792"/>
      <c r="F137" s="2792"/>
      <c r="G137" s="2792"/>
      <c r="H137" s="2792"/>
      <c r="I137" s="2792"/>
      <c r="J137" s="3742"/>
    </row>
    <row r="138" spans="2:10" ht="18" hidden="1" customHeight="1" outlineLevel="2" x14ac:dyDescent="0.2">
      <c r="B138" s="2830" t="s">
        <v>1159</v>
      </c>
      <c r="C138" s="2831" t="s">
        <v>278</v>
      </c>
      <c r="D138" s="2793" t="s">
        <v>2153</v>
      </c>
      <c r="E138" s="2755" t="s">
        <v>2147</v>
      </c>
      <c r="F138" s="2798" t="s">
        <v>2147</v>
      </c>
      <c r="G138" s="2790" t="s">
        <v>2147</v>
      </c>
      <c r="H138" s="2794" t="s">
        <v>2153</v>
      </c>
      <c r="I138" s="2795" t="s">
        <v>2154</v>
      </c>
      <c r="J138" s="3743" t="s">
        <v>2154</v>
      </c>
    </row>
    <row r="139" spans="2:10" ht="18" hidden="1" customHeight="1" outlineLevel="2" x14ac:dyDescent="0.2">
      <c r="B139" s="2830" t="s">
        <v>1160</v>
      </c>
      <c r="C139" s="2832" t="s">
        <v>278</v>
      </c>
      <c r="D139" s="2793" t="s">
        <v>2154</v>
      </c>
      <c r="E139" s="2755" t="s">
        <v>2147</v>
      </c>
      <c r="F139" s="2798" t="s">
        <v>2147</v>
      </c>
      <c r="G139" s="2790" t="s">
        <v>2147</v>
      </c>
      <c r="H139" s="2794" t="s">
        <v>2154</v>
      </c>
      <c r="I139" s="2795" t="s">
        <v>2154</v>
      </c>
      <c r="J139" s="3743" t="s">
        <v>2154</v>
      </c>
    </row>
    <row r="140" spans="2:10" ht="18" hidden="1" customHeight="1" outlineLevel="2" x14ac:dyDescent="0.2">
      <c r="B140" s="2830" t="s">
        <v>1161</v>
      </c>
      <c r="C140" s="2833"/>
      <c r="D140" s="2754" t="s">
        <v>2147</v>
      </c>
      <c r="E140" s="2755" t="s">
        <v>2147</v>
      </c>
      <c r="F140" s="2753" t="s">
        <v>2147</v>
      </c>
      <c r="G140" s="2754" t="s">
        <v>2147</v>
      </c>
      <c r="H140" s="2756" t="s">
        <v>2147</v>
      </c>
      <c r="I140" s="2753" t="s">
        <v>2147</v>
      </c>
      <c r="J140" s="3733" t="s">
        <v>2147</v>
      </c>
    </row>
    <row r="141" spans="2:10" ht="18" hidden="1" customHeight="1" outlineLevel="2" x14ac:dyDescent="0.2">
      <c r="B141" s="2834" t="s">
        <v>2147</v>
      </c>
      <c r="C141" s="2835" t="s">
        <v>2147</v>
      </c>
      <c r="D141" s="2757" t="s">
        <v>2147</v>
      </c>
      <c r="E141" s="2755" t="s">
        <v>2147</v>
      </c>
      <c r="F141" s="2753" t="s">
        <v>2147</v>
      </c>
      <c r="G141" s="2754" t="s">
        <v>2147</v>
      </c>
      <c r="H141" s="2794" t="s">
        <v>2147</v>
      </c>
      <c r="I141" s="2758" t="s">
        <v>2147</v>
      </c>
      <c r="J141" s="3744" t="s">
        <v>2147</v>
      </c>
    </row>
    <row r="142" spans="2:10" ht="18" hidden="1" customHeight="1" outlineLevel="2" x14ac:dyDescent="0.2">
      <c r="B142" s="2827" t="s">
        <v>1162</v>
      </c>
      <c r="C142" s="2828"/>
      <c r="D142" s="2797" t="s">
        <v>2154</v>
      </c>
      <c r="E142" s="2755" t="s">
        <v>2147</v>
      </c>
      <c r="F142" s="2798" t="s">
        <v>2147</v>
      </c>
      <c r="G142" s="2790" t="s">
        <v>2147</v>
      </c>
      <c r="H142" s="2791" t="s">
        <v>2154</v>
      </c>
      <c r="I142" s="2753" t="s">
        <v>2154</v>
      </c>
      <c r="J142" s="3733" t="s">
        <v>2154</v>
      </c>
    </row>
    <row r="143" spans="2:10" ht="18" hidden="1" customHeight="1" outlineLevel="2" x14ac:dyDescent="0.2">
      <c r="B143" s="2829" t="s">
        <v>200</v>
      </c>
      <c r="C143" s="2828"/>
      <c r="D143" s="2766"/>
      <c r="E143" s="2766"/>
      <c r="F143" s="2767"/>
      <c r="G143" s="2767"/>
      <c r="H143" s="2767"/>
      <c r="I143" s="2767"/>
      <c r="J143" s="3746"/>
    </row>
    <row r="144" spans="2:10" ht="18" hidden="1" customHeight="1" outlineLevel="2" x14ac:dyDescent="0.2">
      <c r="B144" s="2830" t="s">
        <v>1163</v>
      </c>
      <c r="C144" s="2835" t="s">
        <v>278</v>
      </c>
      <c r="D144" s="2757" t="s">
        <v>2154</v>
      </c>
      <c r="E144" s="2755" t="s">
        <v>2147</v>
      </c>
      <c r="F144" s="2753" t="s">
        <v>2147</v>
      </c>
      <c r="G144" s="2754" t="s">
        <v>2147</v>
      </c>
      <c r="H144" s="2765" t="s">
        <v>2154</v>
      </c>
      <c r="I144" s="2758" t="s">
        <v>2154</v>
      </c>
      <c r="J144" s="3744" t="s">
        <v>2154</v>
      </c>
    </row>
    <row r="145" spans="2:10" ht="18" hidden="1" customHeight="1" outlineLevel="2" x14ac:dyDescent="0.2">
      <c r="B145" s="2830" t="s">
        <v>1164</v>
      </c>
      <c r="C145" s="2828"/>
      <c r="D145" s="2754" t="s">
        <v>2147</v>
      </c>
      <c r="E145" s="2755" t="s">
        <v>2147</v>
      </c>
      <c r="F145" s="2753" t="s">
        <v>2147</v>
      </c>
      <c r="G145" s="2754" t="s">
        <v>2147</v>
      </c>
      <c r="H145" s="2756" t="s">
        <v>2147</v>
      </c>
      <c r="I145" s="2753" t="s">
        <v>2147</v>
      </c>
      <c r="J145" s="3733" t="s">
        <v>2147</v>
      </c>
    </row>
    <row r="146" spans="2:10" ht="18" hidden="1" customHeight="1" outlineLevel="2" x14ac:dyDescent="0.2">
      <c r="B146" s="2834" t="s">
        <v>2147</v>
      </c>
      <c r="C146" s="2835" t="s">
        <v>2147</v>
      </c>
      <c r="D146" s="2757" t="s">
        <v>2147</v>
      </c>
      <c r="E146" s="2755" t="s">
        <v>2147</v>
      </c>
      <c r="F146" s="2753" t="s">
        <v>2147</v>
      </c>
      <c r="G146" s="2754" t="s">
        <v>2147</v>
      </c>
      <c r="H146" s="2794" t="s">
        <v>2147</v>
      </c>
      <c r="I146" s="2758" t="s">
        <v>2147</v>
      </c>
      <c r="J146" s="3744" t="s">
        <v>2147</v>
      </c>
    </row>
    <row r="147" spans="2:10" ht="18" hidden="1" customHeight="1" outlineLevel="1" collapsed="1" x14ac:dyDescent="0.2">
      <c r="B147" s="2836" t="s">
        <v>1175</v>
      </c>
      <c r="C147" s="2837"/>
      <c r="D147" s="2799" t="s">
        <v>2238</v>
      </c>
      <c r="E147" s="2821" t="s">
        <v>2147</v>
      </c>
      <c r="F147" s="2822" t="s">
        <v>2147</v>
      </c>
      <c r="G147" s="2799" t="s">
        <v>2147</v>
      </c>
      <c r="H147" s="2800" t="s">
        <v>2238</v>
      </c>
      <c r="I147" s="2768" t="s">
        <v>2154</v>
      </c>
      <c r="J147" s="3747" t="s">
        <v>2154</v>
      </c>
    </row>
    <row r="148" spans="2:10" ht="18" hidden="1" customHeight="1" outlineLevel="2" x14ac:dyDescent="0.2">
      <c r="B148" s="2827" t="s">
        <v>1158</v>
      </c>
      <c r="C148" s="2828"/>
      <c r="D148" s="2790" t="s">
        <v>2238</v>
      </c>
      <c r="E148" s="2820" t="s">
        <v>2147</v>
      </c>
      <c r="F148" s="2798" t="s">
        <v>2147</v>
      </c>
      <c r="G148" s="2790" t="s">
        <v>2147</v>
      </c>
      <c r="H148" s="2791" t="s">
        <v>2238</v>
      </c>
      <c r="I148" s="2753" t="s">
        <v>2154</v>
      </c>
      <c r="J148" s="3733" t="s">
        <v>2154</v>
      </c>
    </row>
    <row r="149" spans="2:10" ht="18" hidden="1" customHeight="1" outlineLevel="2" x14ac:dyDescent="0.2">
      <c r="B149" s="2829" t="s">
        <v>200</v>
      </c>
      <c r="C149" s="2828"/>
      <c r="D149" s="2792"/>
      <c r="E149" s="2792"/>
      <c r="F149" s="2792"/>
      <c r="G149" s="2792"/>
      <c r="H149" s="2792"/>
      <c r="I149" s="2792"/>
      <c r="J149" s="3742"/>
    </row>
    <row r="150" spans="2:10" ht="18" hidden="1" customHeight="1" outlineLevel="2" x14ac:dyDescent="0.2">
      <c r="B150" s="2830" t="s">
        <v>1159</v>
      </c>
      <c r="C150" s="2831" t="s">
        <v>278</v>
      </c>
      <c r="D150" s="2793" t="s">
        <v>2153</v>
      </c>
      <c r="E150" s="2755" t="s">
        <v>2147</v>
      </c>
      <c r="F150" s="2798" t="s">
        <v>2147</v>
      </c>
      <c r="G150" s="2790" t="s">
        <v>2147</v>
      </c>
      <c r="H150" s="2794" t="s">
        <v>2153</v>
      </c>
      <c r="I150" s="2795" t="s">
        <v>2154</v>
      </c>
      <c r="J150" s="3743" t="s">
        <v>2154</v>
      </c>
    </row>
    <row r="151" spans="2:10" ht="18" hidden="1" customHeight="1" outlineLevel="2" x14ac:dyDescent="0.2">
      <c r="B151" s="2830" t="s">
        <v>1160</v>
      </c>
      <c r="C151" s="2832" t="s">
        <v>278</v>
      </c>
      <c r="D151" s="2793" t="s">
        <v>2154</v>
      </c>
      <c r="E151" s="2755" t="s">
        <v>2147</v>
      </c>
      <c r="F151" s="2798" t="s">
        <v>2147</v>
      </c>
      <c r="G151" s="2790" t="s">
        <v>2147</v>
      </c>
      <c r="H151" s="2794" t="s">
        <v>2154</v>
      </c>
      <c r="I151" s="2795" t="s">
        <v>2154</v>
      </c>
      <c r="J151" s="3743" t="s">
        <v>2154</v>
      </c>
    </row>
    <row r="152" spans="2:10" ht="18" hidden="1" customHeight="1" outlineLevel="2" x14ac:dyDescent="0.2">
      <c r="B152" s="2830" t="s">
        <v>1161</v>
      </c>
      <c r="C152" s="2833"/>
      <c r="D152" s="2754" t="s">
        <v>2147</v>
      </c>
      <c r="E152" s="2755" t="s">
        <v>2147</v>
      </c>
      <c r="F152" s="2753" t="s">
        <v>2147</v>
      </c>
      <c r="G152" s="2754" t="s">
        <v>2147</v>
      </c>
      <c r="H152" s="2756" t="s">
        <v>2147</v>
      </c>
      <c r="I152" s="2753" t="s">
        <v>2147</v>
      </c>
      <c r="J152" s="3733" t="s">
        <v>2147</v>
      </c>
    </row>
    <row r="153" spans="2:10" ht="18" hidden="1" customHeight="1" outlineLevel="2" x14ac:dyDescent="0.2">
      <c r="B153" s="2834" t="s">
        <v>2147</v>
      </c>
      <c r="C153" s="2835" t="s">
        <v>2147</v>
      </c>
      <c r="D153" s="2757" t="s">
        <v>2147</v>
      </c>
      <c r="E153" s="2755" t="s">
        <v>2147</v>
      </c>
      <c r="F153" s="2753" t="s">
        <v>2147</v>
      </c>
      <c r="G153" s="2754" t="s">
        <v>2147</v>
      </c>
      <c r="H153" s="2794" t="s">
        <v>2147</v>
      </c>
      <c r="I153" s="2758" t="s">
        <v>2147</v>
      </c>
      <c r="J153" s="3744" t="s">
        <v>2147</v>
      </c>
    </row>
    <row r="154" spans="2:10" ht="18" hidden="1" customHeight="1" outlineLevel="2" x14ac:dyDescent="0.2">
      <c r="B154" s="2827" t="s">
        <v>1162</v>
      </c>
      <c r="C154" s="2828"/>
      <c r="D154" s="2797" t="s">
        <v>2154</v>
      </c>
      <c r="E154" s="2755" t="s">
        <v>2147</v>
      </c>
      <c r="F154" s="2798" t="s">
        <v>2147</v>
      </c>
      <c r="G154" s="2790" t="s">
        <v>2147</v>
      </c>
      <c r="H154" s="2791" t="s">
        <v>2154</v>
      </c>
      <c r="I154" s="2753" t="s">
        <v>2154</v>
      </c>
      <c r="J154" s="3733" t="s">
        <v>2154</v>
      </c>
    </row>
    <row r="155" spans="2:10" ht="18" hidden="1" customHeight="1" outlineLevel="2" x14ac:dyDescent="0.2">
      <c r="B155" s="2829" t="s">
        <v>200</v>
      </c>
      <c r="C155" s="2828"/>
      <c r="D155" s="2766"/>
      <c r="E155" s="2766"/>
      <c r="F155" s="2767"/>
      <c r="G155" s="2767"/>
      <c r="H155" s="2767"/>
      <c r="I155" s="2767"/>
      <c r="J155" s="3746"/>
    </row>
    <row r="156" spans="2:10" ht="18" hidden="1" customHeight="1" outlineLevel="2" x14ac:dyDescent="0.2">
      <c r="B156" s="2830" t="s">
        <v>1163</v>
      </c>
      <c r="C156" s="2835" t="s">
        <v>278</v>
      </c>
      <c r="D156" s="2757" t="s">
        <v>2154</v>
      </c>
      <c r="E156" s="2755" t="s">
        <v>2147</v>
      </c>
      <c r="F156" s="2753" t="s">
        <v>2147</v>
      </c>
      <c r="G156" s="2754" t="s">
        <v>2147</v>
      </c>
      <c r="H156" s="2765" t="s">
        <v>2154</v>
      </c>
      <c r="I156" s="2758" t="s">
        <v>2154</v>
      </c>
      <c r="J156" s="3744" t="s">
        <v>2154</v>
      </c>
    </row>
    <row r="157" spans="2:10" ht="18" hidden="1" customHeight="1" outlineLevel="2" x14ac:dyDescent="0.2">
      <c r="B157" s="2830" t="s">
        <v>1164</v>
      </c>
      <c r="C157" s="2828"/>
      <c r="D157" s="2754" t="s">
        <v>2147</v>
      </c>
      <c r="E157" s="2755" t="s">
        <v>2147</v>
      </c>
      <c r="F157" s="2753" t="s">
        <v>2147</v>
      </c>
      <c r="G157" s="2754" t="s">
        <v>2147</v>
      </c>
      <c r="H157" s="2756" t="s">
        <v>2147</v>
      </c>
      <c r="I157" s="2753" t="s">
        <v>2147</v>
      </c>
      <c r="J157" s="3733" t="s">
        <v>2147</v>
      </c>
    </row>
    <row r="158" spans="2:10" ht="18" hidden="1" customHeight="1" outlineLevel="2" x14ac:dyDescent="0.2">
      <c r="B158" s="2834" t="s">
        <v>2147</v>
      </c>
      <c r="C158" s="2835" t="s">
        <v>2147</v>
      </c>
      <c r="D158" s="2757" t="s">
        <v>2147</v>
      </c>
      <c r="E158" s="2755" t="s">
        <v>2147</v>
      </c>
      <c r="F158" s="2753" t="s">
        <v>2147</v>
      </c>
      <c r="G158" s="2754" t="s">
        <v>2147</v>
      </c>
      <c r="H158" s="2794" t="s">
        <v>2147</v>
      </c>
      <c r="I158" s="2758" t="s">
        <v>2147</v>
      </c>
      <c r="J158" s="3744" t="s">
        <v>2147</v>
      </c>
    </row>
    <row r="159" spans="2:10" ht="18" hidden="1" customHeight="1" outlineLevel="1" collapsed="1" x14ac:dyDescent="0.2">
      <c r="B159" s="2836" t="s">
        <v>1176</v>
      </c>
      <c r="C159" s="2837"/>
      <c r="D159" s="2799" t="s">
        <v>2238</v>
      </c>
      <c r="E159" s="2821" t="s">
        <v>2147</v>
      </c>
      <c r="F159" s="2822" t="s">
        <v>2147</v>
      </c>
      <c r="G159" s="2799" t="s">
        <v>2147</v>
      </c>
      <c r="H159" s="2800" t="s">
        <v>2238</v>
      </c>
      <c r="I159" s="2768" t="s">
        <v>2154</v>
      </c>
      <c r="J159" s="3747" t="s">
        <v>2154</v>
      </c>
    </row>
    <row r="160" spans="2:10" ht="18" hidden="1" customHeight="1" outlineLevel="2" x14ac:dyDescent="0.2">
      <c r="B160" s="2827" t="s">
        <v>1158</v>
      </c>
      <c r="C160" s="2828"/>
      <c r="D160" s="2790" t="s">
        <v>2146</v>
      </c>
      <c r="E160" s="2820" t="s">
        <v>2147</v>
      </c>
      <c r="F160" s="2798" t="s">
        <v>2147</v>
      </c>
      <c r="G160" s="2790" t="s">
        <v>2147</v>
      </c>
      <c r="H160" s="2791" t="s">
        <v>2146</v>
      </c>
      <c r="I160" s="2753" t="s">
        <v>2146</v>
      </c>
      <c r="J160" s="3733" t="s">
        <v>2146</v>
      </c>
    </row>
    <row r="161" spans="2:10" ht="18" hidden="1" customHeight="1" outlineLevel="2" x14ac:dyDescent="0.2">
      <c r="B161" s="2829" t="s">
        <v>200</v>
      </c>
      <c r="C161" s="2828"/>
      <c r="D161" s="2792"/>
      <c r="E161" s="2792"/>
      <c r="F161" s="2792"/>
      <c r="G161" s="2792"/>
      <c r="H161" s="2792"/>
      <c r="I161" s="2792"/>
      <c r="J161" s="3742"/>
    </row>
    <row r="162" spans="2:10" ht="18" hidden="1" customHeight="1" outlineLevel="2" x14ac:dyDescent="0.2">
      <c r="B162" s="2830" t="s">
        <v>1159</v>
      </c>
      <c r="C162" s="2831" t="s">
        <v>278</v>
      </c>
      <c r="D162" s="2793" t="s">
        <v>2146</v>
      </c>
      <c r="E162" s="2755" t="s">
        <v>2147</v>
      </c>
      <c r="F162" s="2798" t="s">
        <v>2147</v>
      </c>
      <c r="G162" s="2790" t="s">
        <v>2147</v>
      </c>
      <c r="H162" s="2794" t="s">
        <v>2146</v>
      </c>
      <c r="I162" s="2795" t="s">
        <v>2146</v>
      </c>
      <c r="J162" s="3743" t="s">
        <v>2146</v>
      </c>
    </row>
    <row r="163" spans="2:10" ht="18" hidden="1" customHeight="1" outlineLevel="2" x14ac:dyDescent="0.2">
      <c r="B163" s="2830" t="s">
        <v>1160</v>
      </c>
      <c r="C163" s="2832" t="s">
        <v>278</v>
      </c>
      <c r="D163" s="2793" t="s">
        <v>2146</v>
      </c>
      <c r="E163" s="2755" t="s">
        <v>2147</v>
      </c>
      <c r="F163" s="2798" t="s">
        <v>2147</v>
      </c>
      <c r="G163" s="2790" t="s">
        <v>2147</v>
      </c>
      <c r="H163" s="2794" t="s">
        <v>2146</v>
      </c>
      <c r="I163" s="2795" t="s">
        <v>2146</v>
      </c>
      <c r="J163" s="3743" t="s">
        <v>2146</v>
      </c>
    </row>
    <row r="164" spans="2:10" ht="18" hidden="1" customHeight="1" outlineLevel="2" x14ac:dyDescent="0.2">
      <c r="B164" s="2830" t="s">
        <v>1161</v>
      </c>
      <c r="C164" s="2833"/>
      <c r="D164" s="2754" t="s">
        <v>2147</v>
      </c>
      <c r="E164" s="2755" t="s">
        <v>2147</v>
      </c>
      <c r="F164" s="2753" t="s">
        <v>2147</v>
      </c>
      <c r="G164" s="2754" t="s">
        <v>2147</v>
      </c>
      <c r="H164" s="2756" t="s">
        <v>2147</v>
      </c>
      <c r="I164" s="2753" t="s">
        <v>2147</v>
      </c>
      <c r="J164" s="3733" t="s">
        <v>2147</v>
      </c>
    </row>
    <row r="165" spans="2:10" ht="18" hidden="1" customHeight="1" outlineLevel="2" x14ac:dyDescent="0.2">
      <c r="B165" s="2834" t="s">
        <v>2147</v>
      </c>
      <c r="C165" s="2835" t="s">
        <v>2147</v>
      </c>
      <c r="D165" s="2757" t="s">
        <v>2147</v>
      </c>
      <c r="E165" s="2755" t="s">
        <v>2147</v>
      </c>
      <c r="F165" s="2753" t="s">
        <v>2147</v>
      </c>
      <c r="G165" s="2754" t="s">
        <v>2147</v>
      </c>
      <c r="H165" s="2794" t="s">
        <v>2147</v>
      </c>
      <c r="I165" s="2758" t="s">
        <v>2147</v>
      </c>
      <c r="J165" s="3744" t="s">
        <v>2147</v>
      </c>
    </row>
    <row r="166" spans="2:10" ht="18" hidden="1" customHeight="1" outlineLevel="2" x14ac:dyDescent="0.2">
      <c r="B166" s="2827" t="s">
        <v>1162</v>
      </c>
      <c r="C166" s="2828"/>
      <c r="D166" s="2797" t="s">
        <v>2146</v>
      </c>
      <c r="E166" s="2755" t="s">
        <v>2147</v>
      </c>
      <c r="F166" s="2798" t="s">
        <v>2147</v>
      </c>
      <c r="G166" s="2790" t="s">
        <v>2147</v>
      </c>
      <c r="H166" s="2791" t="s">
        <v>2146</v>
      </c>
      <c r="I166" s="2753" t="s">
        <v>2146</v>
      </c>
      <c r="J166" s="3733" t="s">
        <v>2146</v>
      </c>
    </row>
    <row r="167" spans="2:10" ht="18" hidden="1" customHeight="1" outlineLevel="2" x14ac:dyDescent="0.2">
      <c r="B167" s="2829" t="s">
        <v>200</v>
      </c>
      <c r="C167" s="2828"/>
      <c r="D167" s="2766"/>
      <c r="E167" s="2766"/>
      <c r="F167" s="2767"/>
      <c r="G167" s="2767"/>
      <c r="H167" s="2767"/>
      <c r="I167" s="2767"/>
      <c r="J167" s="3746"/>
    </row>
    <row r="168" spans="2:10" ht="18" hidden="1" customHeight="1" outlineLevel="2" x14ac:dyDescent="0.2">
      <c r="B168" s="2830" t="s">
        <v>1163</v>
      </c>
      <c r="C168" s="2835" t="s">
        <v>278</v>
      </c>
      <c r="D168" s="2757" t="s">
        <v>2146</v>
      </c>
      <c r="E168" s="2755" t="s">
        <v>2147</v>
      </c>
      <c r="F168" s="2753" t="s">
        <v>2147</v>
      </c>
      <c r="G168" s="2754" t="s">
        <v>2147</v>
      </c>
      <c r="H168" s="2765" t="s">
        <v>2146</v>
      </c>
      <c r="I168" s="2758" t="s">
        <v>2146</v>
      </c>
      <c r="J168" s="3744" t="s">
        <v>2146</v>
      </c>
    </row>
    <row r="169" spans="2:10" ht="18" hidden="1" customHeight="1" outlineLevel="2" x14ac:dyDescent="0.2">
      <c r="B169" s="2830" t="s">
        <v>1164</v>
      </c>
      <c r="C169" s="2828"/>
      <c r="D169" s="2754" t="s">
        <v>2147</v>
      </c>
      <c r="E169" s="2755" t="s">
        <v>2147</v>
      </c>
      <c r="F169" s="2753" t="s">
        <v>2147</v>
      </c>
      <c r="G169" s="2754" t="s">
        <v>2147</v>
      </c>
      <c r="H169" s="2756" t="s">
        <v>2147</v>
      </c>
      <c r="I169" s="2753" t="s">
        <v>2147</v>
      </c>
      <c r="J169" s="3733" t="s">
        <v>2147</v>
      </c>
    </row>
    <row r="170" spans="2:10" ht="18" hidden="1" customHeight="1" outlineLevel="2" x14ac:dyDescent="0.2">
      <c r="B170" s="2834" t="s">
        <v>2147</v>
      </c>
      <c r="C170" s="2835" t="s">
        <v>2147</v>
      </c>
      <c r="D170" s="2757" t="s">
        <v>2147</v>
      </c>
      <c r="E170" s="2755" t="s">
        <v>2147</v>
      </c>
      <c r="F170" s="2753" t="s">
        <v>2147</v>
      </c>
      <c r="G170" s="2754" t="s">
        <v>2147</v>
      </c>
      <c r="H170" s="2794" t="s">
        <v>2147</v>
      </c>
      <c r="I170" s="2758" t="s">
        <v>2147</v>
      </c>
      <c r="J170" s="3744" t="s">
        <v>2147</v>
      </c>
    </row>
    <row r="171" spans="2:10" ht="18" hidden="1" customHeight="1" outlineLevel="1" collapsed="1" thickBot="1" x14ac:dyDescent="0.25">
      <c r="B171" s="2836" t="s">
        <v>1177</v>
      </c>
      <c r="C171" s="2837"/>
      <c r="D171" s="2799" t="s">
        <v>2238</v>
      </c>
      <c r="E171" s="2821" t="s">
        <v>2147</v>
      </c>
      <c r="F171" s="2822" t="s">
        <v>2147</v>
      </c>
      <c r="G171" s="2799" t="s">
        <v>2147</v>
      </c>
      <c r="H171" s="2800" t="s">
        <v>2238</v>
      </c>
      <c r="I171" s="2768" t="s">
        <v>2154</v>
      </c>
      <c r="J171" s="3747" t="s">
        <v>2154</v>
      </c>
    </row>
    <row r="172" spans="2:10" ht="18" hidden="1" customHeight="1" outlineLevel="2" x14ac:dyDescent="0.2">
      <c r="B172" s="2827" t="s">
        <v>1158</v>
      </c>
      <c r="C172" s="2828"/>
      <c r="D172" s="2790" t="s">
        <v>2146</v>
      </c>
      <c r="E172" s="2820" t="s">
        <v>2147</v>
      </c>
      <c r="F172" s="2798" t="s">
        <v>2147</v>
      </c>
      <c r="G172" s="2790" t="s">
        <v>2147</v>
      </c>
      <c r="H172" s="2791" t="s">
        <v>2146</v>
      </c>
      <c r="I172" s="2753" t="s">
        <v>2146</v>
      </c>
      <c r="J172" s="3733" t="s">
        <v>2146</v>
      </c>
    </row>
    <row r="173" spans="2:10" ht="18" hidden="1" customHeight="1" outlineLevel="2" x14ac:dyDescent="0.2">
      <c r="B173" s="2829" t="s">
        <v>200</v>
      </c>
      <c r="C173" s="2828"/>
      <c r="D173" s="2792"/>
      <c r="E173" s="2792"/>
      <c r="F173" s="2792"/>
      <c r="G173" s="2792"/>
      <c r="H173" s="2792"/>
      <c r="I173" s="2792"/>
      <c r="J173" s="3742"/>
    </row>
    <row r="174" spans="2:10" ht="18" hidden="1" customHeight="1" outlineLevel="2" x14ac:dyDescent="0.2">
      <c r="B174" s="2830" t="s">
        <v>1159</v>
      </c>
      <c r="C174" s="2831" t="s">
        <v>278</v>
      </c>
      <c r="D174" s="2793" t="s">
        <v>2146</v>
      </c>
      <c r="E174" s="2755" t="s">
        <v>2147</v>
      </c>
      <c r="F174" s="2798" t="s">
        <v>2147</v>
      </c>
      <c r="G174" s="2790" t="s">
        <v>2147</v>
      </c>
      <c r="H174" s="2794" t="s">
        <v>2146</v>
      </c>
      <c r="I174" s="2795" t="s">
        <v>2146</v>
      </c>
      <c r="J174" s="3743" t="s">
        <v>2146</v>
      </c>
    </row>
    <row r="175" spans="2:10" ht="18" hidden="1" customHeight="1" outlineLevel="2" x14ac:dyDescent="0.2">
      <c r="B175" s="2830" t="s">
        <v>1160</v>
      </c>
      <c r="C175" s="2832" t="s">
        <v>278</v>
      </c>
      <c r="D175" s="2793" t="s">
        <v>2146</v>
      </c>
      <c r="E175" s="2755" t="s">
        <v>2147</v>
      </c>
      <c r="F175" s="2798" t="s">
        <v>2147</v>
      </c>
      <c r="G175" s="2790" t="s">
        <v>2147</v>
      </c>
      <c r="H175" s="2794" t="s">
        <v>2146</v>
      </c>
      <c r="I175" s="2795" t="s">
        <v>2146</v>
      </c>
      <c r="J175" s="3743" t="s">
        <v>2146</v>
      </c>
    </row>
    <row r="176" spans="2:10" ht="18" hidden="1" customHeight="1" outlineLevel="2" x14ac:dyDescent="0.2">
      <c r="B176" s="2830" t="s">
        <v>1161</v>
      </c>
      <c r="C176" s="2833"/>
      <c r="D176" s="2754" t="s">
        <v>2147</v>
      </c>
      <c r="E176" s="2755" t="s">
        <v>2147</v>
      </c>
      <c r="F176" s="2753" t="s">
        <v>2147</v>
      </c>
      <c r="G176" s="2754" t="s">
        <v>2147</v>
      </c>
      <c r="H176" s="2756" t="s">
        <v>2147</v>
      </c>
      <c r="I176" s="2753" t="s">
        <v>2147</v>
      </c>
      <c r="J176" s="3733" t="s">
        <v>2147</v>
      </c>
    </row>
    <row r="177" spans="2:10" ht="18" hidden="1" customHeight="1" outlineLevel="2" x14ac:dyDescent="0.2">
      <c r="B177" s="2834" t="s">
        <v>2147</v>
      </c>
      <c r="C177" s="2835" t="s">
        <v>2147</v>
      </c>
      <c r="D177" s="2757" t="s">
        <v>2147</v>
      </c>
      <c r="E177" s="2755" t="s">
        <v>2147</v>
      </c>
      <c r="F177" s="2753" t="s">
        <v>2147</v>
      </c>
      <c r="G177" s="2754" t="s">
        <v>2147</v>
      </c>
      <c r="H177" s="2794" t="s">
        <v>2147</v>
      </c>
      <c r="I177" s="2758" t="s">
        <v>2147</v>
      </c>
      <c r="J177" s="3744" t="s">
        <v>2147</v>
      </c>
    </row>
    <row r="178" spans="2:10" ht="18" hidden="1" customHeight="1" outlineLevel="2" x14ac:dyDescent="0.2">
      <c r="B178" s="2827" t="s">
        <v>1162</v>
      </c>
      <c r="C178" s="2828"/>
      <c r="D178" s="2797" t="s">
        <v>2146</v>
      </c>
      <c r="E178" s="2755" t="s">
        <v>2147</v>
      </c>
      <c r="F178" s="2798" t="s">
        <v>2147</v>
      </c>
      <c r="G178" s="2790" t="s">
        <v>2147</v>
      </c>
      <c r="H178" s="2791" t="s">
        <v>2146</v>
      </c>
      <c r="I178" s="2753" t="s">
        <v>2146</v>
      </c>
      <c r="J178" s="3733" t="s">
        <v>2146</v>
      </c>
    </row>
    <row r="179" spans="2:10" ht="18" hidden="1" customHeight="1" outlineLevel="2" x14ac:dyDescent="0.2">
      <c r="B179" s="2829" t="s">
        <v>200</v>
      </c>
      <c r="C179" s="2828"/>
      <c r="D179" s="2766"/>
      <c r="E179" s="2766"/>
      <c r="F179" s="2767"/>
      <c r="G179" s="2767"/>
      <c r="H179" s="2767"/>
      <c r="I179" s="2767"/>
      <c r="J179" s="3746"/>
    </row>
    <row r="180" spans="2:10" ht="18" hidden="1" customHeight="1" outlineLevel="2" x14ac:dyDescent="0.2">
      <c r="B180" s="2830" t="s">
        <v>1163</v>
      </c>
      <c r="C180" s="2835" t="s">
        <v>278</v>
      </c>
      <c r="D180" s="2757" t="s">
        <v>2146</v>
      </c>
      <c r="E180" s="2755" t="s">
        <v>2147</v>
      </c>
      <c r="F180" s="2753" t="s">
        <v>2147</v>
      </c>
      <c r="G180" s="2754" t="s">
        <v>2147</v>
      </c>
      <c r="H180" s="2765" t="s">
        <v>2146</v>
      </c>
      <c r="I180" s="2758" t="s">
        <v>2146</v>
      </c>
      <c r="J180" s="3744" t="s">
        <v>2146</v>
      </c>
    </row>
    <row r="181" spans="2:10" ht="18" hidden="1" customHeight="1" outlineLevel="2" x14ac:dyDescent="0.2">
      <c r="B181" s="2830" t="s">
        <v>1164</v>
      </c>
      <c r="C181" s="2828"/>
      <c r="D181" s="2754" t="s">
        <v>2147</v>
      </c>
      <c r="E181" s="2755" t="s">
        <v>2147</v>
      </c>
      <c r="F181" s="2753" t="s">
        <v>2147</v>
      </c>
      <c r="G181" s="2754" t="s">
        <v>2147</v>
      </c>
      <c r="H181" s="2756" t="s">
        <v>2147</v>
      </c>
      <c r="I181" s="2753" t="s">
        <v>2147</v>
      </c>
      <c r="J181" s="3733" t="s">
        <v>2147</v>
      </c>
    </row>
    <row r="182" spans="2:10" ht="18" hidden="1" customHeight="1" outlineLevel="2" thickBot="1" x14ac:dyDescent="0.25">
      <c r="B182" s="2834" t="s">
        <v>2147</v>
      </c>
      <c r="C182" s="2835" t="s">
        <v>2147</v>
      </c>
      <c r="D182" s="2757" t="s">
        <v>2147</v>
      </c>
      <c r="E182" s="2755" t="s">
        <v>2147</v>
      </c>
      <c r="F182" s="2753" t="s">
        <v>2147</v>
      </c>
      <c r="G182" s="2754" t="s">
        <v>2147</v>
      </c>
      <c r="H182" s="2794" t="s">
        <v>2147</v>
      </c>
      <c r="I182" s="2758" t="s">
        <v>2147</v>
      </c>
      <c r="J182" s="3744" t="s">
        <v>2147</v>
      </c>
    </row>
    <row r="183" spans="2:10" ht="18" customHeight="1" x14ac:dyDescent="0.2">
      <c r="B183" s="1440" t="s">
        <v>1178</v>
      </c>
      <c r="C183" s="2839"/>
      <c r="D183" s="2802"/>
      <c r="E183" s="2803"/>
      <c r="F183" s="2773"/>
      <c r="G183" s="2769"/>
      <c r="H183" s="2818" t="s">
        <v>2238</v>
      </c>
      <c r="I183" s="2813" t="s">
        <v>2154</v>
      </c>
      <c r="J183" s="3748" t="s">
        <v>2154</v>
      </c>
    </row>
    <row r="184" spans="2:10" ht="18" customHeight="1" collapsed="1" x14ac:dyDescent="0.2">
      <c r="B184" s="909" t="s">
        <v>1179</v>
      </c>
      <c r="C184" s="2826"/>
      <c r="D184" s="2787"/>
      <c r="E184" s="2788"/>
      <c r="F184" s="2789"/>
      <c r="G184" s="2787"/>
      <c r="H184" s="2819" t="s">
        <v>2238</v>
      </c>
      <c r="I184" s="2801"/>
      <c r="J184" s="3741" t="s">
        <v>2154</v>
      </c>
    </row>
    <row r="185" spans="2:10" ht="18" hidden="1" customHeight="1" outlineLevel="1" x14ac:dyDescent="0.2">
      <c r="B185" s="2827" t="s">
        <v>1158</v>
      </c>
      <c r="C185" s="2828"/>
      <c r="D185" s="2790" t="s">
        <v>2238</v>
      </c>
      <c r="E185" s="2820" t="s">
        <v>2147</v>
      </c>
      <c r="F185" s="2798" t="s">
        <v>2147</v>
      </c>
      <c r="G185" s="2790" t="s">
        <v>2147</v>
      </c>
      <c r="H185" s="2791" t="s">
        <v>2238</v>
      </c>
      <c r="I185" s="2801"/>
      <c r="J185" s="3733" t="s">
        <v>2154</v>
      </c>
    </row>
    <row r="186" spans="2:10" ht="18" hidden="1" customHeight="1" outlineLevel="1" x14ac:dyDescent="0.2">
      <c r="B186" s="2829" t="s">
        <v>200</v>
      </c>
      <c r="C186" s="2828"/>
      <c r="D186" s="2792"/>
      <c r="E186" s="2792"/>
      <c r="F186" s="2792"/>
      <c r="G186" s="2792"/>
      <c r="H186" s="2792"/>
      <c r="I186" s="2792"/>
      <c r="J186" s="3742"/>
    </row>
    <row r="187" spans="2:10" ht="18" hidden="1" customHeight="1" outlineLevel="1" x14ac:dyDescent="0.2">
      <c r="B187" s="2830" t="s">
        <v>1159</v>
      </c>
      <c r="C187" s="2831" t="s">
        <v>278</v>
      </c>
      <c r="D187" s="2793" t="s">
        <v>2153</v>
      </c>
      <c r="E187" s="2755" t="s">
        <v>2147</v>
      </c>
      <c r="F187" s="2798" t="s">
        <v>2147</v>
      </c>
      <c r="G187" s="2790" t="s">
        <v>2147</v>
      </c>
      <c r="H187" s="2794" t="s">
        <v>2153</v>
      </c>
      <c r="I187" s="2801"/>
      <c r="J187" s="3743" t="s">
        <v>2154</v>
      </c>
    </row>
    <row r="188" spans="2:10" ht="18" hidden="1" customHeight="1" outlineLevel="1" x14ac:dyDescent="0.2">
      <c r="B188" s="2830" t="s">
        <v>1160</v>
      </c>
      <c r="C188" s="2832" t="s">
        <v>278</v>
      </c>
      <c r="D188" s="2793" t="s">
        <v>2154</v>
      </c>
      <c r="E188" s="2755" t="s">
        <v>2147</v>
      </c>
      <c r="F188" s="2798" t="s">
        <v>2147</v>
      </c>
      <c r="G188" s="2790" t="s">
        <v>2147</v>
      </c>
      <c r="H188" s="2794" t="s">
        <v>2154</v>
      </c>
      <c r="I188" s="2801"/>
      <c r="J188" s="3743" t="s">
        <v>2154</v>
      </c>
    </row>
    <row r="189" spans="2:10" ht="18" hidden="1" customHeight="1" outlineLevel="1" x14ac:dyDescent="0.2">
      <c r="B189" s="2830" t="s">
        <v>1161</v>
      </c>
      <c r="C189" s="2833"/>
      <c r="D189" s="2754" t="s">
        <v>2147</v>
      </c>
      <c r="E189" s="2755" t="s">
        <v>2147</v>
      </c>
      <c r="F189" s="2753" t="s">
        <v>2147</v>
      </c>
      <c r="G189" s="2754" t="s">
        <v>2147</v>
      </c>
      <c r="H189" s="2756" t="s">
        <v>2147</v>
      </c>
      <c r="I189" s="2801"/>
      <c r="J189" s="3733" t="s">
        <v>2147</v>
      </c>
    </row>
    <row r="190" spans="2:10" ht="18" hidden="1" customHeight="1" outlineLevel="1" x14ac:dyDescent="0.2">
      <c r="B190" s="2834" t="s">
        <v>2147</v>
      </c>
      <c r="C190" s="2835" t="s">
        <v>2147</v>
      </c>
      <c r="D190" s="2757" t="s">
        <v>2147</v>
      </c>
      <c r="E190" s="2755" t="s">
        <v>2147</v>
      </c>
      <c r="F190" s="2753" t="s">
        <v>2147</v>
      </c>
      <c r="G190" s="2754" t="s">
        <v>2147</v>
      </c>
      <c r="H190" s="2794" t="s">
        <v>2147</v>
      </c>
      <c r="I190" s="2801"/>
      <c r="J190" s="3744" t="s">
        <v>2147</v>
      </c>
    </row>
    <row r="191" spans="2:10" ht="18" hidden="1" customHeight="1" outlineLevel="1" x14ac:dyDescent="0.2">
      <c r="B191" s="2827" t="s">
        <v>1162</v>
      </c>
      <c r="C191" s="2828"/>
      <c r="D191" s="2797" t="s">
        <v>2154</v>
      </c>
      <c r="E191" s="2755" t="s">
        <v>2147</v>
      </c>
      <c r="F191" s="2798" t="s">
        <v>2147</v>
      </c>
      <c r="G191" s="2790" t="s">
        <v>2147</v>
      </c>
      <c r="H191" s="2791" t="s">
        <v>2154</v>
      </c>
      <c r="I191" s="2801"/>
      <c r="J191" s="3733" t="s">
        <v>2154</v>
      </c>
    </row>
    <row r="192" spans="2:10" ht="18" hidden="1" customHeight="1" outlineLevel="1" x14ac:dyDescent="0.2">
      <c r="B192" s="2829" t="s">
        <v>200</v>
      </c>
      <c r="C192" s="2828"/>
      <c r="D192" s="2766"/>
      <c r="E192" s="2766"/>
      <c r="F192" s="2767"/>
      <c r="G192" s="2767"/>
      <c r="H192" s="2767"/>
      <c r="I192" s="2792"/>
      <c r="J192" s="3746"/>
    </row>
    <row r="193" spans="2:10" ht="18" hidden="1" customHeight="1" outlineLevel="1" x14ac:dyDescent="0.2">
      <c r="B193" s="2830" t="s">
        <v>1163</v>
      </c>
      <c r="C193" s="2835" t="s">
        <v>278</v>
      </c>
      <c r="D193" s="2757" t="s">
        <v>2154</v>
      </c>
      <c r="E193" s="2755" t="s">
        <v>2147</v>
      </c>
      <c r="F193" s="2753" t="s">
        <v>2147</v>
      </c>
      <c r="G193" s="2754" t="s">
        <v>2147</v>
      </c>
      <c r="H193" s="2765" t="s">
        <v>2154</v>
      </c>
      <c r="I193" s="2801"/>
      <c r="J193" s="3744" t="s">
        <v>2154</v>
      </c>
    </row>
    <row r="194" spans="2:10" ht="18" hidden="1" customHeight="1" outlineLevel="1" x14ac:dyDescent="0.2">
      <c r="B194" s="2830" t="s">
        <v>1164</v>
      </c>
      <c r="C194" s="2828"/>
      <c r="D194" s="2754" t="s">
        <v>2147</v>
      </c>
      <c r="E194" s="2755" t="s">
        <v>2147</v>
      </c>
      <c r="F194" s="2753" t="s">
        <v>2147</v>
      </c>
      <c r="G194" s="2754" t="s">
        <v>2147</v>
      </c>
      <c r="H194" s="2756" t="s">
        <v>2147</v>
      </c>
      <c r="I194" s="2801"/>
      <c r="J194" s="3733" t="s">
        <v>2147</v>
      </c>
    </row>
    <row r="195" spans="2:10" ht="18" hidden="1" customHeight="1" outlineLevel="1" x14ac:dyDescent="0.2">
      <c r="B195" s="2834" t="s">
        <v>2147</v>
      </c>
      <c r="C195" s="2835" t="s">
        <v>2147</v>
      </c>
      <c r="D195" s="2757" t="s">
        <v>2147</v>
      </c>
      <c r="E195" s="2755" t="s">
        <v>2147</v>
      </c>
      <c r="F195" s="2753" t="s">
        <v>2147</v>
      </c>
      <c r="G195" s="2754" t="s">
        <v>2147</v>
      </c>
      <c r="H195" s="2765" t="s">
        <v>2147</v>
      </c>
      <c r="I195" s="2801"/>
      <c r="J195" s="3744" t="s">
        <v>2147</v>
      </c>
    </row>
    <row r="196" spans="2:10" ht="18" customHeight="1" collapsed="1" thickBot="1" x14ac:dyDescent="0.25">
      <c r="B196" s="909" t="s">
        <v>1180</v>
      </c>
      <c r="C196" s="2826"/>
      <c r="D196" s="2787"/>
      <c r="E196" s="2788"/>
      <c r="F196" s="2789"/>
      <c r="G196" s="2787"/>
      <c r="H196" s="2819" t="s">
        <v>2238</v>
      </c>
      <c r="I196" s="2815" t="s">
        <v>2154</v>
      </c>
      <c r="J196" s="3741" t="s">
        <v>2154</v>
      </c>
    </row>
    <row r="197" spans="2:10" ht="18" hidden="1" customHeight="1" outlineLevel="1" x14ac:dyDescent="0.2">
      <c r="B197" s="2827" t="s">
        <v>1158</v>
      </c>
      <c r="C197" s="2828"/>
      <c r="D197" s="2790" t="s">
        <v>2238</v>
      </c>
      <c r="E197" s="2820" t="s">
        <v>2147</v>
      </c>
      <c r="F197" s="2798" t="s">
        <v>2147</v>
      </c>
      <c r="G197" s="2790" t="s">
        <v>2147</v>
      </c>
      <c r="H197" s="2791" t="s">
        <v>2238</v>
      </c>
      <c r="I197" s="2753" t="s">
        <v>2154</v>
      </c>
      <c r="J197" s="3733" t="s">
        <v>2154</v>
      </c>
    </row>
    <row r="198" spans="2:10" ht="18" hidden="1" customHeight="1" outlineLevel="1" x14ac:dyDescent="0.2">
      <c r="B198" s="2829" t="s">
        <v>200</v>
      </c>
      <c r="C198" s="2828"/>
      <c r="D198" s="2792"/>
      <c r="E198" s="2792"/>
      <c r="F198" s="2792"/>
      <c r="G198" s="2792"/>
      <c r="H198" s="2792"/>
      <c r="I198" s="2792"/>
      <c r="J198" s="3742"/>
    </row>
    <row r="199" spans="2:10" ht="18" hidden="1" customHeight="1" outlineLevel="1" x14ac:dyDescent="0.2">
      <c r="B199" s="2830" t="s">
        <v>1159</v>
      </c>
      <c r="C199" s="2831" t="s">
        <v>278</v>
      </c>
      <c r="D199" s="2793" t="s">
        <v>2153</v>
      </c>
      <c r="E199" s="2755" t="s">
        <v>2147</v>
      </c>
      <c r="F199" s="2798" t="s">
        <v>2147</v>
      </c>
      <c r="G199" s="2790" t="s">
        <v>2147</v>
      </c>
      <c r="H199" s="2794" t="s">
        <v>2153</v>
      </c>
      <c r="I199" s="2795" t="s">
        <v>2154</v>
      </c>
      <c r="J199" s="3743" t="s">
        <v>2154</v>
      </c>
    </row>
    <row r="200" spans="2:10" ht="18" hidden="1" customHeight="1" outlineLevel="1" x14ac:dyDescent="0.2">
      <c r="B200" s="2830" t="s">
        <v>1160</v>
      </c>
      <c r="C200" s="2832" t="s">
        <v>278</v>
      </c>
      <c r="D200" s="2793" t="s">
        <v>2154</v>
      </c>
      <c r="E200" s="2755" t="s">
        <v>2147</v>
      </c>
      <c r="F200" s="2798" t="s">
        <v>2147</v>
      </c>
      <c r="G200" s="2790" t="s">
        <v>2147</v>
      </c>
      <c r="H200" s="2794" t="s">
        <v>2154</v>
      </c>
      <c r="I200" s="2795" t="s">
        <v>2154</v>
      </c>
      <c r="J200" s="3743" t="s">
        <v>2154</v>
      </c>
    </row>
    <row r="201" spans="2:10" ht="18" hidden="1" customHeight="1" outlineLevel="1" x14ac:dyDescent="0.2">
      <c r="B201" s="2830" t="s">
        <v>1161</v>
      </c>
      <c r="C201" s="2833"/>
      <c r="D201" s="2754" t="s">
        <v>2147</v>
      </c>
      <c r="E201" s="2755" t="s">
        <v>2147</v>
      </c>
      <c r="F201" s="2753" t="s">
        <v>2147</v>
      </c>
      <c r="G201" s="2754" t="s">
        <v>2147</v>
      </c>
      <c r="H201" s="2756" t="s">
        <v>2147</v>
      </c>
      <c r="I201" s="2753" t="s">
        <v>2147</v>
      </c>
      <c r="J201" s="3733" t="s">
        <v>2147</v>
      </c>
    </row>
    <row r="202" spans="2:10" ht="18" hidden="1" customHeight="1" outlineLevel="1" x14ac:dyDescent="0.2">
      <c r="B202" s="2834" t="s">
        <v>2147</v>
      </c>
      <c r="C202" s="2835" t="s">
        <v>2147</v>
      </c>
      <c r="D202" s="2757" t="s">
        <v>2147</v>
      </c>
      <c r="E202" s="2755" t="s">
        <v>2147</v>
      </c>
      <c r="F202" s="2753" t="s">
        <v>2147</v>
      </c>
      <c r="G202" s="2754" t="s">
        <v>2147</v>
      </c>
      <c r="H202" s="2794" t="s">
        <v>2147</v>
      </c>
      <c r="I202" s="2758" t="s">
        <v>2147</v>
      </c>
      <c r="J202" s="3744" t="s">
        <v>2147</v>
      </c>
    </row>
    <row r="203" spans="2:10" ht="18" hidden="1" customHeight="1" outlineLevel="1" x14ac:dyDescent="0.2">
      <c r="B203" s="2827" t="s">
        <v>1162</v>
      </c>
      <c r="C203" s="2828"/>
      <c r="D203" s="2797" t="s">
        <v>2154</v>
      </c>
      <c r="E203" s="2755" t="s">
        <v>2147</v>
      </c>
      <c r="F203" s="2798" t="s">
        <v>2147</v>
      </c>
      <c r="G203" s="2790" t="s">
        <v>2147</v>
      </c>
      <c r="H203" s="2791" t="s">
        <v>2154</v>
      </c>
      <c r="I203" s="2753" t="s">
        <v>2154</v>
      </c>
      <c r="J203" s="3733" t="s">
        <v>2154</v>
      </c>
    </row>
    <row r="204" spans="2:10" ht="18" hidden="1" customHeight="1" outlineLevel="1" x14ac:dyDescent="0.2">
      <c r="B204" s="2829" t="s">
        <v>200</v>
      </c>
      <c r="C204" s="2828"/>
      <c r="D204" s="2766"/>
      <c r="E204" s="2766"/>
      <c r="F204" s="2767"/>
      <c r="G204" s="2767"/>
      <c r="H204" s="2767"/>
      <c r="I204" s="2767"/>
      <c r="J204" s="3746"/>
    </row>
    <row r="205" spans="2:10" ht="18" hidden="1" customHeight="1" outlineLevel="1" x14ac:dyDescent="0.2">
      <c r="B205" s="2830" t="s">
        <v>1163</v>
      </c>
      <c r="C205" s="2835" t="s">
        <v>278</v>
      </c>
      <c r="D205" s="2757" t="s">
        <v>2154</v>
      </c>
      <c r="E205" s="2755" t="s">
        <v>2147</v>
      </c>
      <c r="F205" s="2753" t="s">
        <v>2147</v>
      </c>
      <c r="G205" s="2754" t="s">
        <v>2147</v>
      </c>
      <c r="H205" s="2765" t="s">
        <v>2154</v>
      </c>
      <c r="I205" s="2758" t="s">
        <v>2154</v>
      </c>
      <c r="J205" s="3744" t="s">
        <v>2154</v>
      </c>
    </row>
    <row r="206" spans="2:10" ht="18" hidden="1" customHeight="1" outlineLevel="1" x14ac:dyDescent="0.2">
      <c r="B206" s="2830" t="s">
        <v>1164</v>
      </c>
      <c r="C206" s="2828"/>
      <c r="D206" s="2754" t="s">
        <v>2147</v>
      </c>
      <c r="E206" s="2755" t="s">
        <v>2147</v>
      </c>
      <c r="F206" s="2753" t="s">
        <v>2147</v>
      </c>
      <c r="G206" s="2754" t="s">
        <v>2147</v>
      </c>
      <c r="H206" s="2756" t="s">
        <v>2147</v>
      </c>
      <c r="I206" s="2753" t="s">
        <v>2147</v>
      </c>
      <c r="J206" s="3733" t="s">
        <v>2147</v>
      </c>
    </row>
    <row r="207" spans="2:10" ht="18" hidden="1" customHeight="1" outlineLevel="1" x14ac:dyDescent="0.2">
      <c r="B207" s="2834" t="s">
        <v>2147</v>
      </c>
      <c r="C207" s="2835" t="s">
        <v>2147</v>
      </c>
      <c r="D207" s="2757" t="s">
        <v>2147</v>
      </c>
      <c r="E207" s="2755" t="s">
        <v>2147</v>
      </c>
      <c r="F207" s="2753" t="s">
        <v>2147</v>
      </c>
      <c r="G207" s="2754" t="s">
        <v>2147</v>
      </c>
      <c r="H207" s="2794" t="s">
        <v>2147</v>
      </c>
      <c r="I207" s="2758" t="s">
        <v>2147</v>
      </c>
      <c r="J207" s="3744" t="s">
        <v>2147</v>
      </c>
    </row>
    <row r="208" spans="2:10" ht="18" hidden="1" customHeight="1" outlineLevel="1" x14ac:dyDescent="0.2">
      <c r="B208" s="2829" t="s">
        <v>200</v>
      </c>
      <c r="C208" s="2828"/>
      <c r="D208" s="2766"/>
      <c r="E208" s="2766"/>
      <c r="F208" s="2767"/>
      <c r="G208" s="2767"/>
      <c r="H208" s="2767"/>
      <c r="I208" s="2767"/>
      <c r="J208" s="3746"/>
    </row>
    <row r="209" spans="2:10" ht="18" hidden="1" customHeight="1" outlineLevel="1" collapsed="1" x14ac:dyDescent="0.2">
      <c r="B209" s="2827" t="s">
        <v>1181</v>
      </c>
      <c r="C209" s="2828"/>
      <c r="D209" s="2790" t="s">
        <v>2238</v>
      </c>
      <c r="E209" s="2820" t="s">
        <v>2147</v>
      </c>
      <c r="F209" s="2798" t="s">
        <v>2147</v>
      </c>
      <c r="G209" s="2790" t="s">
        <v>2147</v>
      </c>
      <c r="H209" s="2791" t="s">
        <v>2238</v>
      </c>
      <c r="I209" s="2753" t="s">
        <v>2154</v>
      </c>
      <c r="J209" s="3733" t="s">
        <v>2154</v>
      </c>
    </row>
    <row r="210" spans="2:10" ht="18" hidden="1" customHeight="1" outlineLevel="2" x14ac:dyDescent="0.2">
      <c r="B210" s="2827" t="s">
        <v>1158</v>
      </c>
      <c r="C210" s="2828"/>
      <c r="D210" s="2790" t="s">
        <v>2238</v>
      </c>
      <c r="E210" s="2820" t="s">
        <v>2147</v>
      </c>
      <c r="F210" s="2798" t="s">
        <v>2147</v>
      </c>
      <c r="G210" s="2790" t="s">
        <v>2147</v>
      </c>
      <c r="H210" s="2791" t="s">
        <v>2238</v>
      </c>
      <c r="I210" s="2753" t="s">
        <v>2154</v>
      </c>
      <c r="J210" s="3733" t="s">
        <v>2154</v>
      </c>
    </row>
    <row r="211" spans="2:10" ht="18" hidden="1" customHeight="1" outlineLevel="2" x14ac:dyDescent="0.2">
      <c r="B211" s="2829" t="s">
        <v>200</v>
      </c>
      <c r="C211" s="2828"/>
      <c r="D211" s="2792"/>
      <c r="E211" s="2792"/>
      <c r="F211" s="2792"/>
      <c r="G211" s="2792"/>
      <c r="H211" s="2792"/>
      <c r="I211" s="2792"/>
      <c r="J211" s="3742"/>
    </row>
    <row r="212" spans="2:10" ht="18" hidden="1" customHeight="1" outlineLevel="2" x14ac:dyDescent="0.2">
      <c r="B212" s="2830" t="s">
        <v>1159</v>
      </c>
      <c r="C212" s="2831" t="s">
        <v>278</v>
      </c>
      <c r="D212" s="2793" t="s">
        <v>2153</v>
      </c>
      <c r="E212" s="2755" t="s">
        <v>2147</v>
      </c>
      <c r="F212" s="2798" t="s">
        <v>2147</v>
      </c>
      <c r="G212" s="2790" t="s">
        <v>2147</v>
      </c>
      <c r="H212" s="2794" t="s">
        <v>2153</v>
      </c>
      <c r="I212" s="2795" t="s">
        <v>2154</v>
      </c>
      <c r="J212" s="3743" t="s">
        <v>2154</v>
      </c>
    </row>
    <row r="213" spans="2:10" ht="18" hidden="1" customHeight="1" outlineLevel="2" x14ac:dyDescent="0.2">
      <c r="B213" s="2830" t="s">
        <v>1160</v>
      </c>
      <c r="C213" s="2832" t="s">
        <v>278</v>
      </c>
      <c r="D213" s="2793" t="s">
        <v>2154</v>
      </c>
      <c r="E213" s="2755" t="s">
        <v>2147</v>
      </c>
      <c r="F213" s="2798" t="s">
        <v>2147</v>
      </c>
      <c r="G213" s="2790" t="s">
        <v>2147</v>
      </c>
      <c r="H213" s="2794" t="s">
        <v>2154</v>
      </c>
      <c r="I213" s="2795" t="s">
        <v>2154</v>
      </c>
      <c r="J213" s="3743" t="s">
        <v>2154</v>
      </c>
    </row>
    <row r="214" spans="2:10" ht="18" hidden="1" customHeight="1" outlineLevel="2" x14ac:dyDescent="0.2">
      <c r="B214" s="2830" t="s">
        <v>1161</v>
      </c>
      <c r="C214" s="2833"/>
      <c r="D214" s="2754" t="s">
        <v>2147</v>
      </c>
      <c r="E214" s="2755" t="s">
        <v>2147</v>
      </c>
      <c r="F214" s="2753" t="s">
        <v>2147</v>
      </c>
      <c r="G214" s="2754" t="s">
        <v>2147</v>
      </c>
      <c r="H214" s="2756" t="s">
        <v>2147</v>
      </c>
      <c r="I214" s="2753" t="s">
        <v>2147</v>
      </c>
      <c r="J214" s="3733" t="s">
        <v>2147</v>
      </c>
    </row>
    <row r="215" spans="2:10" ht="18" hidden="1" customHeight="1" outlineLevel="2" x14ac:dyDescent="0.2">
      <c r="B215" s="2834" t="s">
        <v>2147</v>
      </c>
      <c r="C215" s="2835" t="s">
        <v>2147</v>
      </c>
      <c r="D215" s="2757" t="s">
        <v>2147</v>
      </c>
      <c r="E215" s="2755" t="s">
        <v>2147</v>
      </c>
      <c r="F215" s="2753" t="s">
        <v>2147</v>
      </c>
      <c r="G215" s="2754" t="s">
        <v>2147</v>
      </c>
      <c r="H215" s="2794" t="s">
        <v>2147</v>
      </c>
      <c r="I215" s="2758" t="s">
        <v>2147</v>
      </c>
      <c r="J215" s="3744" t="s">
        <v>2147</v>
      </c>
    </row>
    <row r="216" spans="2:10" ht="18" hidden="1" customHeight="1" outlineLevel="2" x14ac:dyDescent="0.2">
      <c r="B216" s="2827" t="s">
        <v>1162</v>
      </c>
      <c r="C216" s="2828"/>
      <c r="D216" s="2797" t="s">
        <v>2154</v>
      </c>
      <c r="E216" s="2755" t="s">
        <v>2147</v>
      </c>
      <c r="F216" s="2798" t="s">
        <v>2147</v>
      </c>
      <c r="G216" s="2790" t="s">
        <v>2147</v>
      </c>
      <c r="H216" s="2791" t="s">
        <v>2154</v>
      </c>
      <c r="I216" s="2753" t="s">
        <v>2154</v>
      </c>
      <c r="J216" s="3733" t="s">
        <v>2154</v>
      </c>
    </row>
    <row r="217" spans="2:10" ht="18" hidden="1" customHeight="1" outlineLevel="2" x14ac:dyDescent="0.2">
      <c r="B217" s="2829" t="s">
        <v>200</v>
      </c>
      <c r="C217" s="2828"/>
      <c r="D217" s="2766"/>
      <c r="E217" s="2766"/>
      <c r="F217" s="2767"/>
      <c r="G217" s="2767"/>
      <c r="H217" s="2767"/>
      <c r="I217" s="2767"/>
      <c r="J217" s="3746"/>
    </row>
    <row r="218" spans="2:10" ht="18" hidden="1" customHeight="1" outlineLevel="2" x14ac:dyDescent="0.2">
      <c r="B218" s="2830" t="s">
        <v>1163</v>
      </c>
      <c r="C218" s="2835" t="s">
        <v>278</v>
      </c>
      <c r="D218" s="2757" t="s">
        <v>2154</v>
      </c>
      <c r="E218" s="2755" t="s">
        <v>2147</v>
      </c>
      <c r="F218" s="2753" t="s">
        <v>2147</v>
      </c>
      <c r="G218" s="2754" t="s">
        <v>2147</v>
      </c>
      <c r="H218" s="2765" t="s">
        <v>2154</v>
      </c>
      <c r="I218" s="2758" t="s">
        <v>2154</v>
      </c>
      <c r="J218" s="3744" t="s">
        <v>2154</v>
      </c>
    </row>
    <row r="219" spans="2:10" ht="18" hidden="1" customHeight="1" outlineLevel="2" x14ac:dyDescent="0.2">
      <c r="B219" s="2830" t="s">
        <v>1164</v>
      </c>
      <c r="C219" s="2828"/>
      <c r="D219" s="2754" t="s">
        <v>2147</v>
      </c>
      <c r="E219" s="2755" t="s">
        <v>2147</v>
      </c>
      <c r="F219" s="2753" t="s">
        <v>2147</v>
      </c>
      <c r="G219" s="2754" t="s">
        <v>2147</v>
      </c>
      <c r="H219" s="2756" t="s">
        <v>2147</v>
      </c>
      <c r="I219" s="2753" t="s">
        <v>2147</v>
      </c>
      <c r="J219" s="3733" t="s">
        <v>2147</v>
      </c>
    </row>
    <row r="220" spans="2:10" ht="18" hidden="1" customHeight="1" outlineLevel="2" x14ac:dyDescent="0.2">
      <c r="B220" s="2834" t="s">
        <v>2147</v>
      </c>
      <c r="C220" s="2835" t="s">
        <v>2147</v>
      </c>
      <c r="D220" s="2757" t="s">
        <v>2147</v>
      </c>
      <c r="E220" s="2755" t="s">
        <v>2147</v>
      </c>
      <c r="F220" s="2753" t="s">
        <v>2147</v>
      </c>
      <c r="G220" s="2754" t="s">
        <v>2147</v>
      </c>
      <c r="H220" s="2794" t="s">
        <v>2147</v>
      </c>
      <c r="I220" s="2758" t="s">
        <v>2147</v>
      </c>
      <c r="J220" s="3744" t="s">
        <v>2147</v>
      </c>
    </row>
    <row r="221" spans="2:10" ht="18" hidden="1" customHeight="1" outlineLevel="1" collapsed="1" x14ac:dyDescent="0.2">
      <c r="B221" s="2836" t="s">
        <v>1182</v>
      </c>
      <c r="C221" s="2837"/>
      <c r="D221" s="2799" t="s">
        <v>2238</v>
      </c>
      <c r="E221" s="2821" t="s">
        <v>2147</v>
      </c>
      <c r="F221" s="2822" t="s">
        <v>2147</v>
      </c>
      <c r="G221" s="2799" t="s">
        <v>2147</v>
      </c>
      <c r="H221" s="2800" t="s">
        <v>2238</v>
      </c>
      <c r="I221" s="2768" t="s">
        <v>2154</v>
      </c>
      <c r="J221" s="3747" t="s">
        <v>2154</v>
      </c>
    </row>
    <row r="222" spans="2:10" ht="18" hidden="1" customHeight="1" outlineLevel="2" x14ac:dyDescent="0.2">
      <c r="B222" s="2827" t="s">
        <v>1158</v>
      </c>
      <c r="C222" s="2828"/>
      <c r="D222" s="2790" t="s">
        <v>2238</v>
      </c>
      <c r="E222" s="2820" t="s">
        <v>2147</v>
      </c>
      <c r="F222" s="2798" t="s">
        <v>2147</v>
      </c>
      <c r="G222" s="2790" t="s">
        <v>2147</v>
      </c>
      <c r="H222" s="2791" t="s">
        <v>2238</v>
      </c>
      <c r="I222" s="2753" t="s">
        <v>2154</v>
      </c>
      <c r="J222" s="3733" t="s">
        <v>2154</v>
      </c>
    </row>
    <row r="223" spans="2:10" ht="18" hidden="1" customHeight="1" outlineLevel="2" x14ac:dyDescent="0.2">
      <c r="B223" s="2829" t="s">
        <v>200</v>
      </c>
      <c r="C223" s="2828"/>
      <c r="D223" s="2792"/>
      <c r="E223" s="2792"/>
      <c r="F223" s="2792"/>
      <c r="G223" s="2792"/>
      <c r="H223" s="2792"/>
      <c r="I223" s="2792"/>
      <c r="J223" s="3742"/>
    </row>
    <row r="224" spans="2:10" ht="18" hidden="1" customHeight="1" outlineLevel="2" x14ac:dyDescent="0.2">
      <c r="B224" s="2830" t="s">
        <v>1159</v>
      </c>
      <c r="C224" s="2831" t="s">
        <v>278</v>
      </c>
      <c r="D224" s="2793" t="s">
        <v>2153</v>
      </c>
      <c r="E224" s="2755" t="s">
        <v>2147</v>
      </c>
      <c r="F224" s="2798" t="s">
        <v>2147</v>
      </c>
      <c r="G224" s="2790" t="s">
        <v>2147</v>
      </c>
      <c r="H224" s="2794" t="s">
        <v>2153</v>
      </c>
      <c r="I224" s="2795" t="s">
        <v>2154</v>
      </c>
      <c r="J224" s="3743" t="s">
        <v>2154</v>
      </c>
    </row>
    <row r="225" spans="2:10" ht="18" hidden="1" customHeight="1" outlineLevel="2" x14ac:dyDescent="0.2">
      <c r="B225" s="2830" t="s">
        <v>1160</v>
      </c>
      <c r="C225" s="2832" t="s">
        <v>278</v>
      </c>
      <c r="D225" s="2793" t="s">
        <v>2154</v>
      </c>
      <c r="E225" s="2755" t="s">
        <v>2147</v>
      </c>
      <c r="F225" s="2798" t="s">
        <v>2147</v>
      </c>
      <c r="G225" s="2790" t="s">
        <v>2147</v>
      </c>
      <c r="H225" s="2794" t="s">
        <v>2154</v>
      </c>
      <c r="I225" s="2795" t="s">
        <v>2154</v>
      </c>
      <c r="J225" s="3743" t="s">
        <v>2154</v>
      </c>
    </row>
    <row r="226" spans="2:10" ht="18" hidden="1" customHeight="1" outlineLevel="2" x14ac:dyDescent="0.2">
      <c r="B226" s="2830" t="s">
        <v>1161</v>
      </c>
      <c r="C226" s="2833"/>
      <c r="D226" s="2754" t="s">
        <v>2147</v>
      </c>
      <c r="E226" s="2755" t="s">
        <v>2147</v>
      </c>
      <c r="F226" s="2753" t="s">
        <v>2147</v>
      </c>
      <c r="G226" s="2754" t="s">
        <v>2147</v>
      </c>
      <c r="H226" s="2756" t="s">
        <v>2147</v>
      </c>
      <c r="I226" s="2753" t="s">
        <v>2147</v>
      </c>
      <c r="J226" s="3733" t="s">
        <v>2147</v>
      </c>
    </row>
    <row r="227" spans="2:10" ht="18" hidden="1" customHeight="1" outlineLevel="2" x14ac:dyDescent="0.2">
      <c r="B227" s="2834" t="s">
        <v>2147</v>
      </c>
      <c r="C227" s="2835" t="s">
        <v>2147</v>
      </c>
      <c r="D227" s="2757" t="s">
        <v>2147</v>
      </c>
      <c r="E227" s="2755" t="s">
        <v>2147</v>
      </c>
      <c r="F227" s="2753" t="s">
        <v>2147</v>
      </c>
      <c r="G227" s="2754" t="s">
        <v>2147</v>
      </c>
      <c r="H227" s="2794" t="s">
        <v>2147</v>
      </c>
      <c r="I227" s="2758" t="s">
        <v>2147</v>
      </c>
      <c r="J227" s="3744" t="s">
        <v>2147</v>
      </c>
    </row>
    <row r="228" spans="2:10" ht="18" hidden="1" customHeight="1" outlineLevel="2" x14ac:dyDescent="0.2">
      <c r="B228" s="2827" t="s">
        <v>1162</v>
      </c>
      <c r="C228" s="2828"/>
      <c r="D228" s="2797" t="s">
        <v>2154</v>
      </c>
      <c r="E228" s="2755" t="s">
        <v>2147</v>
      </c>
      <c r="F228" s="2798" t="s">
        <v>2147</v>
      </c>
      <c r="G228" s="2790" t="s">
        <v>2147</v>
      </c>
      <c r="H228" s="2791" t="s">
        <v>2154</v>
      </c>
      <c r="I228" s="2753" t="s">
        <v>2154</v>
      </c>
      <c r="J228" s="3733" t="s">
        <v>2154</v>
      </c>
    </row>
    <row r="229" spans="2:10" ht="18" hidden="1" customHeight="1" outlineLevel="2" x14ac:dyDescent="0.2">
      <c r="B229" s="2829" t="s">
        <v>200</v>
      </c>
      <c r="C229" s="2828"/>
      <c r="D229" s="2766"/>
      <c r="E229" s="2766"/>
      <c r="F229" s="2767"/>
      <c r="G229" s="2767"/>
      <c r="H229" s="2767"/>
      <c r="I229" s="2767"/>
      <c r="J229" s="3746"/>
    </row>
    <row r="230" spans="2:10" ht="18" hidden="1" customHeight="1" outlineLevel="2" x14ac:dyDescent="0.2">
      <c r="B230" s="2830" t="s">
        <v>1163</v>
      </c>
      <c r="C230" s="2835" t="s">
        <v>278</v>
      </c>
      <c r="D230" s="2757" t="s">
        <v>2154</v>
      </c>
      <c r="E230" s="2755" t="s">
        <v>2147</v>
      </c>
      <c r="F230" s="2753" t="s">
        <v>2147</v>
      </c>
      <c r="G230" s="2754" t="s">
        <v>2147</v>
      </c>
      <c r="H230" s="2765" t="s">
        <v>2154</v>
      </c>
      <c r="I230" s="2758" t="s">
        <v>2154</v>
      </c>
      <c r="J230" s="3744" t="s">
        <v>2154</v>
      </c>
    </row>
    <row r="231" spans="2:10" ht="18" hidden="1" customHeight="1" outlineLevel="2" x14ac:dyDescent="0.2">
      <c r="B231" s="2830" t="s">
        <v>1164</v>
      </c>
      <c r="C231" s="2828"/>
      <c r="D231" s="2754" t="s">
        <v>2147</v>
      </c>
      <c r="E231" s="2755" t="s">
        <v>2147</v>
      </c>
      <c r="F231" s="2753" t="s">
        <v>2147</v>
      </c>
      <c r="G231" s="2754" t="s">
        <v>2147</v>
      </c>
      <c r="H231" s="2756" t="s">
        <v>2147</v>
      </c>
      <c r="I231" s="2753" t="s">
        <v>2147</v>
      </c>
      <c r="J231" s="3733" t="s">
        <v>2147</v>
      </c>
    </row>
    <row r="232" spans="2:10" ht="18" hidden="1" customHeight="1" outlineLevel="2" x14ac:dyDescent="0.2">
      <c r="B232" s="2834" t="s">
        <v>2147</v>
      </c>
      <c r="C232" s="2835" t="s">
        <v>2147</v>
      </c>
      <c r="D232" s="2757" t="s">
        <v>2147</v>
      </c>
      <c r="E232" s="2755" t="s">
        <v>2147</v>
      </c>
      <c r="F232" s="2753" t="s">
        <v>2147</v>
      </c>
      <c r="G232" s="2754" t="s">
        <v>2147</v>
      </c>
      <c r="H232" s="2794" t="s">
        <v>2147</v>
      </c>
      <c r="I232" s="2758" t="s">
        <v>2147</v>
      </c>
      <c r="J232" s="3744" t="s">
        <v>2147</v>
      </c>
    </row>
    <row r="233" spans="2:10" ht="18" hidden="1" customHeight="1" outlineLevel="1" collapsed="1" x14ac:dyDescent="0.2">
      <c r="B233" s="2836" t="s">
        <v>1183</v>
      </c>
      <c r="C233" s="2837"/>
      <c r="D233" s="2799" t="s">
        <v>2238</v>
      </c>
      <c r="E233" s="2821" t="s">
        <v>2147</v>
      </c>
      <c r="F233" s="2822" t="s">
        <v>2147</v>
      </c>
      <c r="G233" s="2799" t="s">
        <v>2147</v>
      </c>
      <c r="H233" s="2800" t="s">
        <v>2238</v>
      </c>
      <c r="I233" s="2768" t="s">
        <v>2154</v>
      </c>
      <c r="J233" s="3747" t="s">
        <v>2154</v>
      </c>
    </row>
    <row r="234" spans="2:10" ht="18" hidden="1" customHeight="1" outlineLevel="2" x14ac:dyDescent="0.2">
      <c r="B234" s="2827" t="s">
        <v>1158</v>
      </c>
      <c r="C234" s="2828"/>
      <c r="D234" s="2790" t="s">
        <v>2238</v>
      </c>
      <c r="E234" s="2820" t="s">
        <v>2147</v>
      </c>
      <c r="F234" s="2798" t="s">
        <v>2147</v>
      </c>
      <c r="G234" s="2790" t="s">
        <v>2147</v>
      </c>
      <c r="H234" s="2791" t="s">
        <v>2238</v>
      </c>
      <c r="I234" s="2753" t="s">
        <v>2154</v>
      </c>
      <c r="J234" s="3733" t="s">
        <v>2154</v>
      </c>
    </row>
    <row r="235" spans="2:10" ht="18" hidden="1" customHeight="1" outlineLevel="2" x14ac:dyDescent="0.2">
      <c r="B235" s="2829" t="s">
        <v>200</v>
      </c>
      <c r="C235" s="2828"/>
      <c r="D235" s="2792"/>
      <c r="E235" s="2792"/>
      <c r="F235" s="2792"/>
      <c r="G235" s="2792"/>
      <c r="H235" s="2792"/>
      <c r="I235" s="2792"/>
      <c r="J235" s="3742"/>
    </row>
    <row r="236" spans="2:10" ht="18" hidden="1" customHeight="1" outlineLevel="2" x14ac:dyDescent="0.2">
      <c r="B236" s="2830" t="s">
        <v>1159</v>
      </c>
      <c r="C236" s="2831" t="s">
        <v>278</v>
      </c>
      <c r="D236" s="2793" t="s">
        <v>2153</v>
      </c>
      <c r="E236" s="2755" t="s">
        <v>2147</v>
      </c>
      <c r="F236" s="2798" t="s">
        <v>2147</v>
      </c>
      <c r="G236" s="2790" t="s">
        <v>2147</v>
      </c>
      <c r="H236" s="2794" t="s">
        <v>2153</v>
      </c>
      <c r="I236" s="2795" t="s">
        <v>2154</v>
      </c>
      <c r="J236" s="3743" t="s">
        <v>2154</v>
      </c>
    </row>
    <row r="237" spans="2:10" ht="18" hidden="1" customHeight="1" outlineLevel="2" x14ac:dyDescent="0.2">
      <c r="B237" s="2830" t="s">
        <v>1160</v>
      </c>
      <c r="C237" s="2832" t="s">
        <v>278</v>
      </c>
      <c r="D237" s="2793" t="s">
        <v>2154</v>
      </c>
      <c r="E237" s="2755" t="s">
        <v>2147</v>
      </c>
      <c r="F237" s="2798" t="s">
        <v>2147</v>
      </c>
      <c r="G237" s="2790" t="s">
        <v>2147</v>
      </c>
      <c r="H237" s="2794" t="s">
        <v>2154</v>
      </c>
      <c r="I237" s="2795" t="s">
        <v>2154</v>
      </c>
      <c r="J237" s="3743" t="s">
        <v>2154</v>
      </c>
    </row>
    <row r="238" spans="2:10" ht="18" hidden="1" customHeight="1" outlineLevel="2" x14ac:dyDescent="0.2">
      <c r="B238" s="2830" t="s">
        <v>1161</v>
      </c>
      <c r="C238" s="2833"/>
      <c r="D238" s="2754" t="s">
        <v>2147</v>
      </c>
      <c r="E238" s="2755" t="s">
        <v>2147</v>
      </c>
      <c r="F238" s="2753" t="s">
        <v>2147</v>
      </c>
      <c r="G238" s="2754" t="s">
        <v>2147</v>
      </c>
      <c r="H238" s="2756" t="s">
        <v>2147</v>
      </c>
      <c r="I238" s="2753" t="s">
        <v>2147</v>
      </c>
      <c r="J238" s="3733" t="s">
        <v>2147</v>
      </c>
    </row>
    <row r="239" spans="2:10" ht="18" hidden="1" customHeight="1" outlineLevel="2" x14ac:dyDescent="0.2">
      <c r="B239" s="2834" t="s">
        <v>2147</v>
      </c>
      <c r="C239" s="2835" t="s">
        <v>2147</v>
      </c>
      <c r="D239" s="2757" t="s">
        <v>2147</v>
      </c>
      <c r="E239" s="2755" t="s">
        <v>2147</v>
      </c>
      <c r="F239" s="2753" t="s">
        <v>2147</v>
      </c>
      <c r="G239" s="2754" t="s">
        <v>2147</v>
      </c>
      <c r="H239" s="2794" t="s">
        <v>2147</v>
      </c>
      <c r="I239" s="2758" t="s">
        <v>2147</v>
      </c>
      <c r="J239" s="3744" t="s">
        <v>2147</v>
      </c>
    </row>
    <row r="240" spans="2:10" ht="18" hidden="1" customHeight="1" outlineLevel="2" x14ac:dyDescent="0.2">
      <c r="B240" s="2827" t="s">
        <v>1162</v>
      </c>
      <c r="C240" s="2828"/>
      <c r="D240" s="2797" t="s">
        <v>2154</v>
      </c>
      <c r="E240" s="2755" t="s">
        <v>2147</v>
      </c>
      <c r="F240" s="2798" t="s">
        <v>2147</v>
      </c>
      <c r="G240" s="2790" t="s">
        <v>2147</v>
      </c>
      <c r="H240" s="2791" t="s">
        <v>2154</v>
      </c>
      <c r="I240" s="2753" t="s">
        <v>2154</v>
      </c>
      <c r="J240" s="3733" t="s">
        <v>2154</v>
      </c>
    </row>
    <row r="241" spans="2:10" ht="18" hidden="1" customHeight="1" outlineLevel="2" x14ac:dyDescent="0.2">
      <c r="B241" s="2829" t="s">
        <v>200</v>
      </c>
      <c r="C241" s="2828"/>
      <c r="D241" s="2766"/>
      <c r="E241" s="2766"/>
      <c r="F241" s="2767"/>
      <c r="G241" s="2767"/>
      <c r="H241" s="2767"/>
      <c r="I241" s="2767"/>
      <c r="J241" s="3746"/>
    </row>
    <row r="242" spans="2:10" ht="18" hidden="1" customHeight="1" outlineLevel="2" x14ac:dyDescent="0.2">
      <c r="B242" s="2830" t="s">
        <v>1163</v>
      </c>
      <c r="C242" s="2835" t="s">
        <v>278</v>
      </c>
      <c r="D242" s="2757" t="s">
        <v>2154</v>
      </c>
      <c r="E242" s="2755" t="s">
        <v>2147</v>
      </c>
      <c r="F242" s="2753" t="s">
        <v>2147</v>
      </c>
      <c r="G242" s="2754" t="s">
        <v>2147</v>
      </c>
      <c r="H242" s="2765" t="s">
        <v>2154</v>
      </c>
      <c r="I242" s="2758" t="s">
        <v>2154</v>
      </c>
      <c r="J242" s="3744" t="s">
        <v>2154</v>
      </c>
    </row>
    <row r="243" spans="2:10" ht="18" hidden="1" customHeight="1" outlineLevel="2" x14ac:dyDescent="0.2">
      <c r="B243" s="2830" t="s">
        <v>1164</v>
      </c>
      <c r="C243" s="2828"/>
      <c r="D243" s="2754" t="s">
        <v>2147</v>
      </c>
      <c r="E243" s="2755" t="s">
        <v>2147</v>
      </c>
      <c r="F243" s="2753" t="s">
        <v>2147</v>
      </c>
      <c r="G243" s="2754" t="s">
        <v>2147</v>
      </c>
      <c r="H243" s="2756" t="s">
        <v>2147</v>
      </c>
      <c r="I243" s="2753" t="s">
        <v>2147</v>
      </c>
      <c r="J243" s="3733" t="s">
        <v>2147</v>
      </c>
    </row>
    <row r="244" spans="2:10" ht="18" hidden="1" customHeight="1" outlineLevel="2" x14ac:dyDescent="0.2">
      <c r="B244" s="2834" t="s">
        <v>2147</v>
      </c>
      <c r="C244" s="2835" t="s">
        <v>2147</v>
      </c>
      <c r="D244" s="2757" t="s">
        <v>2147</v>
      </c>
      <c r="E244" s="2755" t="s">
        <v>2147</v>
      </c>
      <c r="F244" s="2753" t="s">
        <v>2147</v>
      </c>
      <c r="G244" s="2754" t="s">
        <v>2147</v>
      </c>
      <c r="H244" s="2794" t="s">
        <v>2147</v>
      </c>
      <c r="I244" s="2758" t="s">
        <v>2147</v>
      </c>
      <c r="J244" s="3744" t="s">
        <v>2147</v>
      </c>
    </row>
    <row r="245" spans="2:10" ht="18" hidden="1" customHeight="1" outlineLevel="1" collapsed="1" x14ac:dyDescent="0.2">
      <c r="B245" s="2836" t="s">
        <v>1184</v>
      </c>
      <c r="C245" s="2837"/>
      <c r="D245" s="2799" t="s">
        <v>2238</v>
      </c>
      <c r="E245" s="2821" t="s">
        <v>2147</v>
      </c>
      <c r="F245" s="2822" t="s">
        <v>2147</v>
      </c>
      <c r="G245" s="2799" t="s">
        <v>2147</v>
      </c>
      <c r="H245" s="2800" t="s">
        <v>2238</v>
      </c>
      <c r="I245" s="2768" t="s">
        <v>2154</v>
      </c>
      <c r="J245" s="3747" t="s">
        <v>2154</v>
      </c>
    </row>
    <row r="246" spans="2:10" ht="18" hidden="1" customHeight="1" outlineLevel="2" x14ac:dyDescent="0.2">
      <c r="B246" s="2827" t="s">
        <v>1158</v>
      </c>
      <c r="C246" s="2828"/>
      <c r="D246" s="2790" t="s">
        <v>2146</v>
      </c>
      <c r="E246" s="2820" t="s">
        <v>2147</v>
      </c>
      <c r="F246" s="2798" t="s">
        <v>2147</v>
      </c>
      <c r="G246" s="2790" t="s">
        <v>2147</v>
      </c>
      <c r="H246" s="2791" t="s">
        <v>2146</v>
      </c>
      <c r="I246" s="2753" t="s">
        <v>2146</v>
      </c>
      <c r="J246" s="3733" t="s">
        <v>2146</v>
      </c>
    </row>
    <row r="247" spans="2:10" ht="18" hidden="1" customHeight="1" outlineLevel="2" x14ac:dyDescent="0.2">
      <c r="B247" s="2829" t="s">
        <v>200</v>
      </c>
      <c r="C247" s="2828"/>
      <c r="D247" s="2792"/>
      <c r="E247" s="2792"/>
      <c r="F247" s="2792"/>
      <c r="G247" s="2792"/>
      <c r="H247" s="2792"/>
      <c r="I247" s="2792"/>
      <c r="J247" s="3742"/>
    </row>
    <row r="248" spans="2:10" ht="18" hidden="1" customHeight="1" outlineLevel="2" x14ac:dyDescent="0.2">
      <c r="B248" s="2830" t="s">
        <v>1159</v>
      </c>
      <c r="C248" s="2831" t="s">
        <v>278</v>
      </c>
      <c r="D248" s="2793" t="s">
        <v>2146</v>
      </c>
      <c r="E248" s="2755" t="s">
        <v>2147</v>
      </c>
      <c r="F248" s="2798" t="s">
        <v>2147</v>
      </c>
      <c r="G248" s="2790" t="s">
        <v>2147</v>
      </c>
      <c r="H248" s="2794" t="s">
        <v>2146</v>
      </c>
      <c r="I248" s="2795" t="s">
        <v>2146</v>
      </c>
      <c r="J248" s="3743" t="s">
        <v>2146</v>
      </c>
    </row>
    <row r="249" spans="2:10" ht="18" hidden="1" customHeight="1" outlineLevel="2" x14ac:dyDescent="0.2">
      <c r="B249" s="2830" t="s">
        <v>1160</v>
      </c>
      <c r="C249" s="2832" t="s">
        <v>278</v>
      </c>
      <c r="D249" s="2793" t="s">
        <v>2146</v>
      </c>
      <c r="E249" s="2755" t="s">
        <v>2147</v>
      </c>
      <c r="F249" s="2798" t="s">
        <v>2147</v>
      </c>
      <c r="G249" s="2790" t="s">
        <v>2147</v>
      </c>
      <c r="H249" s="2794" t="s">
        <v>2146</v>
      </c>
      <c r="I249" s="2795" t="s">
        <v>2146</v>
      </c>
      <c r="J249" s="3743" t="s">
        <v>2146</v>
      </c>
    </row>
    <row r="250" spans="2:10" ht="18" hidden="1" customHeight="1" outlineLevel="2" x14ac:dyDescent="0.2">
      <c r="B250" s="2830" t="s">
        <v>1161</v>
      </c>
      <c r="C250" s="2833"/>
      <c r="D250" s="2754" t="s">
        <v>2147</v>
      </c>
      <c r="E250" s="2755" t="s">
        <v>2147</v>
      </c>
      <c r="F250" s="2753" t="s">
        <v>2147</v>
      </c>
      <c r="G250" s="2754" t="s">
        <v>2147</v>
      </c>
      <c r="H250" s="2756" t="s">
        <v>2147</v>
      </c>
      <c r="I250" s="2753" t="s">
        <v>2147</v>
      </c>
      <c r="J250" s="3733" t="s">
        <v>2147</v>
      </c>
    </row>
    <row r="251" spans="2:10" ht="18" hidden="1" customHeight="1" outlineLevel="2" x14ac:dyDescent="0.2">
      <c r="B251" s="2834" t="s">
        <v>2147</v>
      </c>
      <c r="C251" s="2835" t="s">
        <v>2147</v>
      </c>
      <c r="D251" s="2757" t="s">
        <v>2147</v>
      </c>
      <c r="E251" s="2755" t="s">
        <v>2147</v>
      </c>
      <c r="F251" s="2753" t="s">
        <v>2147</v>
      </c>
      <c r="G251" s="2754" t="s">
        <v>2147</v>
      </c>
      <c r="H251" s="2794" t="s">
        <v>2147</v>
      </c>
      <c r="I251" s="2758" t="s">
        <v>2147</v>
      </c>
      <c r="J251" s="3744" t="s">
        <v>2147</v>
      </c>
    </row>
    <row r="252" spans="2:10" ht="18" hidden="1" customHeight="1" outlineLevel="2" x14ac:dyDescent="0.2">
      <c r="B252" s="2827" t="s">
        <v>1162</v>
      </c>
      <c r="C252" s="2828"/>
      <c r="D252" s="2797" t="s">
        <v>2146</v>
      </c>
      <c r="E252" s="2755" t="s">
        <v>2147</v>
      </c>
      <c r="F252" s="2798" t="s">
        <v>2147</v>
      </c>
      <c r="G252" s="2790" t="s">
        <v>2147</v>
      </c>
      <c r="H252" s="2791" t="s">
        <v>2146</v>
      </c>
      <c r="I252" s="2753" t="s">
        <v>2146</v>
      </c>
      <c r="J252" s="3733" t="s">
        <v>2146</v>
      </c>
    </row>
    <row r="253" spans="2:10" ht="18" hidden="1" customHeight="1" outlineLevel="2" x14ac:dyDescent="0.2">
      <c r="B253" s="2829" t="s">
        <v>200</v>
      </c>
      <c r="C253" s="2828"/>
      <c r="D253" s="2766"/>
      <c r="E253" s="2766"/>
      <c r="F253" s="2767"/>
      <c r="G253" s="2767"/>
      <c r="H253" s="2767"/>
      <c r="I253" s="2767"/>
      <c r="J253" s="3746"/>
    </row>
    <row r="254" spans="2:10" ht="18" hidden="1" customHeight="1" outlineLevel="2" x14ac:dyDescent="0.2">
      <c r="B254" s="2830" t="s">
        <v>1163</v>
      </c>
      <c r="C254" s="2835" t="s">
        <v>278</v>
      </c>
      <c r="D254" s="2757" t="s">
        <v>2146</v>
      </c>
      <c r="E254" s="2755" t="s">
        <v>2147</v>
      </c>
      <c r="F254" s="2753" t="s">
        <v>2147</v>
      </c>
      <c r="G254" s="2754" t="s">
        <v>2147</v>
      </c>
      <c r="H254" s="2765" t="s">
        <v>2146</v>
      </c>
      <c r="I254" s="2758" t="s">
        <v>2146</v>
      </c>
      <c r="J254" s="3744" t="s">
        <v>2146</v>
      </c>
    </row>
    <row r="255" spans="2:10" ht="18" hidden="1" customHeight="1" outlineLevel="2" x14ac:dyDescent="0.2">
      <c r="B255" s="2830" t="s">
        <v>1164</v>
      </c>
      <c r="C255" s="2828"/>
      <c r="D255" s="2754" t="s">
        <v>2147</v>
      </c>
      <c r="E255" s="2755" t="s">
        <v>2147</v>
      </c>
      <c r="F255" s="2753" t="s">
        <v>2147</v>
      </c>
      <c r="G255" s="2754" t="s">
        <v>2147</v>
      </c>
      <c r="H255" s="2756" t="s">
        <v>2147</v>
      </c>
      <c r="I255" s="2753" t="s">
        <v>2147</v>
      </c>
      <c r="J255" s="3733" t="s">
        <v>2147</v>
      </c>
    </row>
    <row r="256" spans="2:10" ht="18" hidden="1" customHeight="1" outlineLevel="2" x14ac:dyDescent="0.2">
      <c r="B256" s="2834" t="s">
        <v>2147</v>
      </c>
      <c r="C256" s="2835" t="s">
        <v>2147</v>
      </c>
      <c r="D256" s="2757" t="s">
        <v>2147</v>
      </c>
      <c r="E256" s="2755" t="s">
        <v>2147</v>
      </c>
      <c r="F256" s="2753" t="s">
        <v>2147</v>
      </c>
      <c r="G256" s="2754" t="s">
        <v>2147</v>
      </c>
      <c r="H256" s="2794" t="s">
        <v>2147</v>
      </c>
      <c r="I256" s="2758" t="s">
        <v>2147</v>
      </c>
      <c r="J256" s="3744" t="s">
        <v>2147</v>
      </c>
    </row>
    <row r="257" spans="2:10" ht="18" hidden="1" customHeight="1" outlineLevel="1" collapsed="1" thickBot="1" x14ac:dyDescent="0.25">
      <c r="B257" s="2836" t="s">
        <v>1185</v>
      </c>
      <c r="C257" s="2837"/>
      <c r="D257" s="2799" t="s">
        <v>2238</v>
      </c>
      <c r="E257" s="2821" t="s">
        <v>2147</v>
      </c>
      <c r="F257" s="2822" t="s">
        <v>2147</v>
      </c>
      <c r="G257" s="2799" t="s">
        <v>2147</v>
      </c>
      <c r="H257" s="2800" t="s">
        <v>2238</v>
      </c>
      <c r="I257" s="2768" t="s">
        <v>2154</v>
      </c>
      <c r="J257" s="3747" t="s">
        <v>2154</v>
      </c>
    </row>
    <row r="258" spans="2:10" ht="18" hidden="1" customHeight="1" outlineLevel="2" x14ac:dyDescent="0.2">
      <c r="B258" s="2827" t="s">
        <v>1158</v>
      </c>
      <c r="C258" s="2828"/>
      <c r="D258" s="2790" t="s">
        <v>2146</v>
      </c>
      <c r="E258" s="2820" t="s">
        <v>2147</v>
      </c>
      <c r="F258" s="2798" t="s">
        <v>2147</v>
      </c>
      <c r="G258" s="2790" t="s">
        <v>2147</v>
      </c>
      <c r="H258" s="2791" t="s">
        <v>2146</v>
      </c>
      <c r="I258" s="2753" t="s">
        <v>2146</v>
      </c>
      <c r="J258" s="3733" t="s">
        <v>2146</v>
      </c>
    </row>
    <row r="259" spans="2:10" ht="18" hidden="1" customHeight="1" outlineLevel="2" x14ac:dyDescent="0.2">
      <c r="B259" s="2829" t="s">
        <v>200</v>
      </c>
      <c r="C259" s="2828"/>
      <c r="D259" s="2792"/>
      <c r="E259" s="2792"/>
      <c r="F259" s="2792"/>
      <c r="G259" s="2792"/>
      <c r="H259" s="2792"/>
      <c r="I259" s="2792"/>
      <c r="J259" s="3742"/>
    </row>
    <row r="260" spans="2:10" ht="18" hidden="1" customHeight="1" outlineLevel="2" x14ac:dyDescent="0.2">
      <c r="B260" s="2830" t="s">
        <v>1159</v>
      </c>
      <c r="C260" s="2831" t="s">
        <v>278</v>
      </c>
      <c r="D260" s="2793" t="s">
        <v>2146</v>
      </c>
      <c r="E260" s="2755" t="s">
        <v>2147</v>
      </c>
      <c r="F260" s="2798" t="s">
        <v>2147</v>
      </c>
      <c r="G260" s="2790" t="s">
        <v>2147</v>
      </c>
      <c r="H260" s="2794" t="s">
        <v>2146</v>
      </c>
      <c r="I260" s="2795" t="s">
        <v>2146</v>
      </c>
      <c r="J260" s="3743" t="s">
        <v>2146</v>
      </c>
    </row>
    <row r="261" spans="2:10" ht="18" hidden="1" customHeight="1" outlineLevel="2" x14ac:dyDescent="0.2">
      <c r="B261" s="2830" t="s">
        <v>1160</v>
      </c>
      <c r="C261" s="2832" t="s">
        <v>278</v>
      </c>
      <c r="D261" s="2793" t="s">
        <v>2146</v>
      </c>
      <c r="E261" s="2755" t="s">
        <v>2147</v>
      </c>
      <c r="F261" s="2798" t="s">
        <v>2147</v>
      </c>
      <c r="G261" s="2790" t="s">
        <v>2147</v>
      </c>
      <c r="H261" s="2794" t="s">
        <v>2146</v>
      </c>
      <c r="I261" s="2795" t="s">
        <v>2146</v>
      </c>
      <c r="J261" s="3743" t="s">
        <v>2146</v>
      </c>
    </row>
    <row r="262" spans="2:10" ht="18" hidden="1" customHeight="1" outlineLevel="2" x14ac:dyDescent="0.2">
      <c r="B262" s="2830" t="s">
        <v>1161</v>
      </c>
      <c r="C262" s="2833"/>
      <c r="D262" s="2754" t="s">
        <v>2147</v>
      </c>
      <c r="E262" s="2755" t="s">
        <v>2147</v>
      </c>
      <c r="F262" s="2753" t="s">
        <v>2147</v>
      </c>
      <c r="G262" s="2754" t="s">
        <v>2147</v>
      </c>
      <c r="H262" s="2756" t="s">
        <v>2147</v>
      </c>
      <c r="I262" s="2753" t="s">
        <v>2147</v>
      </c>
      <c r="J262" s="3733" t="s">
        <v>2147</v>
      </c>
    </row>
    <row r="263" spans="2:10" ht="18" hidden="1" customHeight="1" outlineLevel="2" x14ac:dyDescent="0.2">
      <c r="B263" s="2834" t="s">
        <v>2147</v>
      </c>
      <c r="C263" s="2835" t="s">
        <v>2147</v>
      </c>
      <c r="D263" s="2757" t="s">
        <v>2147</v>
      </c>
      <c r="E263" s="2755" t="s">
        <v>2147</v>
      </c>
      <c r="F263" s="2753" t="s">
        <v>2147</v>
      </c>
      <c r="G263" s="2754" t="s">
        <v>2147</v>
      </c>
      <c r="H263" s="2794" t="s">
        <v>2147</v>
      </c>
      <c r="I263" s="2758" t="s">
        <v>2147</v>
      </c>
      <c r="J263" s="3744" t="s">
        <v>2147</v>
      </c>
    </row>
    <row r="264" spans="2:10" ht="18" hidden="1" customHeight="1" outlineLevel="2" x14ac:dyDescent="0.2">
      <c r="B264" s="2827" t="s">
        <v>1162</v>
      </c>
      <c r="C264" s="2828"/>
      <c r="D264" s="2797" t="s">
        <v>2146</v>
      </c>
      <c r="E264" s="2755" t="s">
        <v>2147</v>
      </c>
      <c r="F264" s="2798" t="s">
        <v>2147</v>
      </c>
      <c r="G264" s="2790" t="s">
        <v>2147</v>
      </c>
      <c r="H264" s="2791" t="s">
        <v>2146</v>
      </c>
      <c r="I264" s="2753" t="s">
        <v>2146</v>
      </c>
      <c r="J264" s="3733" t="s">
        <v>2146</v>
      </c>
    </row>
    <row r="265" spans="2:10" ht="18" hidden="1" customHeight="1" outlineLevel="2" x14ac:dyDescent="0.2">
      <c r="B265" s="2829" t="s">
        <v>200</v>
      </c>
      <c r="C265" s="2828"/>
      <c r="D265" s="2766"/>
      <c r="E265" s="2766"/>
      <c r="F265" s="2767"/>
      <c r="G265" s="2767"/>
      <c r="H265" s="2767"/>
      <c r="I265" s="2767"/>
      <c r="J265" s="3746"/>
    </row>
    <row r="266" spans="2:10" ht="18" hidden="1" customHeight="1" outlineLevel="2" x14ac:dyDescent="0.2">
      <c r="B266" s="2830" t="s">
        <v>1163</v>
      </c>
      <c r="C266" s="2835" t="s">
        <v>278</v>
      </c>
      <c r="D266" s="2757" t="s">
        <v>2146</v>
      </c>
      <c r="E266" s="2755" t="s">
        <v>2147</v>
      </c>
      <c r="F266" s="2753" t="s">
        <v>2147</v>
      </c>
      <c r="G266" s="2754" t="s">
        <v>2147</v>
      </c>
      <c r="H266" s="2765" t="s">
        <v>2146</v>
      </c>
      <c r="I266" s="2758" t="s">
        <v>2146</v>
      </c>
      <c r="J266" s="3744" t="s">
        <v>2146</v>
      </c>
    </row>
    <row r="267" spans="2:10" ht="18" hidden="1" customHeight="1" outlineLevel="2" x14ac:dyDescent="0.2">
      <c r="B267" s="2830" t="s">
        <v>1164</v>
      </c>
      <c r="C267" s="2828"/>
      <c r="D267" s="2754" t="s">
        <v>2147</v>
      </c>
      <c r="E267" s="2755" t="s">
        <v>2147</v>
      </c>
      <c r="F267" s="2753" t="s">
        <v>2147</v>
      </c>
      <c r="G267" s="2754" t="s">
        <v>2147</v>
      </c>
      <c r="H267" s="2756" t="s">
        <v>2147</v>
      </c>
      <c r="I267" s="2753" t="s">
        <v>2147</v>
      </c>
      <c r="J267" s="3733" t="s">
        <v>2147</v>
      </c>
    </row>
    <row r="268" spans="2:10" ht="18" hidden="1" customHeight="1" outlineLevel="2" thickBot="1" x14ac:dyDescent="0.25">
      <c r="B268" s="2834" t="s">
        <v>2147</v>
      </c>
      <c r="C268" s="2835" t="s">
        <v>2147</v>
      </c>
      <c r="D268" s="2757" t="s">
        <v>2147</v>
      </c>
      <c r="E268" s="2755" t="s">
        <v>2147</v>
      </c>
      <c r="F268" s="2753" t="s">
        <v>2147</v>
      </c>
      <c r="G268" s="2754" t="s">
        <v>2147</v>
      </c>
      <c r="H268" s="2794" t="s">
        <v>2147</v>
      </c>
      <c r="I268" s="2758" t="s">
        <v>2147</v>
      </c>
      <c r="J268" s="3744" t="s">
        <v>2147</v>
      </c>
    </row>
    <row r="269" spans="2:10" ht="18" customHeight="1" x14ac:dyDescent="0.2">
      <c r="B269" s="1440" t="s">
        <v>1186</v>
      </c>
      <c r="C269" s="2840"/>
      <c r="D269" s="2804"/>
      <c r="E269" s="2805"/>
      <c r="F269" s="2806"/>
      <c r="G269" s="2807"/>
      <c r="H269" s="2818" t="s">
        <v>2238</v>
      </c>
      <c r="I269" s="2813" t="s">
        <v>2154</v>
      </c>
      <c r="J269" s="3748">
        <f>SUM(J270,J320)</f>
        <v>69.990630695396689</v>
      </c>
    </row>
    <row r="270" spans="2:10" ht="18" customHeight="1" x14ac:dyDescent="0.2">
      <c r="B270" s="2827" t="s">
        <v>1187</v>
      </c>
      <c r="C270" s="2828"/>
      <c r="D270" s="2808"/>
      <c r="E270" s="2809"/>
      <c r="F270" s="2810"/>
      <c r="G270" s="2811"/>
      <c r="H270" s="2819" t="s">
        <v>2154</v>
      </c>
      <c r="I270" s="2815" t="s">
        <v>2154</v>
      </c>
      <c r="J270" s="3741">
        <f>J277</f>
        <v>62.468220604424474</v>
      </c>
    </row>
    <row r="271" spans="2:10" ht="18" customHeight="1" outlineLevel="1" x14ac:dyDescent="0.2">
      <c r="B271" s="2827" t="s">
        <v>1158</v>
      </c>
      <c r="C271" s="2841"/>
      <c r="D271" s="3727" t="s">
        <v>2146</v>
      </c>
      <c r="E271" s="2776" t="s">
        <v>2147</v>
      </c>
      <c r="F271" s="2777" t="s">
        <v>2147</v>
      </c>
      <c r="G271" s="2775" t="s">
        <v>2147</v>
      </c>
      <c r="H271" s="2778" t="s">
        <v>2146</v>
      </c>
      <c r="I271" s="2777" t="s">
        <v>2146</v>
      </c>
      <c r="J271" s="3734" t="s">
        <v>2146</v>
      </c>
    </row>
    <row r="272" spans="2:10" ht="18" customHeight="1" outlineLevel="1" x14ac:dyDescent="0.2">
      <c r="B272" s="2829" t="s">
        <v>200</v>
      </c>
      <c r="C272" s="2833"/>
      <c r="D272" s="3728"/>
      <c r="E272" s="2766"/>
      <c r="F272" s="2766"/>
      <c r="G272" s="2766"/>
      <c r="H272" s="2766"/>
      <c r="I272" s="2766"/>
      <c r="J272" s="3749"/>
    </row>
    <row r="273" spans="2:10" ht="18" customHeight="1" outlineLevel="1" x14ac:dyDescent="0.2">
      <c r="B273" s="2830" t="s">
        <v>1159</v>
      </c>
      <c r="C273" s="2835" t="s">
        <v>278</v>
      </c>
      <c r="D273" s="3729" t="s">
        <v>2146</v>
      </c>
      <c r="E273" s="2755" t="s">
        <v>2147</v>
      </c>
      <c r="F273" s="2777" t="s">
        <v>2147</v>
      </c>
      <c r="G273" s="2775" t="s">
        <v>2147</v>
      </c>
      <c r="H273" s="2780" t="s">
        <v>2146</v>
      </c>
      <c r="I273" s="2781" t="s">
        <v>2146</v>
      </c>
      <c r="J273" s="3726" t="s">
        <v>2146</v>
      </c>
    </row>
    <row r="274" spans="2:10" ht="18" customHeight="1" outlineLevel="1" x14ac:dyDescent="0.2">
      <c r="B274" s="2830" t="s">
        <v>1160</v>
      </c>
      <c r="C274" s="2835" t="s">
        <v>278</v>
      </c>
      <c r="D274" s="3729" t="s">
        <v>2154</v>
      </c>
      <c r="E274" s="2755" t="s">
        <v>2147</v>
      </c>
      <c r="F274" s="2777" t="s">
        <v>2147</v>
      </c>
      <c r="G274" s="2775" t="s">
        <v>2147</v>
      </c>
      <c r="H274" s="2780" t="s">
        <v>2154</v>
      </c>
      <c r="I274" s="2781" t="s">
        <v>2154</v>
      </c>
      <c r="J274" s="3726" t="s">
        <v>2154</v>
      </c>
    </row>
    <row r="275" spans="2:10" ht="18" customHeight="1" outlineLevel="1" x14ac:dyDescent="0.2">
      <c r="B275" s="2830" t="s">
        <v>1161</v>
      </c>
      <c r="C275" s="2833"/>
      <c r="D275" s="3730" t="s">
        <v>2147</v>
      </c>
      <c r="E275" s="2755" t="s">
        <v>2147</v>
      </c>
      <c r="F275" s="2753" t="s">
        <v>2147</v>
      </c>
      <c r="G275" s="2754" t="s">
        <v>2147</v>
      </c>
      <c r="H275" s="2756" t="s">
        <v>2147</v>
      </c>
      <c r="I275" s="2753" t="s">
        <v>2147</v>
      </c>
      <c r="J275" s="3733" t="s">
        <v>2147</v>
      </c>
    </row>
    <row r="276" spans="2:10" ht="18" customHeight="1" outlineLevel="1" x14ac:dyDescent="0.2">
      <c r="B276" s="2834" t="s">
        <v>2147</v>
      </c>
      <c r="C276" s="2835" t="s">
        <v>2147</v>
      </c>
      <c r="D276" s="3729" t="s">
        <v>2147</v>
      </c>
      <c r="E276" s="2755" t="s">
        <v>2147</v>
      </c>
      <c r="F276" s="2753" t="s">
        <v>2147</v>
      </c>
      <c r="G276" s="2754" t="s">
        <v>2147</v>
      </c>
      <c r="H276" s="2780" t="s">
        <v>2147</v>
      </c>
      <c r="I276" s="2758" t="s">
        <v>2147</v>
      </c>
      <c r="J276" s="3744" t="s">
        <v>2147</v>
      </c>
    </row>
    <row r="277" spans="2:10" ht="18" customHeight="1" outlineLevel="1" x14ac:dyDescent="0.2">
      <c r="B277" s="2827" t="s">
        <v>1162</v>
      </c>
      <c r="C277" s="2841"/>
      <c r="D277" s="3727">
        <f t="shared" ref="D277" si="0">D302</f>
        <v>621.54707725777757</v>
      </c>
      <c r="E277" s="2755" t="s">
        <v>2147</v>
      </c>
      <c r="F277" s="2753" t="s">
        <v>2147</v>
      </c>
      <c r="G277" s="3735">
        <f>IF(SUM(D277)=0,"NA",J277*1000/D277)</f>
        <v>100.50440729289552</v>
      </c>
      <c r="H277" s="2778" t="str">
        <f t="shared" ref="H277:J277" si="1">H302</f>
        <v>NE</v>
      </c>
      <c r="I277" s="2777" t="str">
        <f t="shared" si="1"/>
        <v>NE</v>
      </c>
      <c r="J277" s="3734">
        <f t="shared" si="1"/>
        <v>62.468220604424474</v>
      </c>
    </row>
    <row r="278" spans="2:10" ht="18" customHeight="1" outlineLevel="1" x14ac:dyDescent="0.2">
      <c r="B278" s="2829" t="s">
        <v>200</v>
      </c>
      <c r="C278" s="2833"/>
      <c r="D278" s="3728"/>
      <c r="E278" s="2766"/>
      <c r="F278" s="2766"/>
      <c r="G278" s="3736"/>
      <c r="H278" s="2766"/>
      <c r="I278" s="2766"/>
      <c r="J278" s="3749"/>
    </row>
    <row r="279" spans="2:10" ht="18" customHeight="1" outlineLevel="1" x14ac:dyDescent="0.2">
      <c r="B279" s="2830" t="s">
        <v>1163</v>
      </c>
      <c r="C279" s="2835" t="s">
        <v>278</v>
      </c>
      <c r="D279" s="3729" t="s">
        <v>2154</v>
      </c>
      <c r="E279" s="2755" t="s">
        <v>2147</v>
      </c>
      <c r="F279" s="2777" t="s">
        <v>2147</v>
      </c>
      <c r="G279" s="3737" t="s">
        <v>2147</v>
      </c>
      <c r="H279" s="2780" t="s">
        <v>2154</v>
      </c>
      <c r="I279" s="2781" t="s">
        <v>2154</v>
      </c>
      <c r="J279" s="3726" t="s">
        <v>2154</v>
      </c>
    </row>
    <row r="280" spans="2:10" ht="18" customHeight="1" outlineLevel="1" x14ac:dyDescent="0.2">
      <c r="B280" s="2830" t="s">
        <v>1164</v>
      </c>
      <c r="C280" s="2833"/>
      <c r="D280" s="3730" t="s">
        <v>2147</v>
      </c>
      <c r="E280" s="2755" t="s">
        <v>2147</v>
      </c>
      <c r="F280" s="2753" t="s">
        <v>2147</v>
      </c>
      <c r="G280" s="3735" t="s">
        <v>2147</v>
      </c>
      <c r="H280" s="2756" t="s">
        <v>2147</v>
      </c>
      <c r="I280" s="2753" t="s">
        <v>2147</v>
      </c>
      <c r="J280" s="3733" t="s">
        <v>2147</v>
      </c>
    </row>
    <row r="281" spans="2:10" ht="18" customHeight="1" outlineLevel="1" x14ac:dyDescent="0.2">
      <c r="B281" s="2844" t="str">
        <f>B306</f>
        <v>Reservoirs</v>
      </c>
      <c r="C281" s="2835" t="str">
        <f t="shared" ref="C281:G282" si="2">C306</f>
        <v>Established Reservoirs</v>
      </c>
      <c r="D281" s="3729">
        <f t="shared" si="2"/>
        <v>322.01560330053928</v>
      </c>
      <c r="E281" s="2755" t="str">
        <f t="shared" si="2"/>
        <v>NA</v>
      </c>
      <c r="F281" s="2753" t="str">
        <f t="shared" si="2"/>
        <v>NA</v>
      </c>
      <c r="G281" s="3735">
        <f t="shared" si="2"/>
        <v>117.03975258871169</v>
      </c>
      <c r="H281" s="2780" t="str">
        <f t="shared" ref="H281" si="3">H306</f>
        <v>NA</v>
      </c>
      <c r="I281" s="2758" t="str">
        <f t="shared" ref="I281:J281" si="4">I306</f>
        <v>NA</v>
      </c>
      <c r="J281" s="3744">
        <f t="shared" si="4"/>
        <v>37.688626539999852</v>
      </c>
    </row>
    <row r="282" spans="2:10" ht="18" customHeight="1" outlineLevel="1" x14ac:dyDescent="0.2">
      <c r="B282" s="2847" t="str">
        <f>B307</f>
        <v>Other Constructed Water Bodies</v>
      </c>
      <c r="C282" s="2835" t="str">
        <f t="shared" si="2"/>
        <v>Other Constructed Water Bodies</v>
      </c>
      <c r="D282" s="3729">
        <f t="shared" si="2"/>
        <v>299.53147395723835</v>
      </c>
      <c r="E282" s="2755" t="str">
        <f t="shared" si="2"/>
        <v>NA</v>
      </c>
      <c r="F282" s="2753" t="str">
        <f t="shared" si="2"/>
        <v>NA</v>
      </c>
      <c r="G282" s="3735">
        <f t="shared" si="2"/>
        <v>82.727847384619778</v>
      </c>
      <c r="H282" s="2845" t="str">
        <f t="shared" ref="H282" si="5">H307</f>
        <v>NA</v>
      </c>
      <c r="I282" s="2846" t="str">
        <f t="shared" ref="I282:J282" si="6">I307</f>
        <v>NA</v>
      </c>
      <c r="J282" s="3744">
        <f t="shared" si="6"/>
        <v>24.779594064424625</v>
      </c>
    </row>
    <row r="283" spans="2:10" ht="18" customHeight="1" outlineLevel="1" collapsed="1" x14ac:dyDescent="0.2">
      <c r="B283" s="2573" t="s">
        <v>1188</v>
      </c>
      <c r="C283" s="2828"/>
      <c r="D283" s="3731"/>
      <c r="E283" s="2809"/>
      <c r="F283" s="2810"/>
      <c r="G283" s="3738"/>
      <c r="H283" s="2819" t="s">
        <v>2146</v>
      </c>
      <c r="I283" s="2815" t="s">
        <v>2146</v>
      </c>
      <c r="J283" s="3741" t="s">
        <v>2146</v>
      </c>
    </row>
    <row r="284" spans="2:10" ht="18" hidden="1" customHeight="1" outlineLevel="2" x14ac:dyDescent="0.2">
      <c r="B284" s="2827" t="s">
        <v>1158</v>
      </c>
      <c r="C284" s="2841"/>
      <c r="D284" s="3727" t="s">
        <v>2146</v>
      </c>
      <c r="E284" s="2776" t="s">
        <v>2147</v>
      </c>
      <c r="F284" s="2777" t="s">
        <v>2147</v>
      </c>
      <c r="G284" s="3737" t="s">
        <v>2147</v>
      </c>
      <c r="H284" s="2778" t="s">
        <v>2146</v>
      </c>
      <c r="I284" s="2777" t="s">
        <v>2146</v>
      </c>
      <c r="J284" s="3734" t="s">
        <v>2146</v>
      </c>
    </row>
    <row r="285" spans="2:10" ht="18" hidden="1" customHeight="1" outlineLevel="2" x14ac:dyDescent="0.2">
      <c r="B285" s="2829" t="s">
        <v>200</v>
      </c>
      <c r="C285" s="2833"/>
      <c r="D285" s="3728"/>
      <c r="E285" s="2766"/>
      <c r="F285" s="2766"/>
      <c r="G285" s="3736"/>
      <c r="H285" s="2766"/>
      <c r="I285" s="2766"/>
      <c r="J285" s="3749"/>
    </row>
    <row r="286" spans="2:10" ht="18" hidden="1" customHeight="1" outlineLevel="2" x14ac:dyDescent="0.2">
      <c r="B286" s="2830" t="s">
        <v>1159</v>
      </c>
      <c r="C286" s="2835" t="s">
        <v>278</v>
      </c>
      <c r="D286" s="3729" t="s">
        <v>2146</v>
      </c>
      <c r="E286" s="2755" t="s">
        <v>2147</v>
      </c>
      <c r="F286" s="2777" t="s">
        <v>2147</v>
      </c>
      <c r="G286" s="3737" t="s">
        <v>2147</v>
      </c>
      <c r="H286" s="2780" t="s">
        <v>2146</v>
      </c>
      <c r="I286" s="2781" t="s">
        <v>2146</v>
      </c>
      <c r="J286" s="3726" t="s">
        <v>2146</v>
      </c>
    </row>
    <row r="287" spans="2:10" ht="18" hidden="1" customHeight="1" outlineLevel="2" x14ac:dyDescent="0.2">
      <c r="B287" s="2830" t="s">
        <v>1160</v>
      </c>
      <c r="C287" s="2835" t="s">
        <v>278</v>
      </c>
      <c r="D287" s="3729" t="s">
        <v>2146</v>
      </c>
      <c r="E287" s="2755" t="s">
        <v>2147</v>
      </c>
      <c r="F287" s="2777" t="s">
        <v>2147</v>
      </c>
      <c r="G287" s="3737" t="s">
        <v>2147</v>
      </c>
      <c r="H287" s="2780" t="s">
        <v>2146</v>
      </c>
      <c r="I287" s="2781" t="s">
        <v>2146</v>
      </c>
      <c r="J287" s="3726" t="s">
        <v>2146</v>
      </c>
    </row>
    <row r="288" spans="2:10" ht="18" hidden="1" customHeight="1" outlineLevel="2" x14ac:dyDescent="0.2">
      <c r="B288" s="2830" t="s">
        <v>1161</v>
      </c>
      <c r="C288" s="2833"/>
      <c r="D288" s="3730" t="s">
        <v>2147</v>
      </c>
      <c r="E288" s="2755" t="s">
        <v>2147</v>
      </c>
      <c r="F288" s="2753" t="s">
        <v>2147</v>
      </c>
      <c r="G288" s="3735" t="s">
        <v>2147</v>
      </c>
      <c r="H288" s="2756" t="s">
        <v>2147</v>
      </c>
      <c r="I288" s="2753" t="s">
        <v>2147</v>
      </c>
      <c r="J288" s="3733" t="s">
        <v>2147</v>
      </c>
    </row>
    <row r="289" spans="2:10" ht="18" hidden="1" customHeight="1" outlineLevel="2" x14ac:dyDescent="0.2">
      <c r="B289" s="2834" t="s">
        <v>2147</v>
      </c>
      <c r="C289" s="2835" t="s">
        <v>2147</v>
      </c>
      <c r="D289" s="3729" t="s">
        <v>2147</v>
      </c>
      <c r="E289" s="2755" t="s">
        <v>2147</v>
      </c>
      <c r="F289" s="2753" t="s">
        <v>2147</v>
      </c>
      <c r="G289" s="3735" t="s">
        <v>2147</v>
      </c>
      <c r="H289" s="2780" t="s">
        <v>2147</v>
      </c>
      <c r="I289" s="2758" t="s">
        <v>2147</v>
      </c>
      <c r="J289" s="3744" t="s">
        <v>2147</v>
      </c>
    </row>
    <row r="290" spans="2:10" ht="18" hidden="1" customHeight="1" outlineLevel="2" x14ac:dyDescent="0.2">
      <c r="B290" s="2827" t="s">
        <v>1162</v>
      </c>
      <c r="C290" s="2841"/>
      <c r="D290" s="3727" t="s">
        <v>2146</v>
      </c>
      <c r="E290" s="2776" t="s">
        <v>2147</v>
      </c>
      <c r="F290" s="2777" t="s">
        <v>2147</v>
      </c>
      <c r="G290" s="3737" t="s">
        <v>2147</v>
      </c>
      <c r="H290" s="2778" t="s">
        <v>2146</v>
      </c>
      <c r="I290" s="2777" t="s">
        <v>2146</v>
      </c>
      <c r="J290" s="3734" t="s">
        <v>2146</v>
      </c>
    </row>
    <row r="291" spans="2:10" ht="18" hidden="1" customHeight="1" outlineLevel="2" x14ac:dyDescent="0.2">
      <c r="B291" s="2829" t="s">
        <v>200</v>
      </c>
      <c r="C291" s="2833"/>
      <c r="D291" s="3728"/>
      <c r="E291" s="2766"/>
      <c r="F291" s="2766"/>
      <c r="G291" s="3736"/>
      <c r="H291" s="2766"/>
      <c r="I291" s="2766"/>
      <c r="J291" s="3749"/>
    </row>
    <row r="292" spans="2:10" ht="18" hidden="1" customHeight="1" outlineLevel="2" x14ac:dyDescent="0.2">
      <c r="B292" s="2830" t="s">
        <v>1163</v>
      </c>
      <c r="C292" s="2835" t="s">
        <v>278</v>
      </c>
      <c r="D292" s="3729" t="s">
        <v>2146</v>
      </c>
      <c r="E292" s="2755" t="s">
        <v>2147</v>
      </c>
      <c r="F292" s="2777" t="s">
        <v>2147</v>
      </c>
      <c r="G292" s="3737" t="s">
        <v>2147</v>
      </c>
      <c r="H292" s="2780" t="s">
        <v>2146</v>
      </c>
      <c r="I292" s="2781" t="s">
        <v>2146</v>
      </c>
      <c r="J292" s="3726" t="s">
        <v>2146</v>
      </c>
    </row>
    <row r="293" spans="2:10" ht="18" hidden="1" customHeight="1" outlineLevel="2" x14ac:dyDescent="0.2">
      <c r="B293" s="2830" t="s">
        <v>1164</v>
      </c>
      <c r="C293" s="2833"/>
      <c r="D293" s="3730" t="s">
        <v>2147</v>
      </c>
      <c r="E293" s="2755" t="s">
        <v>2147</v>
      </c>
      <c r="F293" s="2753" t="s">
        <v>2147</v>
      </c>
      <c r="G293" s="3735" t="s">
        <v>2147</v>
      </c>
      <c r="H293" s="2756" t="s">
        <v>2147</v>
      </c>
      <c r="I293" s="2753" t="s">
        <v>2147</v>
      </c>
      <c r="J293" s="3733" t="s">
        <v>2147</v>
      </c>
    </row>
    <row r="294" spans="2:10" ht="18" hidden="1" customHeight="1" outlineLevel="2" x14ac:dyDescent="0.2">
      <c r="B294" s="2834" t="s">
        <v>2147</v>
      </c>
      <c r="C294" s="2835" t="s">
        <v>2147</v>
      </c>
      <c r="D294" s="3729" t="s">
        <v>2147</v>
      </c>
      <c r="E294" s="2755" t="s">
        <v>2147</v>
      </c>
      <c r="F294" s="2753" t="s">
        <v>2147</v>
      </c>
      <c r="G294" s="3735" t="s">
        <v>2147</v>
      </c>
      <c r="H294" s="2780" t="s">
        <v>2147</v>
      </c>
      <c r="I294" s="2758" t="s">
        <v>2147</v>
      </c>
      <c r="J294" s="3744" t="s">
        <v>2147</v>
      </c>
    </row>
    <row r="295" spans="2:10" ht="18" customHeight="1" outlineLevel="1" x14ac:dyDescent="0.2">
      <c r="B295" s="2573" t="s">
        <v>1189</v>
      </c>
      <c r="C295" s="2828"/>
      <c r="D295" s="3731"/>
      <c r="E295" s="2809"/>
      <c r="F295" s="2810"/>
      <c r="G295" s="3738"/>
      <c r="H295" s="2819" t="s">
        <v>2154</v>
      </c>
      <c r="I295" s="2815" t="s">
        <v>2154</v>
      </c>
      <c r="J295" s="3741">
        <f>J302</f>
        <v>62.468220604424474</v>
      </c>
    </row>
    <row r="296" spans="2:10" ht="18" customHeight="1" outlineLevel="2" x14ac:dyDescent="0.2">
      <c r="B296" s="2827" t="s">
        <v>1158</v>
      </c>
      <c r="C296" s="2841"/>
      <c r="D296" s="3727" t="s">
        <v>2146</v>
      </c>
      <c r="E296" s="2776" t="s">
        <v>2147</v>
      </c>
      <c r="F296" s="2777" t="s">
        <v>2147</v>
      </c>
      <c r="G296" s="3737" t="s">
        <v>2147</v>
      </c>
      <c r="H296" s="2778" t="s">
        <v>2146</v>
      </c>
      <c r="I296" s="2777" t="s">
        <v>2146</v>
      </c>
      <c r="J296" s="3734" t="s">
        <v>2146</v>
      </c>
    </row>
    <row r="297" spans="2:10" ht="18" customHeight="1" outlineLevel="2" x14ac:dyDescent="0.2">
      <c r="B297" s="2829" t="s">
        <v>200</v>
      </c>
      <c r="C297" s="2833"/>
      <c r="D297" s="3728"/>
      <c r="E297" s="2766"/>
      <c r="F297" s="2766"/>
      <c r="G297" s="3736"/>
      <c r="H297" s="2766"/>
      <c r="I297" s="2766"/>
      <c r="J297" s="3749"/>
    </row>
    <row r="298" spans="2:10" ht="18" customHeight="1" outlineLevel="2" x14ac:dyDescent="0.2">
      <c r="B298" s="2830" t="s">
        <v>1159</v>
      </c>
      <c r="C298" s="2835" t="s">
        <v>278</v>
      </c>
      <c r="D298" s="3729" t="s">
        <v>2146</v>
      </c>
      <c r="E298" s="2755" t="s">
        <v>2147</v>
      </c>
      <c r="F298" s="2777" t="s">
        <v>2147</v>
      </c>
      <c r="G298" s="3737" t="s">
        <v>2147</v>
      </c>
      <c r="H298" s="2780" t="s">
        <v>2146</v>
      </c>
      <c r="I298" s="2781" t="s">
        <v>2146</v>
      </c>
      <c r="J298" s="3726" t="s">
        <v>2146</v>
      </c>
    </row>
    <row r="299" spans="2:10" ht="18" customHeight="1" outlineLevel="2" x14ac:dyDescent="0.2">
      <c r="B299" s="2830" t="s">
        <v>1160</v>
      </c>
      <c r="C299" s="2835" t="s">
        <v>278</v>
      </c>
      <c r="D299" s="3729" t="s">
        <v>2154</v>
      </c>
      <c r="E299" s="2755" t="s">
        <v>2147</v>
      </c>
      <c r="F299" s="2777" t="s">
        <v>2147</v>
      </c>
      <c r="G299" s="3737" t="s">
        <v>2147</v>
      </c>
      <c r="H299" s="2780" t="s">
        <v>2154</v>
      </c>
      <c r="I299" s="2781" t="s">
        <v>2154</v>
      </c>
      <c r="J299" s="3726" t="s">
        <v>2154</v>
      </c>
    </row>
    <row r="300" spans="2:10" ht="18" customHeight="1" outlineLevel="2" x14ac:dyDescent="0.2">
      <c r="B300" s="2830" t="s">
        <v>1161</v>
      </c>
      <c r="C300" s="2833"/>
      <c r="D300" s="3730" t="s">
        <v>2147</v>
      </c>
      <c r="E300" s="2755" t="s">
        <v>2147</v>
      </c>
      <c r="F300" s="2753" t="s">
        <v>2147</v>
      </c>
      <c r="G300" s="3735" t="s">
        <v>2147</v>
      </c>
      <c r="H300" s="2756" t="s">
        <v>2147</v>
      </c>
      <c r="I300" s="2753" t="s">
        <v>2147</v>
      </c>
      <c r="J300" s="3733" t="s">
        <v>2147</v>
      </c>
    </row>
    <row r="301" spans="2:10" ht="18" customHeight="1" outlineLevel="2" x14ac:dyDescent="0.2">
      <c r="B301" s="2834" t="s">
        <v>2147</v>
      </c>
      <c r="C301" s="2835" t="s">
        <v>2147</v>
      </c>
      <c r="D301" s="3729" t="s">
        <v>2147</v>
      </c>
      <c r="E301" s="2755" t="s">
        <v>2147</v>
      </c>
      <c r="F301" s="2753" t="s">
        <v>2147</v>
      </c>
      <c r="G301" s="3735" t="s">
        <v>2147</v>
      </c>
      <c r="H301" s="2780" t="s">
        <v>2147</v>
      </c>
      <c r="I301" s="2758" t="s">
        <v>2147</v>
      </c>
      <c r="J301" s="3744" t="s">
        <v>2147</v>
      </c>
    </row>
    <row r="302" spans="2:10" ht="18" customHeight="1" outlineLevel="2" x14ac:dyDescent="0.2">
      <c r="B302" s="2827" t="s">
        <v>1162</v>
      </c>
      <c r="C302" s="2841"/>
      <c r="D302" s="3727">
        <f>IF(SUM(D306:D307)=0,"NO",SUM(D306:D307))</f>
        <v>621.54707725777757</v>
      </c>
      <c r="E302" s="2755" t="s">
        <v>2147</v>
      </c>
      <c r="F302" s="2753" t="s">
        <v>2147</v>
      </c>
      <c r="G302" s="3735">
        <f>IF(SUM(D302)=0,"NA",J302*1000/D302)</f>
        <v>100.50440729289552</v>
      </c>
      <c r="H302" s="2778" t="s">
        <v>2154</v>
      </c>
      <c r="I302" s="2777" t="s">
        <v>2154</v>
      </c>
      <c r="J302" s="3734">
        <f t="shared" ref="J302" si="7">IF(SUM(J306:J307)=0,"NO",SUM(J306:J307))</f>
        <v>62.468220604424474</v>
      </c>
    </row>
    <row r="303" spans="2:10" ht="18" customHeight="1" outlineLevel="2" x14ac:dyDescent="0.2">
      <c r="B303" s="2829" t="s">
        <v>200</v>
      </c>
      <c r="C303" s="2833"/>
      <c r="D303" s="3728"/>
      <c r="E303" s="2766"/>
      <c r="F303" s="2766"/>
      <c r="G303" s="3736"/>
      <c r="H303" s="2766"/>
      <c r="I303" s="2766"/>
      <c r="J303" s="3749"/>
    </row>
    <row r="304" spans="2:10" ht="18" customHeight="1" outlineLevel="2" x14ac:dyDescent="0.2">
      <c r="B304" s="2830" t="s">
        <v>1163</v>
      </c>
      <c r="C304" s="2835" t="s">
        <v>278</v>
      </c>
      <c r="D304" s="3729" t="s">
        <v>2154</v>
      </c>
      <c r="E304" s="2755" t="s">
        <v>2147</v>
      </c>
      <c r="F304" s="2777" t="s">
        <v>2147</v>
      </c>
      <c r="G304" s="3737" t="s">
        <v>2147</v>
      </c>
      <c r="H304" s="2780" t="s">
        <v>2154</v>
      </c>
      <c r="I304" s="2781" t="s">
        <v>2154</v>
      </c>
      <c r="J304" s="3726" t="s">
        <v>2154</v>
      </c>
    </row>
    <row r="305" spans="2:10" ht="18" customHeight="1" outlineLevel="2" x14ac:dyDescent="0.2">
      <c r="B305" s="2830" t="s">
        <v>1164</v>
      </c>
      <c r="C305" s="2833"/>
      <c r="D305" s="3730" t="s">
        <v>2147</v>
      </c>
      <c r="E305" s="2755" t="s">
        <v>2147</v>
      </c>
      <c r="F305" s="2753" t="s">
        <v>2147</v>
      </c>
      <c r="G305" s="3735" t="s">
        <v>2147</v>
      </c>
      <c r="H305" s="2756" t="s">
        <v>2147</v>
      </c>
      <c r="I305" s="2753" t="s">
        <v>2147</v>
      </c>
      <c r="J305" s="3733" t="s">
        <v>2147</v>
      </c>
    </row>
    <row r="306" spans="2:10" ht="18" customHeight="1" outlineLevel="2" x14ac:dyDescent="0.2">
      <c r="B306" s="2844" t="s">
        <v>2230</v>
      </c>
      <c r="C306" s="2835" t="s">
        <v>2246</v>
      </c>
      <c r="D306" s="3732">
        <v>322.01560330053928</v>
      </c>
      <c r="E306" s="2755" t="s">
        <v>2147</v>
      </c>
      <c r="F306" s="2753" t="s">
        <v>2147</v>
      </c>
      <c r="G306" s="3735">
        <f>IF(SUM(D306)=0,"NA",J306*1000/D306)</f>
        <v>117.03975258871169</v>
      </c>
      <c r="H306" s="2780" t="s">
        <v>2147</v>
      </c>
      <c r="I306" s="2758" t="s">
        <v>2147</v>
      </c>
      <c r="J306" s="3744">
        <v>37.688626539999852</v>
      </c>
    </row>
    <row r="307" spans="2:10" ht="18" customHeight="1" outlineLevel="2" x14ac:dyDescent="0.2">
      <c r="B307" s="2847" t="s">
        <v>2245</v>
      </c>
      <c r="C307" s="2835" t="s">
        <v>2245</v>
      </c>
      <c r="D307" s="3732">
        <v>299.53147395723835</v>
      </c>
      <c r="E307" s="2755" t="s">
        <v>2147</v>
      </c>
      <c r="F307" s="2753" t="s">
        <v>2147</v>
      </c>
      <c r="G307" s="3735">
        <f>IF(SUM(D307)=0,"NA",J307*1000/D307)</f>
        <v>82.727847384619778</v>
      </c>
      <c r="H307" s="2780" t="s">
        <v>2147</v>
      </c>
      <c r="I307" s="2758" t="s">
        <v>2147</v>
      </c>
      <c r="J307" s="3744">
        <v>24.779594064424625</v>
      </c>
    </row>
    <row r="308" spans="2:10" ht="18" customHeight="1" outlineLevel="1" collapsed="1" x14ac:dyDescent="0.2">
      <c r="B308" s="2573" t="s">
        <v>1190</v>
      </c>
      <c r="C308" s="2828"/>
      <c r="D308" s="3731"/>
      <c r="E308" s="2809"/>
      <c r="F308" s="2810"/>
      <c r="G308" s="3738"/>
      <c r="H308" s="2778" t="s">
        <v>2154</v>
      </c>
      <c r="I308" s="2777" t="s">
        <v>2154</v>
      </c>
      <c r="J308" s="3734" t="s">
        <v>2154</v>
      </c>
    </row>
    <row r="309" spans="2:10" ht="18" hidden="1" customHeight="1" outlineLevel="2" x14ac:dyDescent="0.2">
      <c r="B309" s="2827" t="s">
        <v>1158</v>
      </c>
      <c r="C309" s="2841"/>
      <c r="D309" s="3727" t="s">
        <v>2154</v>
      </c>
      <c r="E309" s="2776" t="s">
        <v>2147</v>
      </c>
      <c r="F309" s="2777" t="s">
        <v>2147</v>
      </c>
      <c r="G309" s="3737" t="s">
        <v>2147</v>
      </c>
      <c r="H309" s="2778" t="s">
        <v>2154</v>
      </c>
      <c r="I309" s="2777" t="s">
        <v>2154</v>
      </c>
      <c r="J309" s="3734" t="s">
        <v>2154</v>
      </c>
    </row>
    <row r="310" spans="2:10" ht="18" hidden="1" customHeight="1" outlineLevel="2" x14ac:dyDescent="0.2">
      <c r="B310" s="2829" t="s">
        <v>200</v>
      </c>
      <c r="C310" s="2833"/>
      <c r="D310" s="3728"/>
      <c r="E310" s="2766"/>
      <c r="F310" s="2766"/>
      <c r="G310" s="3736"/>
      <c r="H310" s="2766"/>
      <c r="I310" s="2766"/>
      <c r="J310" s="3749"/>
    </row>
    <row r="311" spans="2:10" ht="18" hidden="1" customHeight="1" outlineLevel="2" x14ac:dyDescent="0.2">
      <c r="B311" s="2830" t="s">
        <v>1159</v>
      </c>
      <c r="C311" s="2835" t="s">
        <v>278</v>
      </c>
      <c r="D311" s="3729" t="s">
        <v>2146</v>
      </c>
      <c r="E311" s="2755" t="s">
        <v>2147</v>
      </c>
      <c r="F311" s="2777" t="s">
        <v>2147</v>
      </c>
      <c r="G311" s="3737" t="s">
        <v>2147</v>
      </c>
      <c r="H311" s="2780" t="s">
        <v>2146</v>
      </c>
      <c r="I311" s="2781" t="s">
        <v>2146</v>
      </c>
      <c r="J311" s="3726" t="s">
        <v>2146</v>
      </c>
    </row>
    <row r="312" spans="2:10" ht="18" hidden="1" customHeight="1" outlineLevel="2" x14ac:dyDescent="0.2">
      <c r="B312" s="2830" t="s">
        <v>1160</v>
      </c>
      <c r="C312" s="2835" t="s">
        <v>278</v>
      </c>
      <c r="D312" s="3729" t="s">
        <v>2154</v>
      </c>
      <c r="E312" s="2755" t="s">
        <v>2147</v>
      </c>
      <c r="F312" s="2777" t="s">
        <v>2147</v>
      </c>
      <c r="G312" s="3737" t="s">
        <v>2147</v>
      </c>
      <c r="H312" s="2780" t="s">
        <v>2154</v>
      </c>
      <c r="I312" s="2781" t="s">
        <v>2154</v>
      </c>
      <c r="J312" s="3726" t="s">
        <v>2154</v>
      </c>
    </row>
    <row r="313" spans="2:10" ht="18" hidden="1" customHeight="1" outlineLevel="2" x14ac:dyDescent="0.2">
      <c r="B313" s="2830" t="s">
        <v>1161</v>
      </c>
      <c r="C313" s="2833"/>
      <c r="D313" s="3730" t="s">
        <v>2147</v>
      </c>
      <c r="E313" s="2755" t="s">
        <v>2147</v>
      </c>
      <c r="F313" s="2753" t="s">
        <v>2147</v>
      </c>
      <c r="G313" s="3735" t="s">
        <v>2147</v>
      </c>
      <c r="H313" s="2756" t="s">
        <v>2147</v>
      </c>
      <c r="I313" s="2753" t="s">
        <v>2147</v>
      </c>
      <c r="J313" s="3733" t="s">
        <v>2147</v>
      </c>
    </row>
    <row r="314" spans="2:10" ht="18" hidden="1" customHeight="1" outlineLevel="2" x14ac:dyDescent="0.2">
      <c r="B314" s="2834" t="s">
        <v>2147</v>
      </c>
      <c r="C314" s="2835" t="s">
        <v>2147</v>
      </c>
      <c r="D314" s="3729" t="s">
        <v>2147</v>
      </c>
      <c r="E314" s="2755" t="s">
        <v>2147</v>
      </c>
      <c r="F314" s="2753" t="s">
        <v>2147</v>
      </c>
      <c r="G314" s="3735" t="s">
        <v>2147</v>
      </c>
      <c r="H314" s="2780" t="s">
        <v>2147</v>
      </c>
      <c r="I314" s="2758" t="s">
        <v>2147</v>
      </c>
      <c r="J314" s="3744" t="s">
        <v>2147</v>
      </c>
    </row>
    <row r="315" spans="2:10" ht="18" hidden="1" customHeight="1" outlineLevel="2" x14ac:dyDescent="0.2">
      <c r="B315" s="2827" t="s">
        <v>1162</v>
      </c>
      <c r="C315" s="2841"/>
      <c r="D315" s="3727" t="s">
        <v>2146</v>
      </c>
      <c r="E315" s="2776" t="s">
        <v>2147</v>
      </c>
      <c r="F315" s="2777" t="s">
        <v>2147</v>
      </c>
      <c r="G315" s="3737" t="s">
        <v>2147</v>
      </c>
      <c r="H315" s="2778" t="s">
        <v>2146</v>
      </c>
      <c r="I315" s="2777" t="s">
        <v>2146</v>
      </c>
      <c r="J315" s="3734" t="s">
        <v>2146</v>
      </c>
    </row>
    <row r="316" spans="2:10" ht="18" hidden="1" customHeight="1" outlineLevel="2" x14ac:dyDescent="0.2">
      <c r="B316" s="2829" t="s">
        <v>200</v>
      </c>
      <c r="C316" s="2833"/>
      <c r="D316" s="3728"/>
      <c r="E316" s="2766"/>
      <c r="F316" s="2766"/>
      <c r="G316" s="3736"/>
      <c r="H316" s="2766"/>
      <c r="I316" s="2766"/>
      <c r="J316" s="3749"/>
    </row>
    <row r="317" spans="2:10" ht="18" hidden="1" customHeight="1" outlineLevel="2" x14ac:dyDescent="0.2">
      <c r="B317" s="2830" t="s">
        <v>1163</v>
      </c>
      <c r="C317" s="2835" t="s">
        <v>278</v>
      </c>
      <c r="D317" s="3729" t="s">
        <v>2154</v>
      </c>
      <c r="E317" s="2755" t="s">
        <v>2147</v>
      </c>
      <c r="F317" s="2777" t="s">
        <v>2147</v>
      </c>
      <c r="G317" s="3737" t="s">
        <v>2147</v>
      </c>
      <c r="H317" s="2780" t="s">
        <v>2154</v>
      </c>
      <c r="I317" s="2781" t="s">
        <v>2154</v>
      </c>
      <c r="J317" s="3726" t="s">
        <v>2154</v>
      </c>
    </row>
    <row r="318" spans="2:10" ht="18" hidden="1" customHeight="1" outlineLevel="2" x14ac:dyDescent="0.2">
      <c r="B318" s="2830" t="s">
        <v>1164</v>
      </c>
      <c r="C318" s="2833"/>
      <c r="D318" s="3730" t="s">
        <v>2147</v>
      </c>
      <c r="E318" s="2755" t="s">
        <v>2147</v>
      </c>
      <c r="F318" s="2753" t="s">
        <v>2147</v>
      </c>
      <c r="G318" s="3735" t="s">
        <v>2147</v>
      </c>
      <c r="H318" s="2756" t="s">
        <v>2147</v>
      </c>
      <c r="I318" s="2753" t="s">
        <v>2147</v>
      </c>
      <c r="J318" s="3733" t="s">
        <v>2147</v>
      </c>
    </row>
    <row r="319" spans="2:10" ht="18" hidden="1" customHeight="1" outlineLevel="2" x14ac:dyDescent="0.2">
      <c r="B319" s="2834" t="s">
        <v>2147</v>
      </c>
      <c r="C319" s="2835" t="s">
        <v>2147</v>
      </c>
      <c r="D319" s="3729" t="s">
        <v>2147</v>
      </c>
      <c r="E319" s="2755" t="s">
        <v>2147</v>
      </c>
      <c r="F319" s="2753" t="s">
        <v>2147</v>
      </c>
      <c r="G319" s="3735" t="s">
        <v>2147</v>
      </c>
      <c r="H319" s="2780" t="s">
        <v>2147</v>
      </c>
      <c r="I319" s="2758" t="s">
        <v>2147</v>
      </c>
      <c r="J319" s="3744" t="s">
        <v>2147</v>
      </c>
    </row>
    <row r="320" spans="2:10" ht="18" customHeight="1" x14ac:dyDescent="0.2">
      <c r="B320" s="2827" t="s">
        <v>1191</v>
      </c>
      <c r="C320" s="2833"/>
      <c r="D320" s="3731"/>
      <c r="E320" s="2809"/>
      <c r="F320" s="2810"/>
      <c r="G320" s="3738"/>
      <c r="H320" s="2819" t="str">
        <f>H327</f>
        <v>IE</v>
      </c>
      <c r="I320" s="2815" t="s">
        <v>2154</v>
      </c>
      <c r="J320" s="3741">
        <f>J327</f>
        <v>7.5224100909722216</v>
      </c>
    </row>
    <row r="321" spans="2:10" ht="18" customHeight="1" outlineLevel="1" x14ac:dyDescent="0.2">
      <c r="B321" s="2827" t="s">
        <v>1158</v>
      </c>
      <c r="C321" s="2841"/>
      <c r="D321" s="3727" t="s">
        <v>2146</v>
      </c>
      <c r="E321" s="2776" t="s">
        <v>2147</v>
      </c>
      <c r="F321" s="2777" t="s">
        <v>2147</v>
      </c>
      <c r="G321" s="3737" t="s">
        <v>2147</v>
      </c>
      <c r="H321" s="2778" t="s">
        <v>2154</v>
      </c>
      <c r="I321" s="2777" t="s">
        <v>2154</v>
      </c>
      <c r="J321" s="3734" t="s">
        <v>2154</v>
      </c>
    </row>
    <row r="322" spans="2:10" ht="18" customHeight="1" outlineLevel="1" x14ac:dyDescent="0.2">
      <c r="B322" s="2829" t="s">
        <v>200</v>
      </c>
      <c r="C322" s="2833"/>
      <c r="D322" s="3728"/>
      <c r="E322" s="2766"/>
      <c r="F322" s="2766"/>
      <c r="G322" s="3736"/>
      <c r="H322" s="2766"/>
      <c r="I322" s="2766"/>
      <c r="J322" s="3749"/>
    </row>
    <row r="323" spans="2:10" ht="18" customHeight="1" outlineLevel="1" x14ac:dyDescent="0.2">
      <c r="B323" s="2830" t="s">
        <v>1159</v>
      </c>
      <c r="C323" s="2835" t="s">
        <v>278</v>
      </c>
      <c r="D323" s="3729" t="s">
        <v>2146</v>
      </c>
      <c r="E323" s="2755" t="s">
        <v>2147</v>
      </c>
      <c r="F323" s="2777" t="s">
        <v>2147</v>
      </c>
      <c r="G323" s="3737" t="s">
        <v>2147</v>
      </c>
      <c r="H323" s="2780" t="s">
        <v>2146</v>
      </c>
      <c r="I323" s="2781" t="s">
        <v>2146</v>
      </c>
      <c r="J323" s="3726" t="s">
        <v>2146</v>
      </c>
    </row>
    <row r="324" spans="2:10" ht="18" customHeight="1" outlineLevel="1" x14ac:dyDescent="0.2">
      <c r="B324" s="2830" t="s">
        <v>1160</v>
      </c>
      <c r="C324" s="2835" t="s">
        <v>278</v>
      </c>
      <c r="D324" s="3729" t="s">
        <v>2154</v>
      </c>
      <c r="E324" s="2755" t="s">
        <v>2147</v>
      </c>
      <c r="F324" s="2777" t="s">
        <v>2147</v>
      </c>
      <c r="G324" s="3737" t="s">
        <v>2147</v>
      </c>
      <c r="H324" s="2780" t="s">
        <v>2154</v>
      </c>
      <c r="I324" s="2781" t="s">
        <v>2154</v>
      </c>
      <c r="J324" s="3726" t="s">
        <v>2154</v>
      </c>
    </row>
    <row r="325" spans="2:10" ht="18" customHeight="1" outlineLevel="1" x14ac:dyDescent="0.2">
      <c r="B325" s="2830" t="s">
        <v>1161</v>
      </c>
      <c r="C325" s="2833"/>
      <c r="D325" s="3730" t="s">
        <v>2147</v>
      </c>
      <c r="E325" s="2755" t="s">
        <v>2147</v>
      </c>
      <c r="F325" s="2753" t="s">
        <v>2147</v>
      </c>
      <c r="G325" s="3735" t="s">
        <v>2147</v>
      </c>
      <c r="H325" s="2756" t="s">
        <v>2147</v>
      </c>
      <c r="I325" s="2753" t="s">
        <v>2147</v>
      </c>
      <c r="J325" s="3733" t="s">
        <v>2147</v>
      </c>
    </row>
    <row r="326" spans="2:10" ht="18" customHeight="1" outlineLevel="1" x14ac:dyDescent="0.2">
      <c r="B326" s="2834" t="s">
        <v>2147</v>
      </c>
      <c r="C326" s="2835" t="s">
        <v>2147</v>
      </c>
      <c r="D326" s="3729" t="s">
        <v>2147</v>
      </c>
      <c r="E326" s="2755" t="s">
        <v>2147</v>
      </c>
      <c r="F326" s="2753" t="s">
        <v>2147</v>
      </c>
      <c r="G326" s="3735" t="s">
        <v>2147</v>
      </c>
      <c r="H326" s="2780" t="s">
        <v>2147</v>
      </c>
      <c r="I326" s="2758" t="s">
        <v>2147</v>
      </c>
      <c r="J326" s="3744" t="s">
        <v>2147</v>
      </c>
    </row>
    <row r="327" spans="2:10" ht="18" customHeight="1" outlineLevel="1" x14ac:dyDescent="0.2">
      <c r="B327" s="2827" t="s">
        <v>1162</v>
      </c>
      <c r="C327" s="2841"/>
      <c r="D327" s="3727">
        <f>D331</f>
        <v>36.057418055555559</v>
      </c>
      <c r="E327" s="2776" t="str">
        <f t="shared" ref="E327:J327" si="8">E331</f>
        <v>NA</v>
      </c>
      <c r="F327" s="2777" t="str">
        <f t="shared" si="8"/>
        <v>NA</v>
      </c>
      <c r="G327" s="3737">
        <f t="shared" si="8"/>
        <v>208.62309329475698</v>
      </c>
      <c r="H327" s="2778" t="str">
        <f t="shared" si="8"/>
        <v>IE</v>
      </c>
      <c r="I327" s="2777" t="str">
        <f t="shared" si="8"/>
        <v>NA</v>
      </c>
      <c r="J327" s="3734">
        <f t="shared" si="8"/>
        <v>7.5224100909722216</v>
      </c>
    </row>
    <row r="328" spans="2:10" ht="18" customHeight="1" outlineLevel="1" x14ac:dyDescent="0.2">
      <c r="B328" s="2829" t="s">
        <v>200</v>
      </c>
      <c r="C328" s="2833"/>
      <c r="D328" s="3728"/>
      <c r="E328" s="2766"/>
      <c r="F328" s="2766"/>
      <c r="G328" s="3736"/>
      <c r="H328" s="2766"/>
      <c r="I328" s="2766"/>
      <c r="J328" s="3749"/>
    </row>
    <row r="329" spans="2:10" ht="18" customHeight="1" outlineLevel="1" x14ac:dyDescent="0.2">
      <c r="B329" s="2830" t="s">
        <v>1163</v>
      </c>
      <c r="C329" s="2835" t="s">
        <v>278</v>
      </c>
      <c r="D329" s="3729" t="s">
        <v>2146</v>
      </c>
      <c r="E329" s="2755" t="s">
        <v>2147</v>
      </c>
      <c r="F329" s="2777" t="s">
        <v>2147</v>
      </c>
      <c r="G329" s="3737" t="s">
        <v>2147</v>
      </c>
      <c r="H329" s="2782" t="s">
        <v>2146</v>
      </c>
      <c r="I329" s="2781" t="s">
        <v>2146</v>
      </c>
      <c r="J329" s="3726" t="s">
        <v>2146</v>
      </c>
    </row>
    <row r="330" spans="2:10" ht="18" customHeight="1" outlineLevel="1" x14ac:dyDescent="0.2">
      <c r="B330" s="2830" t="s">
        <v>1164</v>
      </c>
      <c r="C330" s="2833"/>
      <c r="D330" s="3730" t="s">
        <v>2147</v>
      </c>
      <c r="E330" s="2755" t="s">
        <v>2147</v>
      </c>
      <c r="F330" s="2753" t="s">
        <v>2147</v>
      </c>
      <c r="G330" s="3735" t="s">
        <v>2147</v>
      </c>
      <c r="H330" s="2756" t="s">
        <v>2147</v>
      </c>
      <c r="I330" s="2753" t="s">
        <v>2147</v>
      </c>
      <c r="J330" s="3733" t="s">
        <v>2147</v>
      </c>
    </row>
    <row r="331" spans="2:10" ht="18" customHeight="1" outlineLevel="1" x14ac:dyDescent="0.2">
      <c r="B331" s="2844" t="str">
        <f>B415</f>
        <v>Reservoirs</v>
      </c>
      <c r="C331" s="2835" t="str">
        <f t="shared" ref="C331:J331" si="9">C415</f>
        <v>New Reservoirs</v>
      </c>
      <c r="D331" s="3729">
        <f t="shared" si="9"/>
        <v>36.057418055555559</v>
      </c>
      <c r="E331" s="2755" t="str">
        <f t="shared" si="9"/>
        <v>NA</v>
      </c>
      <c r="F331" s="2753" t="str">
        <f t="shared" si="9"/>
        <v>NA</v>
      </c>
      <c r="G331" s="3735">
        <f t="shared" si="9"/>
        <v>208.62309329475698</v>
      </c>
      <c r="H331" s="2765" t="str">
        <f t="shared" si="9"/>
        <v>IE</v>
      </c>
      <c r="I331" s="2758" t="str">
        <f t="shared" si="9"/>
        <v>NA</v>
      </c>
      <c r="J331" s="3744">
        <f t="shared" si="9"/>
        <v>7.5224100909722216</v>
      </c>
    </row>
    <row r="332" spans="2:10" ht="18" customHeight="1" outlineLevel="1" collapsed="1" x14ac:dyDescent="0.2">
      <c r="B332" s="2573" t="s">
        <v>1192</v>
      </c>
      <c r="C332" s="2828"/>
      <c r="D332" s="3731"/>
      <c r="E332" s="2809"/>
      <c r="F332" s="2810"/>
      <c r="G332" s="3738"/>
      <c r="H332" s="2819" t="s">
        <v>2146</v>
      </c>
      <c r="I332" s="2815" t="s">
        <v>2146</v>
      </c>
      <c r="J332" s="3741" t="s">
        <v>2146</v>
      </c>
    </row>
    <row r="333" spans="2:10" ht="18" hidden="1" customHeight="1" outlineLevel="2" x14ac:dyDescent="0.2">
      <c r="B333" s="2827" t="s">
        <v>1158</v>
      </c>
      <c r="C333" s="2841"/>
      <c r="D333" s="3727" t="s">
        <v>2146</v>
      </c>
      <c r="E333" s="2776" t="s">
        <v>2147</v>
      </c>
      <c r="F333" s="2777" t="s">
        <v>2147</v>
      </c>
      <c r="G333" s="3737" t="s">
        <v>2147</v>
      </c>
      <c r="H333" s="2778" t="s">
        <v>2146</v>
      </c>
      <c r="I333" s="2777" t="s">
        <v>2146</v>
      </c>
      <c r="J333" s="3734" t="s">
        <v>2146</v>
      </c>
    </row>
    <row r="334" spans="2:10" ht="18" hidden="1" customHeight="1" outlineLevel="2" x14ac:dyDescent="0.2">
      <c r="B334" s="2829" t="s">
        <v>200</v>
      </c>
      <c r="C334" s="2833"/>
      <c r="D334" s="3728"/>
      <c r="E334" s="2766"/>
      <c r="F334" s="2766"/>
      <c r="G334" s="3736"/>
      <c r="H334" s="2766"/>
      <c r="I334" s="2766"/>
      <c r="J334" s="3749"/>
    </row>
    <row r="335" spans="2:10" ht="18" hidden="1" customHeight="1" outlineLevel="2" x14ac:dyDescent="0.2">
      <c r="B335" s="2830" t="s">
        <v>1159</v>
      </c>
      <c r="C335" s="2835" t="s">
        <v>278</v>
      </c>
      <c r="D335" s="3729" t="s">
        <v>2146</v>
      </c>
      <c r="E335" s="2755" t="s">
        <v>2147</v>
      </c>
      <c r="F335" s="2777" t="s">
        <v>2147</v>
      </c>
      <c r="G335" s="3737" t="s">
        <v>2147</v>
      </c>
      <c r="H335" s="2780" t="s">
        <v>2146</v>
      </c>
      <c r="I335" s="2781" t="s">
        <v>2146</v>
      </c>
      <c r="J335" s="3726" t="s">
        <v>2146</v>
      </c>
    </row>
    <row r="336" spans="2:10" ht="18" hidden="1" customHeight="1" outlineLevel="2" x14ac:dyDescent="0.2">
      <c r="B336" s="2830" t="s">
        <v>1160</v>
      </c>
      <c r="C336" s="2835" t="s">
        <v>278</v>
      </c>
      <c r="D336" s="3729" t="s">
        <v>2146</v>
      </c>
      <c r="E336" s="2755" t="s">
        <v>2147</v>
      </c>
      <c r="F336" s="2777" t="s">
        <v>2147</v>
      </c>
      <c r="G336" s="3737" t="s">
        <v>2147</v>
      </c>
      <c r="H336" s="2780" t="s">
        <v>2146</v>
      </c>
      <c r="I336" s="2781" t="s">
        <v>2146</v>
      </c>
      <c r="J336" s="3726" t="s">
        <v>2146</v>
      </c>
    </row>
    <row r="337" spans="2:10" ht="18" hidden="1" customHeight="1" outlineLevel="2" x14ac:dyDescent="0.2">
      <c r="B337" s="2830" t="s">
        <v>1161</v>
      </c>
      <c r="C337" s="2833"/>
      <c r="D337" s="3730" t="s">
        <v>2147</v>
      </c>
      <c r="E337" s="2755" t="s">
        <v>2147</v>
      </c>
      <c r="F337" s="2753" t="s">
        <v>2147</v>
      </c>
      <c r="G337" s="3735" t="s">
        <v>2147</v>
      </c>
      <c r="H337" s="2756" t="s">
        <v>2147</v>
      </c>
      <c r="I337" s="2753" t="s">
        <v>2147</v>
      </c>
      <c r="J337" s="3733" t="s">
        <v>2147</v>
      </c>
    </row>
    <row r="338" spans="2:10" ht="18" hidden="1" customHeight="1" outlineLevel="2" x14ac:dyDescent="0.2">
      <c r="B338" s="2834"/>
      <c r="C338" s="2835" t="s">
        <v>2147</v>
      </c>
      <c r="D338" s="3729" t="s">
        <v>2147</v>
      </c>
      <c r="E338" s="2755" t="s">
        <v>2147</v>
      </c>
      <c r="F338" s="2753" t="s">
        <v>2147</v>
      </c>
      <c r="G338" s="3735" t="s">
        <v>2147</v>
      </c>
      <c r="H338" s="2780" t="s">
        <v>2147</v>
      </c>
      <c r="I338" s="2758" t="s">
        <v>2147</v>
      </c>
      <c r="J338" s="3744" t="s">
        <v>2147</v>
      </c>
    </row>
    <row r="339" spans="2:10" ht="18" hidden="1" customHeight="1" outlineLevel="2" x14ac:dyDescent="0.2">
      <c r="B339" s="2827" t="s">
        <v>1162</v>
      </c>
      <c r="C339" s="2841"/>
      <c r="D339" s="3727" t="s">
        <v>2146</v>
      </c>
      <c r="E339" s="2776" t="s">
        <v>2147</v>
      </c>
      <c r="F339" s="2777" t="s">
        <v>2147</v>
      </c>
      <c r="G339" s="3737" t="s">
        <v>2147</v>
      </c>
      <c r="H339" s="2778" t="s">
        <v>2146</v>
      </c>
      <c r="I339" s="2777" t="s">
        <v>2146</v>
      </c>
      <c r="J339" s="3734" t="s">
        <v>2146</v>
      </c>
    </row>
    <row r="340" spans="2:10" ht="18" hidden="1" customHeight="1" outlineLevel="2" x14ac:dyDescent="0.2">
      <c r="B340" s="2829" t="s">
        <v>200</v>
      </c>
      <c r="C340" s="2833"/>
      <c r="D340" s="3728"/>
      <c r="E340" s="2766"/>
      <c r="F340" s="2766"/>
      <c r="G340" s="3736"/>
      <c r="H340" s="2766"/>
      <c r="I340" s="2766"/>
      <c r="J340" s="3749"/>
    </row>
    <row r="341" spans="2:10" ht="18" hidden="1" customHeight="1" outlineLevel="2" x14ac:dyDescent="0.2">
      <c r="B341" s="2830" t="s">
        <v>1163</v>
      </c>
      <c r="C341" s="2835" t="s">
        <v>278</v>
      </c>
      <c r="D341" s="3729" t="s">
        <v>2146</v>
      </c>
      <c r="E341" s="2755" t="s">
        <v>2147</v>
      </c>
      <c r="F341" s="2777" t="s">
        <v>2147</v>
      </c>
      <c r="G341" s="3737" t="s">
        <v>2147</v>
      </c>
      <c r="H341" s="2780" t="s">
        <v>2146</v>
      </c>
      <c r="I341" s="2781" t="s">
        <v>2146</v>
      </c>
      <c r="J341" s="3726" t="s">
        <v>2146</v>
      </c>
    </row>
    <row r="342" spans="2:10" ht="18" hidden="1" customHeight="1" outlineLevel="2" x14ac:dyDescent="0.2">
      <c r="B342" s="2830" t="s">
        <v>1164</v>
      </c>
      <c r="C342" s="2833"/>
      <c r="D342" s="3730" t="s">
        <v>2147</v>
      </c>
      <c r="E342" s="2755" t="s">
        <v>2147</v>
      </c>
      <c r="F342" s="2753" t="s">
        <v>2147</v>
      </c>
      <c r="G342" s="3735" t="s">
        <v>2147</v>
      </c>
      <c r="H342" s="2756" t="s">
        <v>2147</v>
      </c>
      <c r="I342" s="2753" t="s">
        <v>2147</v>
      </c>
      <c r="J342" s="3733" t="s">
        <v>2147</v>
      </c>
    </row>
    <row r="343" spans="2:10" ht="18" hidden="1" customHeight="1" outlineLevel="2" x14ac:dyDescent="0.2">
      <c r="B343" s="2834"/>
      <c r="C343" s="2835" t="s">
        <v>2147</v>
      </c>
      <c r="D343" s="3729" t="s">
        <v>2147</v>
      </c>
      <c r="E343" s="2755" t="s">
        <v>2147</v>
      </c>
      <c r="F343" s="2753" t="s">
        <v>2147</v>
      </c>
      <c r="G343" s="3735" t="s">
        <v>2147</v>
      </c>
      <c r="H343" s="2780" t="s">
        <v>2147</v>
      </c>
      <c r="I343" s="2758" t="s">
        <v>2147</v>
      </c>
      <c r="J343" s="3744" t="s">
        <v>2147</v>
      </c>
    </row>
    <row r="344" spans="2:10" ht="18" hidden="1" customHeight="1" outlineLevel="2" collapsed="1" x14ac:dyDescent="0.2">
      <c r="B344" s="2842" t="s">
        <v>1193</v>
      </c>
      <c r="C344" s="2828"/>
      <c r="D344" s="3731"/>
      <c r="E344" s="2809"/>
      <c r="F344" s="2810"/>
      <c r="G344" s="3738"/>
      <c r="H344" s="2819" t="s">
        <v>2146</v>
      </c>
      <c r="I344" s="2815" t="s">
        <v>2146</v>
      </c>
      <c r="J344" s="3741" t="s">
        <v>2146</v>
      </c>
    </row>
    <row r="345" spans="2:10" ht="18" hidden="1" customHeight="1" outlineLevel="3" x14ac:dyDescent="0.2">
      <c r="B345" s="2830" t="s">
        <v>1158</v>
      </c>
      <c r="C345" s="2841"/>
      <c r="D345" s="3727" t="s">
        <v>2146</v>
      </c>
      <c r="E345" s="2776" t="s">
        <v>2147</v>
      </c>
      <c r="F345" s="2777" t="s">
        <v>2147</v>
      </c>
      <c r="G345" s="3737" t="s">
        <v>2147</v>
      </c>
      <c r="H345" s="2778" t="s">
        <v>2146</v>
      </c>
      <c r="I345" s="2777" t="s">
        <v>2146</v>
      </c>
      <c r="J345" s="3734" t="s">
        <v>2146</v>
      </c>
    </row>
    <row r="346" spans="2:10" ht="18" hidden="1" customHeight="1" outlineLevel="3" x14ac:dyDescent="0.2">
      <c r="B346" s="2829" t="s">
        <v>200</v>
      </c>
      <c r="C346" s="2833"/>
      <c r="D346" s="3728"/>
      <c r="E346" s="2766"/>
      <c r="F346" s="2766"/>
      <c r="G346" s="3736"/>
      <c r="H346" s="2766"/>
      <c r="I346" s="2766"/>
      <c r="J346" s="3749"/>
    </row>
    <row r="347" spans="2:10" ht="18" hidden="1" customHeight="1" outlineLevel="3" x14ac:dyDescent="0.2">
      <c r="B347" s="2830" t="s">
        <v>1159</v>
      </c>
      <c r="C347" s="2835" t="s">
        <v>278</v>
      </c>
      <c r="D347" s="3729" t="s">
        <v>2146</v>
      </c>
      <c r="E347" s="2755" t="s">
        <v>2147</v>
      </c>
      <c r="F347" s="2777" t="s">
        <v>2147</v>
      </c>
      <c r="G347" s="3737" t="s">
        <v>2147</v>
      </c>
      <c r="H347" s="2780" t="s">
        <v>2146</v>
      </c>
      <c r="I347" s="2781" t="s">
        <v>2146</v>
      </c>
      <c r="J347" s="3726" t="s">
        <v>2146</v>
      </c>
    </row>
    <row r="348" spans="2:10" ht="18" hidden="1" customHeight="1" outlineLevel="3" x14ac:dyDescent="0.2">
      <c r="B348" s="2830" t="s">
        <v>1160</v>
      </c>
      <c r="C348" s="2835" t="s">
        <v>278</v>
      </c>
      <c r="D348" s="3729" t="s">
        <v>2146</v>
      </c>
      <c r="E348" s="2755" t="s">
        <v>2147</v>
      </c>
      <c r="F348" s="2777" t="s">
        <v>2147</v>
      </c>
      <c r="G348" s="3737" t="s">
        <v>2147</v>
      </c>
      <c r="H348" s="2780" t="s">
        <v>2146</v>
      </c>
      <c r="I348" s="2781" t="s">
        <v>2146</v>
      </c>
      <c r="J348" s="3726" t="s">
        <v>2146</v>
      </c>
    </row>
    <row r="349" spans="2:10" ht="18" hidden="1" customHeight="1" outlineLevel="3" x14ac:dyDescent="0.2">
      <c r="B349" s="2830" t="s">
        <v>1161</v>
      </c>
      <c r="C349" s="2833"/>
      <c r="D349" s="3730" t="s">
        <v>2147</v>
      </c>
      <c r="E349" s="2755" t="s">
        <v>2147</v>
      </c>
      <c r="F349" s="2753" t="s">
        <v>2147</v>
      </c>
      <c r="G349" s="3735" t="s">
        <v>2147</v>
      </c>
      <c r="H349" s="2756" t="s">
        <v>2147</v>
      </c>
      <c r="I349" s="2753" t="s">
        <v>2147</v>
      </c>
      <c r="J349" s="3733" t="s">
        <v>2147</v>
      </c>
    </row>
    <row r="350" spans="2:10" ht="18" hidden="1" customHeight="1" outlineLevel="3" x14ac:dyDescent="0.2">
      <c r="B350" s="2834"/>
      <c r="C350" s="2835" t="s">
        <v>2147</v>
      </c>
      <c r="D350" s="3729" t="s">
        <v>2147</v>
      </c>
      <c r="E350" s="2755" t="s">
        <v>2147</v>
      </c>
      <c r="F350" s="2753" t="s">
        <v>2147</v>
      </c>
      <c r="G350" s="3735" t="s">
        <v>2147</v>
      </c>
      <c r="H350" s="2780" t="s">
        <v>2147</v>
      </c>
      <c r="I350" s="2758" t="s">
        <v>2147</v>
      </c>
      <c r="J350" s="3744" t="s">
        <v>2147</v>
      </c>
    </row>
    <row r="351" spans="2:10" ht="18" hidden="1" customHeight="1" outlineLevel="3" x14ac:dyDescent="0.2">
      <c r="B351" s="2830" t="s">
        <v>1162</v>
      </c>
      <c r="C351" s="2841"/>
      <c r="D351" s="3727" t="s">
        <v>2146</v>
      </c>
      <c r="E351" s="2776" t="s">
        <v>2147</v>
      </c>
      <c r="F351" s="2777" t="s">
        <v>2147</v>
      </c>
      <c r="G351" s="3737" t="s">
        <v>2147</v>
      </c>
      <c r="H351" s="2778" t="s">
        <v>2146</v>
      </c>
      <c r="I351" s="2777" t="s">
        <v>2146</v>
      </c>
      <c r="J351" s="3734" t="s">
        <v>2146</v>
      </c>
    </row>
    <row r="352" spans="2:10" ht="18" hidden="1" customHeight="1" outlineLevel="3" x14ac:dyDescent="0.2">
      <c r="B352" s="2829" t="s">
        <v>200</v>
      </c>
      <c r="C352" s="2833"/>
      <c r="D352" s="3728"/>
      <c r="E352" s="2766"/>
      <c r="F352" s="2766"/>
      <c r="G352" s="3736"/>
      <c r="H352" s="2766"/>
      <c r="I352" s="2766"/>
      <c r="J352" s="3749"/>
    </row>
    <row r="353" spans="2:10" ht="18" hidden="1" customHeight="1" outlineLevel="3" x14ac:dyDescent="0.2">
      <c r="B353" s="2830" t="s">
        <v>1163</v>
      </c>
      <c r="C353" s="2835" t="s">
        <v>278</v>
      </c>
      <c r="D353" s="3729" t="s">
        <v>2146</v>
      </c>
      <c r="E353" s="2755" t="s">
        <v>2147</v>
      </c>
      <c r="F353" s="2777" t="s">
        <v>2147</v>
      </c>
      <c r="G353" s="3737" t="s">
        <v>2147</v>
      </c>
      <c r="H353" s="2780" t="s">
        <v>2146</v>
      </c>
      <c r="I353" s="2781" t="s">
        <v>2146</v>
      </c>
      <c r="J353" s="3726" t="s">
        <v>2146</v>
      </c>
    </row>
    <row r="354" spans="2:10" ht="18" hidden="1" customHeight="1" outlineLevel="3" x14ac:dyDescent="0.2">
      <c r="B354" s="2830" t="s">
        <v>1164</v>
      </c>
      <c r="C354" s="2833"/>
      <c r="D354" s="3730" t="s">
        <v>2147</v>
      </c>
      <c r="E354" s="2755" t="s">
        <v>2147</v>
      </c>
      <c r="F354" s="2753" t="s">
        <v>2147</v>
      </c>
      <c r="G354" s="3735" t="s">
        <v>2147</v>
      </c>
      <c r="H354" s="2756" t="s">
        <v>2147</v>
      </c>
      <c r="I354" s="2753" t="s">
        <v>2147</v>
      </c>
      <c r="J354" s="3733" t="s">
        <v>2147</v>
      </c>
    </row>
    <row r="355" spans="2:10" ht="18" hidden="1" customHeight="1" outlineLevel="3" x14ac:dyDescent="0.2">
      <c r="B355" s="2834"/>
      <c r="C355" s="2835" t="s">
        <v>2147</v>
      </c>
      <c r="D355" s="3729" t="s">
        <v>2147</v>
      </c>
      <c r="E355" s="2755" t="s">
        <v>2147</v>
      </c>
      <c r="F355" s="2753" t="s">
        <v>2147</v>
      </c>
      <c r="G355" s="3735" t="s">
        <v>2147</v>
      </c>
      <c r="H355" s="2780" t="s">
        <v>2147</v>
      </c>
      <c r="I355" s="2758" t="s">
        <v>2147</v>
      </c>
      <c r="J355" s="3744" t="s">
        <v>2147</v>
      </c>
    </row>
    <row r="356" spans="2:10" ht="18" hidden="1" customHeight="1" outlineLevel="2" collapsed="1" x14ac:dyDescent="0.2">
      <c r="B356" s="2842" t="s">
        <v>1194</v>
      </c>
      <c r="C356" s="2828"/>
      <c r="D356" s="3731"/>
      <c r="E356" s="2809"/>
      <c r="F356" s="2810"/>
      <c r="G356" s="3738"/>
      <c r="H356" s="2819" t="s">
        <v>2146</v>
      </c>
      <c r="I356" s="2815" t="s">
        <v>2146</v>
      </c>
      <c r="J356" s="3741" t="s">
        <v>2146</v>
      </c>
    </row>
    <row r="357" spans="2:10" ht="18" hidden="1" customHeight="1" outlineLevel="3" x14ac:dyDescent="0.2">
      <c r="B357" s="2830" t="s">
        <v>1158</v>
      </c>
      <c r="C357" s="2841"/>
      <c r="D357" s="3727" t="s">
        <v>2146</v>
      </c>
      <c r="E357" s="2776" t="s">
        <v>2147</v>
      </c>
      <c r="F357" s="2777" t="s">
        <v>2147</v>
      </c>
      <c r="G357" s="3737" t="s">
        <v>2147</v>
      </c>
      <c r="H357" s="2778" t="s">
        <v>2146</v>
      </c>
      <c r="I357" s="2777" t="s">
        <v>2146</v>
      </c>
      <c r="J357" s="3734" t="s">
        <v>2146</v>
      </c>
    </row>
    <row r="358" spans="2:10" ht="18" hidden="1" customHeight="1" outlineLevel="3" x14ac:dyDescent="0.2">
      <c r="B358" s="2829" t="s">
        <v>200</v>
      </c>
      <c r="C358" s="2833"/>
      <c r="D358" s="3728"/>
      <c r="E358" s="2766"/>
      <c r="F358" s="2766"/>
      <c r="G358" s="3736"/>
      <c r="H358" s="2766"/>
      <c r="I358" s="2766"/>
      <c r="J358" s="3749"/>
    </row>
    <row r="359" spans="2:10" ht="18" hidden="1" customHeight="1" outlineLevel="3" x14ac:dyDescent="0.2">
      <c r="B359" s="2830" t="s">
        <v>1159</v>
      </c>
      <c r="C359" s="2835" t="s">
        <v>278</v>
      </c>
      <c r="D359" s="3729" t="s">
        <v>2146</v>
      </c>
      <c r="E359" s="2755" t="s">
        <v>2147</v>
      </c>
      <c r="F359" s="2777" t="s">
        <v>2147</v>
      </c>
      <c r="G359" s="3737" t="s">
        <v>2147</v>
      </c>
      <c r="H359" s="2780" t="s">
        <v>2146</v>
      </c>
      <c r="I359" s="2781" t="s">
        <v>2146</v>
      </c>
      <c r="J359" s="3726" t="s">
        <v>2146</v>
      </c>
    </row>
    <row r="360" spans="2:10" ht="18" hidden="1" customHeight="1" outlineLevel="3" x14ac:dyDescent="0.2">
      <c r="B360" s="2830" t="s">
        <v>1160</v>
      </c>
      <c r="C360" s="2835" t="s">
        <v>278</v>
      </c>
      <c r="D360" s="3729" t="s">
        <v>2146</v>
      </c>
      <c r="E360" s="2755" t="s">
        <v>2147</v>
      </c>
      <c r="F360" s="2777" t="s">
        <v>2147</v>
      </c>
      <c r="G360" s="3737" t="s">
        <v>2147</v>
      </c>
      <c r="H360" s="2780" t="s">
        <v>2146</v>
      </c>
      <c r="I360" s="2781" t="s">
        <v>2146</v>
      </c>
      <c r="J360" s="3726" t="s">
        <v>2146</v>
      </c>
    </row>
    <row r="361" spans="2:10" ht="18" hidden="1" customHeight="1" outlineLevel="3" x14ac:dyDescent="0.2">
      <c r="B361" s="2830" t="s">
        <v>1161</v>
      </c>
      <c r="C361" s="2833"/>
      <c r="D361" s="3730" t="s">
        <v>2147</v>
      </c>
      <c r="E361" s="2755" t="s">
        <v>2147</v>
      </c>
      <c r="F361" s="2753" t="s">
        <v>2147</v>
      </c>
      <c r="G361" s="3735" t="s">
        <v>2147</v>
      </c>
      <c r="H361" s="2756" t="s">
        <v>2147</v>
      </c>
      <c r="I361" s="2753" t="s">
        <v>2147</v>
      </c>
      <c r="J361" s="3733" t="s">
        <v>2147</v>
      </c>
    </row>
    <row r="362" spans="2:10" ht="18" hidden="1" customHeight="1" outlineLevel="3" x14ac:dyDescent="0.2">
      <c r="B362" s="2834" t="s">
        <v>2147</v>
      </c>
      <c r="C362" s="2835" t="s">
        <v>2147</v>
      </c>
      <c r="D362" s="3729" t="s">
        <v>2147</v>
      </c>
      <c r="E362" s="2755" t="s">
        <v>2147</v>
      </c>
      <c r="F362" s="2753" t="s">
        <v>2147</v>
      </c>
      <c r="G362" s="3735" t="s">
        <v>2147</v>
      </c>
      <c r="H362" s="2780" t="s">
        <v>2147</v>
      </c>
      <c r="I362" s="2758" t="s">
        <v>2147</v>
      </c>
      <c r="J362" s="3744" t="s">
        <v>2147</v>
      </c>
    </row>
    <row r="363" spans="2:10" ht="18" hidden="1" customHeight="1" outlineLevel="3" x14ac:dyDescent="0.2">
      <c r="B363" s="2830" t="s">
        <v>1162</v>
      </c>
      <c r="C363" s="2841"/>
      <c r="D363" s="3727" t="s">
        <v>2146</v>
      </c>
      <c r="E363" s="2776" t="s">
        <v>2147</v>
      </c>
      <c r="F363" s="2777" t="s">
        <v>2147</v>
      </c>
      <c r="G363" s="3737" t="s">
        <v>2147</v>
      </c>
      <c r="H363" s="2778" t="s">
        <v>2146</v>
      </c>
      <c r="I363" s="2777" t="s">
        <v>2146</v>
      </c>
      <c r="J363" s="3734" t="s">
        <v>2146</v>
      </c>
    </row>
    <row r="364" spans="2:10" ht="18" hidden="1" customHeight="1" outlineLevel="3" x14ac:dyDescent="0.2">
      <c r="B364" s="2829" t="s">
        <v>200</v>
      </c>
      <c r="C364" s="2833"/>
      <c r="D364" s="3728"/>
      <c r="E364" s="2766"/>
      <c r="F364" s="2766"/>
      <c r="G364" s="3736"/>
      <c r="H364" s="2766"/>
      <c r="I364" s="2766"/>
      <c r="J364" s="3749"/>
    </row>
    <row r="365" spans="2:10" ht="18" hidden="1" customHeight="1" outlineLevel="3" x14ac:dyDescent="0.2">
      <c r="B365" s="2830" t="s">
        <v>1163</v>
      </c>
      <c r="C365" s="2835" t="s">
        <v>278</v>
      </c>
      <c r="D365" s="3729" t="s">
        <v>2146</v>
      </c>
      <c r="E365" s="2755" t="s">
        <v>2147</v>
      </c>
      <c r="F365" s="2777" t="s">
        <v>2147</v>
      </c>
      <c r="G365" s="3737" t="s">
        <v>2147</v>
      </c>
      <c r="H365" s="2780" t="s">
        <v>2146</v>
      </c>
      <c r="I365" s="2781" t="s">
        <v>2146</v>
      </c>
      <c r="J365" s="3726" t="s">
        <v>2146</v>
      </c>
    </row>
    <row r="366" spans="2:10" ht="18" hidden="1" customHeight="1" outlineLevel="3" x14ac:dyDescent="0.2">
      <c r="B366" s="2830" t="s">
        <v>1164</v>
      </c>
      <c r="C366" s="2833"/>
      <c r="D366" s="3730" t="s">
        <v>2147</v>
      </c>
      <c r="E366" s="2755" t="s">
        <v>2147</v>
      </c>
      <c r="F366" s="2753" t="s">
        <v>2147</v>
      </c>
      <c r="G366" s="3735" t="s">
        <v>2147</v>
      </c>
      <c r="H366" s="2756" t="s">
        <v>2147</v>
      </c>
      <c r="I366" s="2753" t="s">
        <v>2147</v>
      </c>
      <c r="J366" s="3733" t="s">
        <v>2147</v>
      </c>
    </row>
    <row r="367" spans="2:10" ht="18" hidden="1" customHeight="1" outlineLevel="3" x14ac:dyDescent="0.2">
      <c r="B367" s="2834" t="s">
        <v>2147</v>
      </c>
      <c r="C367" s="2835" t="s">
        <v>2147</v>
      </c>
      <c r="D367" s="3729" t="s">
        <v>2147</v>
      </c>
      <c r="E367" s="2755" t="s">
        <v>2147</v>
      </c>
      <c r="F367" s="2753" t="s">
        <v>2147</v>
      </c>
      <c r="G367" s="3735" t="s">
        <v>2147</v>
      </c>
      <c r="H367" s="2780" t="s">
        <v>2147</v>
      </c>
      <c r="I367" s="2758" t="s">
        <v>2147</v>
      </c>
      <c r="J367" s="3744" t="s">
        <v>2147</v>
      </c>
    </row>
    <row r="368" spans="2:10" ht="18" hidden="1" customHeight="1" outlineLevel="2" collapsed="1" x14ac:dyDescent="0.2">
      <c r="B368" s="2842" t="s">
        <v>1195</v>
      </c>
      <c r="C368" s="2828"/>
      <c r="D368" s="3731"/>
      <c r="E368" s="2809"/>
      <c r="F368" s="2810"/>
      <c r="G368" s="3738"/>
      <c r="H368" s="2819" t="s">
        <v>2146</v>
      </c>
      <c r="I368" s="2815" t="s">
        <v>2146</v>
      </c>
      <c r="J368" s="3741" t="s">
        <v>2146</v>
      </c>
    </row>
    <row r="369" spans="2:10" ht="18" hidden="1" customHeight="1" outlineLevel="3" x14ac:dyDescent="0.2">
      <c r="B369" s="2830" t="s">
        <v>1158</v>
      </c>
      <c r="C369" s="2841"/>
      <c r="D369" s="3727" t="s">
        <v>2146</v>
      </c>
      <c r="E369" s="2776" t="s">
        <v>2147</v>
      </c>
      <c r="F369" s="2777" t="s">
        <v>2147</v>
      </c>
      <c r="G369" s="3737" t="s">
        <v>2147</v>
      </c>
      <c r="H369" s="2778" t="s">
        <v>2146</v>
      </c>
      <c r="I369" s="2777" t="s">
        <v>2146</v>
      </c>
      <c r="J369" s="3734" t="s">
        <v>2146</v>
      </c>
    </row>
    <row r="370" spans="2:10" ht="18" hidden="1" customHeight="1" outlineLevel="3" x14ac:dyDescent="0.2">
      <c r="B370" s="2829" t="s">
        <v>200</v>
      </c>
      <c r="C370" s="2833"/>
      <c r="D370" s="3728"/>
      <c r="E370" s="2766"/>
      <c r="F370" s="2766"/>
      <c r="G370" s="3736"/>
      <c r="H370" s="2766"/>
      <c r="I370" s="2766"/>
      <c r="J370" s="3749"/>
    </row>
    <row r="371" spans="2:10" ht="18" hidden="1" customHeight="1" outlineLevel="3" x14ac:dyDescent="0.2">
      <c r="B371" s="2830" t="s">
        <v>1159</v>
      </c>
      <c r="C371" s="2835" t="s">
        <v>278</v>
      </c>
      <c r="D371" s="3729" t="s">
        <v>2146</v>
      </c>
      <c r="E371" s="2755" t="s">
        <v>2147</v>
      </c>
      <c r="F371" s="2777" t="s">
        <v>2147</v>
      </c>
      <c r="G371" s="3737" t="s">
        <v>2147</v>
      </c>
      <c r="H371" s="2780" t="s">
        <v>2146</v>
      </c>
      <c r="I371" s="2781" t="s">
        <v>2146</v>
      </c>
      <c r="J371" s="3726" t="s">
        <v>2146</v>
      </c>
    </row>
    <row r="372" spans="2:10" ht="18" hidden="1" customHeight="1" outlineLevel="3" x14ac:dyDescent="0.2">
      <c r="B372" s="2830" t="s">
        <v>1160</v>
      </c>
      <c r="C372" s="2835" t="s">
        <v>278</v>
      </c>
      <c r="D372" s="3729" t="s">
        <v>2146</v>
      </c>
      <c r="E372" s="2755" t="s">
        <v>2147</v>
      </c>
      <c r="F372" s="2777" t="s">
        <v>2147</v>
      </c>
      <c r="G372" s="3737" t="s">
        <v>2147</v>
      </c>
      <c r="H372" s="2780" t="s">
        <v>2146</v>
      </c>
      <c r="I372" s="2781" t="s">
        <v>2146</v>
      </c>
      <c r="J372" s="3726" t="s">
        <v>2146</v>
      </c>
    </row>
    <row r="373" spans="2:10" ht="18" hidden="1" customHeight="1" outlineLevel="3" x14ac:dyDescent="0.2">
      <c r="B373" s="2830" t="s">
        <v>1161</v>
      </c>
      <c r="C373" s="2833"/>
      <c r="D373" s="3730" t="s">
        <v>2147</v>
      </c>
      <c r="E373" s="2755" t="s">
        <v>2147</v>
      </c>
      <c r="F373" s="2753" t="s">
        <v>2147</v>
      </c>
      <c r="G373" s="3735" t="s">
        <v>2147</v>
      </c>
      <c r="H373" s="2756" t="s">
        <v>2147</v>
      </c>
      <c r="I373" s="2753" t="s">
        <v>2147</v>
      </c>
      <c r="J373" s="3733" t="s">
        <v>2147</v>
      </c>
    </row>
    <row r="374" spans="2:10" ht="18" hidden="1" customHeight="1" outlineLevel="3" x14ac:dyDescent="0.2">
      <c r="B374" s="2834" t="s">
        <v>2147</v>
      </c>
      <c r="C374" s="2835" t="s">
        <v>2147</v>
      </c>
      <c r="D374" s="3729" t="s">
        <v>2147</v>
      </c>
      <c r="E374" s="2755" t="s">
        <v>2147</v>
      </c>
      <c r="F374" s="2753" t="s">
        <v>2147</v>
      </c>
      <c r="G374" s="3735" t="s">
        <v>2147</v>
      </c>
      <c r="H374" s="2780" t="s">
        <v>2147</v>
      </c>
      <c r="I374" s="2758" t="s">
        <v>2147</v>
      </c>
      <c r="J374" s="3744" t="s">
        <v>2147</v>
      </c>
    </row>
    <row r="375" spans="2:10" ht="18" hidden="1" customHeight="1" outlineLevel="3" x14ac:dyDescent="0.2">
      <c r="B375" s="2830" t="s">
        <v>1162</v>
      </c>
      <c r="C375" s="2841"/>
      <c r="D375" s="3727" t="s">
        <v>2146</v>
      </c>
      <c r="E375" s="2776" t="s">
        <v>2147</v>
      </c>
      <c r="F375" s="2777" t="s">
        <v>2147</v>
      </c>
      <c r="G375" s="3737" t="s">
        <v>2147</v>
      </c>
      <c r="H375" s="2778" t="s">
        <v>2146</v>
      </c>
      <c r="I375" s="2777" t="s">
        <v>2146</v>
      </c>
      <c r="J375" s="3734" t="s">
        <v>2146</v>
      </c>
    </row>
    <row r="376" spans="2:10" ht="18" hidden="1" customHeight="1" outlineLevel="3" x14ac:dyDescent="0.2">
      <c r="B376" s="2829" t="s">
        <v>200</v>
      </c>
      <c r="C376" s="2833"/>
      <c r="D376" s="3728"/>
      <c r="E376" s="2766"/>
      <c r="F376" s="2766"/>
      <c r="G376" s="3736"/>
      <c r="H376" s="2766"/>
      <c r="I376" s="2766"/>
      <c r="J376" s="3749"/>
    </row>
    <row r="377" spans="2:10" ht="18" hidden="1" customHeight="1" outlineLevel="3" x14ac:dyDescent="0.2">
      <c r="B377" s="2830" t="s">
        <v>1163</v>
      </c>
      <c r="C377" s="2835" t="s">
        <v>278</v>
      </c>
      <c r="D377" s="3729" t="s">
        <v>2146</v>
      </c>
      <c r="E377" s="2755" t="s">
        <v>2147</v>
      </c>
      <c r="F377" s="2777" t="s">
        <v>2147</v>
      </c>
      <c r="G377" s="3737" t="s">
        <v>2147</v>
      </c>
      <c r="H377" s="2780" t="s">
        <v>2146</v>
      </c>
      <c r="I377" s="2781" t="s">
        <v>2146</v>
      </c>
      <c r="J377" s="3726" t="s">
        <v>2146</v>
      </c>
    </row>
    <row r="378" spans="2:10" ht="18" hidden="1" customHeight="1" outlineLevel="3" x14ac:dyDescent="0.2">
      <c r="B378" s="2830" t="s">
        <v>1164</v>
      </c>
      <c r="C378" s="2833"/>
      <c r="D378" s="3730" t="s">
        <v>2147</v>
      </c>
      <c r="E378" s="2755" t="s">
        <v>2147</v>
      </c>
      <c r="F378" s="2753" t="s">
        <v>2147</v>
      </c>
      <c r="G378" s="3735" t="s">
        <v>2147</v>
      </c>
      <c r="H378" s="2756" t="s">
        <v>2147</v>
      </c>
      <c r="I378" s="2753" t="s">
        <v>2147</v>
      </c>
      <c r="J378" s="3733" t="s">
        <v>2147</v>
      </c>
    </row>
    <row r="379" spans="2:10" ht="18" hidden="1" customHeight="1" outlineLevel="3" x14ac:dyDescent="0.2">
      <c r="B379" s="2834" t="s">
        <v>2147</v>
      </c>
      <c r="C379" s="2835" t="s">
        <v>2147</v>
      </c>
      <c r="D379" s="3729" t="s">
        <v>2147</v>
      </c>
      <c r="E379" s="2755" t="s">
        <v>2147</v>
      </c>
      <c r="F379" s="2753" t="s">
        <v>2147</v>
      </c>
      <c r="G379" s="3735" t="s">
        <v>2147</v>
      </c>
      <c r="H379" s="2780" t="s">
        <v>2147</v>
      </c>
      <c r="I379" s="2758" t="s">
        <v>2147</v>
      </c>
      <c r="J379" s="3744" t="s">
        <v>2147</v>
      </c>
    </row>
    <row r="380" spans="2:10" ht="18" hidden="1" customHeight="1" outlineLevel="2" collapsed="1" x14ac:dyDescent="0.2">
      <c r="B380" s="2842" t="s">
        <v>1196</v>
      </c>
      <c r="C380" s="2828"/>
      <c r="D380" s="3731"/>
      <c r="E380" s="2809"/>
      <c r="F380" s="2810"/>
      <c r="G380" s="3738"/>
      <c r="H380" s="2819" t="s">
        <v>2146</v>
      </c>
      <c r="I380" s="2815" t="s">
        <v>2146</v>
      </c>
      <c r="J380" s="3741" t="s">
        <v>2146</v>
      </c>
    </row>
    <row r="381" spans="2:10" ht="18" hidden="1" customHeight="1" outlineLevel="3" x14ac:dyDescent="0.2">
      <c r="B381" s="2830" t="s">
        <v>1158</v>
      </c>
      <c r="C381" s="2841"/>
      <c r="D381" s="3727" t="s">
        <v>2146</v>
      </c>
      <c r="E381" s="2776" t="s">
        <v>2147</v>
      </c>
      <c r="F381" s="2777" t="s">
        <v>2147</v>
      </c>
      <c r="G381" s="3737" t="s">
        <v>2147</v>
      </c>
      <c r="H381" s="2778" t="s">
        <v>2146</v>
      </c>
      <c r="I381" s="2777" t="s">
        <v>2146</v>
      </c>
      <c r="J381" s="3734" t="s">
        <v>2146</v>
      </c>
    </row>
    <row r="382" spans="2:10" ht="18" hidden="1" customHeight="1" outlineLevel="3" x14ac:dyDescent="0.2">
      <c r="B382" s="2829" t="s">
        <v>200</v>
      </c>
      <c r="C382" s="2833"/>
      <c r="D382" s="3728"/>
      <c r="E382" s="2766"/>
      <c r="F382" s="2766"/>
      <c r="G382" s="3736"/>
      <c r="H382" s="2766"/>
      <c r="I382" s="2766"/>
      <c r="J382" s="3749"/>
    </row>
    <row r="383" spans="2:10" ht="18" hidden="1" customHeight="1" outlineLevel="3" x14ac:dyDescent="0.2">
      <c r="B383" s="2830" t="s">
        <v>1159</v>
      </c>
      <c r="C383" s="2835" t="s">
        <v>278</v>
      </c>
      <c r="D383" s="3729" t="s">
        <v>2146</v>
      </c>
      <c r="E383" s="2755" t="s">
        <v>2147</v>
      </c>
      <c r="F383" s="2777" t="s">
        <v>2147</v>
      </c>
      <c r="G383" s="3737" t="s">
        <v>2147</v>
      </c>
      <c r="H383" s="2780" t="s">
        <v>2146</v>
      </c>
      <c r="I383" s="2781" t="s">
        <v>2146</v>
      </c>
      <c r="J383" s="3726" t="s">
        <v>2146</v>
      </c>
    </row>
    <row r="384" spans="2:10" ht="18" hidden="1" customHeight="1" outlineLevel="3" x14ac:dyDescent="0.2">
      <c r="B384" s="2830" t="s">
        <v>1160</v>
      </c>
      <c r="C384" s="2835" t="s">
        <v>278</v>
      </c>
      <c r="D384" s="3729" t="s">
        <v>2146</v>
      </c>
      <c r="E384" s="2755" t="s">
        <v>2147</v>
      </c>
      <c r="F384" s="2777" t="s">
        <v>2147</v>
      </c>
      <c r="G384" s="3737" t="s">
        <v>2147</v>
      </c>
      <c r="H384" s="2780" t="s">
        <v>2146</v>
      </c>
      <c r="I384" s="2781" t="s">
        <v>2146</v>
      </c>
      <c r="J384" s="3726" t="s">
        <v>2146</v>
      </c>
    </row>
    <row r="385" spans="2:10" ht="18" hidden="1" customHeight="1" outlineLevel="3" x14ac:dyDescent="0.2">
      <c r="B385" s="2830" t="s">
        <v>1161</v>
      </c>
      <c r="C385" s="2833"/>
      <c r="D385" s="3730" t="s">
        <v>2147</v>
      </c>
      <c r="E385" s="2755" t="s">
        <v>2147</v>
      </c>
      <c r="F385" s="2753" t="s">
        <v>2147</v>
      </c>
      <c r="G385" s="3735" t="s">
        <v>2147</v>
      </c>
      <c r="H385" s="2756" t="s">
        <v>2147</v>
      </c>
      <c r="I385" s="2753" t="s">
        <v>2147</v>
      </c>
      <c r="J385" s="3733" t="s">
        <v>2147</v>
      </c>
    </row>
    <row r="386" spans="2:10" ht="18" hidden="1" customHeight="1" outlineLevel="3" x14ac:dyDescent="0.2">
      <c r="B386" s="2834" t="s">
        <v>2147</v>
      </c>
      <c r="C386" s="2835" t="s">
        <v>2147</v>
      </c>
      <c r="D386" s="3729" t="s">
        <v>2147</v>
      </c>
      <c r="E386" s="2755" t="s">
        <v>2147</v>
      </c>
      <c r="F386" s="2753" t="s">
        <v>2147</v>
      </c>
      <c r="G386" s="3735" t="s">
        <v>2147</v>
      </c>
      <c r="H386" s="2780" t="s">
        <v>2147</v>
      </c>
      <c r="I386" s="2758" t="s">
        <v>2147</v>
      </c>
      <c r="J386" s="3744" t="s">
        <v>2147</v>
      </c>
    </row>
    <row r="387" spans="2:10" ht="18" hidden="1" customHeight="1" outlineLevel="3" x14ac:dyDescent="0.2">
      <c r="B387" s="2830" t="s">
        <v>1162</v>
      </c>
      <c r="C387" s="2841"/>
      <c r="D387" s="3727" t="s">
        <v>2146</v>
      </c>
      <c r="E387" s="2776" t="s">
        <v>2147</v>
      </c>
      <c r="F387" s="2777" t="s">
        <v>2147</v>
      </c>
      <c r="G387" s="3737" t="s">
        <v>2147</v>
      </c>
      <c r="H387" s="2778" t="s">
        <v>2146</v>
      </c>
      <c r="I387" s="2777" t="s">
        <v>2146</v>
      </c>
      <c r="J387" s="3734" t="s">
        <v>2146</v>
      </c>
    </row>
    <row r="388" spans="2:10" ht="18" hidden="1" customHeight="1" outlineLevel="3" x14ac:dyDescent="0.2">
      <c r="B388" s="2829" t="s">
        <v>200</v>
      </c>
      <c r="C388" s="2833"/>
      <c r="D388" s="3728"/>
      <c r="E388" s="2766"/>
      <c r="F388" s="2766"/>
      <c r="G388" s="3736"/>
      <c r="H388" s="2766"/>
      <c r="I388" s="2766"/>
      <c r="J388" s="3749"/>
    </row>
    <row r="389" spans="2:10" ht="18" hidden="1" customHeight="1" outlineLevel="3" x14ac:dyDescent="0.2">
      <c r="B389" s="2830" t="s">
        <v>1163</v>
      </c>
      <c r="C389" s="2835" t="s">
        <v>278</v>
      </c>
      <c r="D389" s="3729" t="s">
        <v>2146</v>
      </c>
      <c r="E389" s="2755" t="s">
        <v>2147</v>
      </c>
      <c r="F389" s="2777" t="s">
        <v>2147</v>
      </c>
      <c r="G389" s="3737" t="s">
        <v>2147</v>
      </c>
      <c r="H389" s="2780" t="s">
        <v>2146</v>
      </c>
      <c r="I389" s="2781" t="s">
        <v>2146</v>
      </c>
      <c r="J389" s="3726" t="s">
        <v>2146</v>
      </c>
    </row>
    <row r="390" spans="2:10" ht="18" hidden="1" customHeight="1" outlineLevel="3" x14ac:dyDescent="0.2">
      <c r="B390" s="2830" t="s">
        <v>1164</v>
      </c>
      <c r="C390" s="2833"/>
      <c r="D390" s="3730" t="s">
        <v>2147</v>
      </c>
      <c r="E390" s="2755" t="s">
        <v>2147</v>
      </c>
      <c r="F390" s="2753" t="s">
        <v>2147</v>
      </c>
      <c r="G390" s="3735" t="s">
        <v>2147</v>
      </c>
      <c r="H390" s="2756" t="s">
        <v>2147</v>
      </c>
      <c r="I390" s="2753" t="s">
        <v>2147</v>
      </c>
      <c r="J390" s="3733" t="s">
        <v>2147</v>
      </c>
    </row>
    <row r="391" spans="2:10" ht="18" hidden="1" customHeight="1" outlineLevel="3" x14ac:dyDescent="0.2">
      <c r="B391" s="2834" t="s">
        <v>2147</v>
      </c>
      <c r="C391" s="2835" t="s">
        <v>2147</v>
      </c>
      <c r="D391" s="3729" t="s">
        <v>2147</v>
      </c>
      <c r="E391" s="2755" t="s">
        <v>2147</v>
      </c>
      <c r="F391" s="2753" t="s">
        <v>2147</v>
      </c>
      <c r="G391" s="3735" t="s">
        <v>2147</v>
      </c>
      <c r="H391" s="2780" t="s">
        <v>2147</v>
      </c>
      <c r="I391" s="2758" t="s">
        <v>2147</v>
      </c>
      <c r="J391" s="3744" t="s">
        <v>2147</v>
      </c>
    </row>
    <row r="392" spans="2:10" ht="18" hidden="1" customHeight="1" outlineLevel="2" collapsed="1" x14ac:dyDescent="0.2">
      <c r="B392" s="2842" t="s">
        <v>1197</v>
      </c>
      <c r="C392" s="2828"/>
      <c r="D392" s="3731"/>
      <c r="E392" s="2809"/>
      <c r="F392" s="2810"/>
      <c r="G392" s="3738"/>
      <c r="H392" s="2819" t="s">
        <v>2146</v>
      </c>
      <c r="I392" s="2815" t="s">
        <v>2146</v>
      </c>
      <c r="J392" s="3741" t="s">
        <v>2146</v>
      </c>
    </row>
    <row r="393" spans="2:10" ht="18" hidden="1" customHeight="1" outlineLevel="3" x14ac:dyDescent="0.2">
      <c r="B393" s="2830" t="s">
        <v>1158</v>
      </c>
      <c r="C393" s="2841"/>
      <c r="D393" s="3727" t="s">
        <v>2146</v>
      </c>
      <c r="E393" s="2776" t="s">
        <v>2147</v>
      </c>
      <c r="F393" s="2777" t="s">
        <v>2147</v>
      </c>
      <c r="G393" s="3737" t="s">
        <v>2147</v>
      </c>
      <c r="H393" s="2778" t="s">
        <v>2146</v>
      </c>
      <c r="I393" s="2777" t="s">
        <v>2146</v>
      </c>
      <c r="J393" s="3734" t="s">
        <v>2146</v>
      </c>
    </row>
    <row r="394" spans="2:10" ht="18" hidden="1" customHeight="1" outlineLevel="3" x14ac:dyDescent="0.2">
      <c r="B394" s="2829" t="s">
        <v>200</v>
      </c>
      <c r="C394" s="2833"/>
      <c r="D394" s="3728"/>
      <c r="E394" s="2766"/>
      <c r="F394" s="2766"/>
      <c r="G394" s="3736"/>
      <c r="H394" s="2766"/>
      <c r="I394" s="2766"/>
      <c r="J394" s="3749"/>
    </row>
    <row r="395" spans="2:10" ht="18" hidden="1" customHeight="1" outlineLevel="3" x14ac:dyDescent="0.2">
      <c r="B395" s="2830" t="s">
        <v>1159</v>
      </c>
      <c r="C395" s="2835" t="s">
        <v>278</v>
      </c>
      <c r="D395" s="3729" t="s">
        <v>2146</v>
      </c>
      <c r="E395" s="2755" t="s">
        <v>2147</v>
      </c>
      <c r="F395" s="2777" t="s">
        <v>2147</v>
      </c>
      <c r="G395" s="3737" t="s">
        <v>2147</v>
      </c>
      <c r="H395" s="2780" t="s">
        <v>2146</v>
      </c>
      <c r="I395" s="2781" t="s">
        <v>2146</v>
      </c>
      <c r="J395" s="3726" t="s">
        <v>2146</v>
      </c>
    </row>
    <row r="396" spans="2:10" ht="18" hidden="1" customHeight="1" outlineLevel="3" x14ac:dyDescent="0.2">
      <c r="B396" s="2830" t="s">
        <v>1160</v>
      </c>
      <c r="C396" s="2835" t="s">
        <v>278</v>
      </c>
      <c r="D396" s="3729" t="s">
        <v>2146</v>
      </c>
      <c r="E396" s="2755" t="s">
        <v>2147</v>
      </c>
      <c r="F396" s="2777" t="s">
        <v>2147</v>
      </c>
      <c r="G396" s="3737" t="s">
        <v>2147</v>
      </c>
      <c r="H396" s="2780" t="s">
        <v>2146</v>
      </c>
      <c r="I396" s="2781" t="s">
        <v>2146</v>
      </c>
      <c r="J396" s="3726" t="s">
        <v>2146</v>
      </c>
    </row>
    <row r="397" spans="2:10" ht="18" hidden="1" customHeight="1" outlineLevel="3" x14ac:dyDescent="0.2">
      <c r="B397" s="2830" t="s">
        <v>1161</v>
      </c>
      <c r="C397" s="2833"/>
      <c r="D397" s="3730" t="s">
        <v>2147</v>
      </c>
      <c r="E397" s="2755" t="s">
        <v>2147</v>
      </c>
      <c r="F397" s="2753" t="s">
        <v>2147</v>
      </c>
      <c r="G397" s="3735" t="s">
        <v>2147</v>
      </c>
      <c r="H397" s="2756" t="s">
        <v>2147</v>
      </c>
      <c r="I397" s="2753" t="s">
        <v>2147</v>
      </c>
      <c r="J397" s="3733" t="s">
        <v>2147</v>
      </c>
    </row>
    <row r="398" spans="2:10" ht="18" hidden="1" customHeight="1" outlineLevel="3" x14ac:dyDescent="0.2">
      <c r="B398" s="2834" t="s">
        <v>2147</v>
      </c>
      <c r="C398" s="2835" t="s">
        <v>2147</v>
      </c>
      <c r="D398" s="3729" t="s">
        <v>2147</v>
      </c>
      <c r="E398" s="2755" t="s">
        <v>2147</v>
      </c>
      <c r="F398" s="2753" t="s">
        <v>2147</v>
      </c>
      <c r="G398" s="3735" t="s">
        <v>2147</v>
      </c>
      <c r="H398" s="2780" t="s">
        <v>2147</v>
      </c>
      <c r="I398" s="2758" t="s">
        <v>2147</v>
      </c>
      <c r="J398" s="3744" t="s">
        <v>2147</v>
      </c>
    </row>
    <row r="399" spans="2:10" ht="18" hidden="1" customHeight="1" outlineLevel="3" x14ac:dyDescent="0.2">
      <c r="B399" s="2830" t="s">
        <v>1162</v>
      </c>
      <c r="C399" s="2841"/>
      <c r="D399" s="3727" t="s">
        <v>2146</v>
      </c>
      <c r="E399" s="2776" t="s">
        <v>2147</v>
      </c>
      <c r="F399" s="2777" t="s">
        <v>2147</v>
      </c>
      <c r="G399" s="3737" t="s">
        <v>2147</v>
      </c>
      <c r="H399" s="2778" t="s">
        <v>2146</v>
      </c>
      <c r="I399" s="2777" t="s">
        <v>2146</v>
      </c>
      <c r="J399" s="3734" t="s">
        <v>2146</v>
      </c>
    </row>
    <row r="400" spans="2:10" ht="18" hidden="1" customHeight="1" outlineLevel="3" x14ac:dyDescent="0.2">
      <c r="B400" s="2829" t="s">
        <v>200</v>
      </c>
      <c r="C400" s="2833"/>
      <c r="D400" s="3728"/>
      <c r="E400" s="2766"/>
      <c r="F400" s="2766"/>
      <c r="G400" s="3736"/>
      <c r="H400" s="2766"/>
      <c r="I400" s="2766"/>
      <c r="J400" s="3749"/>
    </row>
    <row r="401" spans="2:10" ht="18" hidden="1" customHeight="1" outlineLevel="3" x14ac:dyDescent="0.2">
      <c r="B401" s="2830" t="s">
        <v>1163</v>
      </c>
      <c r="C401" s="2835" t="s">
        <v>278</v>
      </c>
      <c r="D401" s="3729" t="s">
        <v>2146</v>
      </c>
      <c r="E401" s="2755" t="s">
        <v>2147</v>
      </c>
      <c r="F401" s="2777" t="s">
        <v>2147</v>
      </c>
      <c r="G401" s="3737" t="s">
        <v>2147</v>
      </c>
      <c r="H401" s="2780" t="s">
        <v>2146</v>
      </c>
      <c r="I401" s="2781" t="s">
        <v>2146</v>
      </c>
      <c r="J401" s="3726" t="s">
        <v>2146</v>
      </c>
    </row>
    <row r="402" spans="2:10" ht="18" hidden="1" customHeight="1" outlineLevel="3" x14ac:dyDescent="0.2">
      <c r="B402" s="2830" t="s">
        <v>1164</v>
      </c>
      <c r="C402" s="2833"/>
      <c r="D402" s="3730" t="s">
        <v>2147</v>
      </c>
      <c r="E402" s="2755" t="s">
        <v>2147</v>
      </c>
      <c r="F402" s="2753" t="s">
        <v>2147</v>
      </c>
      <c r="G402" s="3735" t="s">
        <v>2147</v>
      </c>
      <c r="H402" s="2756" t="s">
        <v>2147</v>
      </c>
      <c r="I402" s="2753" t="s">
        <v>2147</v>
      </c>
      <c r="J402" s="3733" t="s">
        <v>2147</v>
      </c>
    </row>
    <row r="403" spans="2:10" ht="18" hidden="1" customHeight="1" outlineLevel="3" x14ac:dyDescent="0.2">
      <c r="B403" s="2834" t="s">
        <v>2147</v>
      </c>
      <c r="C403" s="2835" t="s">
        <v>2147</v>
      </c>
      <c r="D403" s="3729" t="s">
        <v>2147</v>
      </c>
      <c r="E403" s="2755" t="s">
        <v>2147</v>
      </c>
      <c r="F403" s="2753" t="s">
        <v>2147</v>
      </c>
      <c r="G403" s="3735" t="s">
        <v>2147</v>
      </c>
      <c r="H403" s="2780" t="s">
        <v>2147</v>
      </c>
      <c r="I403" s="2758" t="s">
        <v>2147</v>
      </c>
      <c r="J403" s="3744" t="s">
        <v>2147</v>
      </c>
    </row>
    <row r="404" spans="2:10" ht="18" customHeight="1" outlineLevel="1" x14ac:dyDescent="0.2">
      <c r="B404" s="2573" t="s">
        <v>1198</v>
      </c>
      <c r="C404" s="2828"/>
      <c r="D404" s="3731"/>
      <c r="E404" s="2809"/>
      <c r="F404" s="2810"/>
      <c r="G404" s="3738"/>
      <c r="H404" s="2819" t="str">
        <f>H411</f>
        <v>IE</v>
      </c>
      <c r="I404" s="2815" t="s">
        <v>2154</v>
      </c>
      <c r="J404" s="3741">
        <f>J411</f>
        <v>7.5224100909722216</v>
      </c>
    </row>
    <row r="405" spans="2:10" ht="18" customHeight="1" outlineLevel="2" x14ac:dyDescent="0.2">
      <c r="B405" s="2827" t="s">
        <v>1158</v>
      </c>
      <c r="C405" s="2841"/>
      <c r="D405" s="3727" t="s">
        <v>2146</v>
      </c>
      <c r="E405" s="2776" t="s">
        <v>2147</v>
      </c>
      <c r="F405" s="2777" t="s">
        <v>2147</v>
      </c>
      <c r="G405" s="3737" t="s">
        <v>2147</v>
      </c>
      <c r="H405" s="2778" t="s">
        <v>2154</v>
      </c>
      <c r="I405" s="2777" t="s">
        <v>2154</v>
      </c>
      <c r="J405" s="3734" t="s">
        <v>2154</v>
      </c>
    </row>
    <row r="406" spans="2:10" ht="18" customHeight="1" outlineLevel="2" x14ac:dyDescent="0.2">
      <c r="B406" s="2829" t="s">
        <v>200</v>
      </c>
      <c r="C406" s="2833"/>
      <c r="D406" s="3728"/>
      <c r="E406" s="2766"/>
      <c r="F406" s="2766"/>
      <c r="G406" s="3736"/>
      <c r="H406" s="2766"/>
      <c r="I406" s="2766"/>
      <c r="J406" s="3749"/>
    </row>
    <row r="407" spans="2:10" ht="18" customHeight="1" outlineLevel="2" x14ac:dyDescent="0.2">
      <c r="B407" s="2830" t="s">
        <v>1159</v>
      </c>
      <c r="C407" s="2835" t="s">
        <v>278</v>
      </c>
      <c r="D407" s="3729" t="s">
        <v>2146</v>
      </c>
      <c r="E407" s="2755" t="s">
        <v>2147</v>
      </c>
      <c r="F407" s="2777" t="s">
        <v>2147</v>
      </c>
      <c r="G407" s="3737" t="s">
        <v>2147</v>
      </c>
      <c r="H407" s="2780" t="s">
        <v>2146</v>
      </c>
      <c r="I407" s="2781" t="s">
        <v>2146</v>
      </c>
      <c r="J407" s="3726" t="s">
        <v>2146</v>
      </c>
    </row>
    <row r="408" spans="2:10" ht="18" customHeight="1" outlineLevel="2" x14ac:dyDescent="0.2">
      <c r="B408" s="2830" t="s">
        <v>1160</v>
      </c>
      <c r="C408" s="2835" t="s">
        <v>278</v>
      </c>
      <c r="D408" s="3729" t="s">
        <v>2154</v>
      </c>
      <c r="E408" s="2755" t="s">
        <v>2147</v>
      </c>
      <c r="F408" s="2777" t="s">
        <v>2147</v>
      </c>
      <c r="G408" s="3737" t="s">
        <v>2147</v>
      </c>
      <c r="H408" s="2780" t="s">
        <v>2154</v>
      </c>
      <c r="I408" s="2781" t="s">
        <v>2154</v>
      </c>
      <c r="J408" s="3726" t="s">
        <v>2154</v>
      </c>
    </row>
    <row r="409" spans="2:10" ht="18" customHeight="1" outlineLevel="2" x14ac:dyDescent="0.2">
      <c r="B409" s="2830" t="s">
        <v>1161</v>
      </c>
      <c r="C409" s="2833"/>
      <c r="D409" s="3730" t="s">
        <v>2147</v>
      </c>
      <c r="E409" s="2755" t="s">
        <v>2147</v>
      </c>
      <c r="F409" s="2753" t="s">
        <v>2147</v>
      </c>
      <c r="G409" s="3735" t="s">
        <v>2147</v>
      </c>
      <c r="H409" s="2756" t="s">
        <v>2147</v>
      </c>
      <c r="I409" s="2753" t="s">
        <v>2147</v>
      </c>
      <c r="J409" s="3733" t="s">
        <v>2147</v>
      </c>
    </row>
    <row r="410" spans="2:10" ht="18" customHeight="1" outlineLevel="2" x14ac:dyDescent="0.2">
      <c r="B410" s="2834" t="s">
        <v>2147</v>
      </c>
      <c r="C410" s="2835" t="s">
        <v>2147</v>
      </c>
      <c r="D410" s="3729" t="s">
        <v>2147</v>
      </c>
      <c r="E410" s="2755" t="s">
        <v>2147</v>
      </c>
      <c r="F410" s="2753" t="s">
        <v>2147</v>
      </c>
      <c r="G410" s="3735" t="s">
        <v>2147</v>
      </c>
      <c r="H410" s="2780" t="s">
        <v>2147</v>
      </c>
      <c r="I410" s="2758" t="s">
        <v>2147</v>
      </c>
      <c r="J410" s="3744" t="s">
        <v>2147</v>
      </c>
    </row>
    <row r="411" spans="2:10" ht="18" customHeight="1" outlineLevel="2" x14ac:dyDescent="0.2">
      <c r="B411" s="2827" t="s">
        <v>1162</v>
      </c>
      <c r="C411" s="2841"/>
      <c r="D411" s="3727">
        <f>D415</f>
        <v>36.057418055555559</v>
      </c>
      <c r="E411" s="2776" t="str">
        <f t="shared" ref="E411:J411" si="10">E415</f>
        <v>NA</v>
      </c>
      <c r="F411" s="2777" t="str">
        <f t="shared" si="10"/>
        <v>NA</v>
      </c>
      <c r="G411" s="3737">
        <f t="shared" si="10"/>
        <v>208.62309329475698</v>
      </c>
      <c r="H411" s="2778" t="str">
        <f t="shared" si="10"/>
        <v>IE</v>
      </c>
      <c r="I411" s="2777" t="str">
        <f t="shared" si="10"/>
        <v>NA</v>
      </c>
      <c r="J411" s="3734">
        <f t="shared" si="10"/>
        <v>7.5224100909722216</v>
      </c>
    </row>
    <row r="412" spans="2:10" ht="18" customHeight="1" outlineLevel="2" x14ac:dyDescent="0.2">
      <c r="B412" s="2829" t="s">
        <v>200</v>
      </c>
      <c r="C412" s="2833"/>
      <c r="D412" s="3728"/>
      <c r="E412" s="2766"/>
      <c r="F412" s="2766"/>
      <c r="G412" s="3736"/>
      <c r="H412" s="2766"/>
      <c r="I412" s="2766"/>
      <c r="J412" s="3749"/>
    </row>
    <row r="413" spans="2:10" ht="18" customHeight="1" outlineLevel="2" x14ac:dyDescent="0.2">
      <c r="B413" s="2830" t="s">
        <v>1163</v>
      </c>
      <c r="C413" s="2835" t="s">
        <v>278</v>
      </c>
      <c r="D413" s="3729" t="s">
        <v>2154</v>
      </c>
      <c r="E413" s="2755" t="s">
        <v>2147</v>
      </c>
      <c r="F413" s="2777" t="s">
        <v>2147</v>
      </c>
      <c r="G413" s="3737" t="s">
        <v>2147</v>
      </c>
      <c r="H413" s="2780" t="s">
        <v>2154</v>
      </c>
      <c r="I413" s="2781" t="s">
        <v>2154</v>
      </c>
      <c r="J413" s="3726" t="s">
        <v>2154</v>
      </c>
    </row>
    <row r="414" spans="2:10" ht="18" customHeight="1" outlineLevel="2" x14ac:dyDescent="0.2">
      <c r="B414" s="2830" t="s">
        <v>1164</v>
      </c>
      <c r="C414" s="2833"/>
      <c r="D414" s="3730" t="s">
        <v>2147</v>
      </c>
      <c r="E414" s="2755" t="s">
        <v>2147</v>
      </c>
      <c r="F414" s="2753" t="s">
        <v>2147</v>
      </c>
      <c r="G414" s="3735" t="s">
        <v>2147</v>
      </c>
      <c r="H414" s="2756" t="s">
        <v>2147</v>
      </c>
      <c r="I414" s="2753" t="s">
        <v>2147</v>
      </c>
      <c r="J414" s="3733" t="s">
        <v>2147</v>
      </c>
    </row>
    <row r="415" spans="2:10" ht="18" customHeight="1" outlineLevel="2" x14ac:dyDescent="0.2">
      <c r="B415" s="2844" t="str">
        <f>B427</f>
        <v>Reservoirs</v>
      </c>
      <c r="C415" s="2835" t="str">
        <f>C427</f>
        <v>New Reservoirs</v>
      </c>
      <c r="D415" s="3729">
        <f>D427</f>
        <v>36.057418055555559</v>
      </c>
      <c r="E415" s="2755" t="str">
        <f>E427</f>
        <v>NA</v>
      </c>
      <c r="F415" s="2753" t="str">
        <f>F427</f>
        <v>NA</v>
      </c>
      <c r="G415" s="3735">
        <f t="shared" ref="G415:J415" si="11">G427</f>
        <v>208.62309329475698</v>
      </c>
      <c r="H415" s="2780" t="str">
        <f t="shared" si="11"/>
        <v>IE</v>
      </c>
      <c r="I415" s="2758" t="str">
        <f t="shared" si="11"/>
        <v>NA</v>
      </c>
      <c r="J415" s="3744">
        <f t="shared" si="11"/>
        <v>7.5224100909722216</v>
      </c>
    </row>
    <row r="416" spans="2:10" ht="18" customHeight="1" outlineLevel="2" x14ac:dyDescent="0.2">
      <c r="B416" s="2842" t="s">
        <v>1199</v>
      </c>
      <c r="C416" s="2828"/>
      <c r="D416" s="3731"/>
      <c r="E416" s="2809"/>
      <c r="F416" s="2810"/>
      <c r="G416" s="3738"/>
      <c r="H416" s="2819" t="s">
        <v>2154</v>
      </c>
      <c r="I416" s="2815" t="s">
        <v>2154</v>
      </c>
      <c r="J416" s="3741">
        <f>J423</f>
        <v>7.5224100909722216</v>
      </c>
    </row>
    <row r="417" spans="2:10" ht="18" customHeight="1" outlineLevel="3" x14ac:dyDescent="0.2">
      <c r="B417" s="2830" t="s">
        <v>1158</v>
      </c>
      <c r="C417" s="2841"/>
      <c r="D417" s="3727" t="s">
        <v>2146</v>
      </c>
      <c r="E417" s="2776" t="s">
        <v>2147</v>
      </c>
      <c r="F417" s="2777" t="s">
        <v>2147</v>
      </c>
      <c r="G417" s="3737" t="s">
        <v>2147</v>
      </c>
      <c r="H417" s="2778" t="s">
        <v>2154</v>
      </c>
      <c r="I417" s="2777" t="s">
        <v>2154</v>
      </c>
      <c r="J417" s="3734" t="s">
        <v>2154</v>
      </c>
    </row>
    <row r="418" spans="2:10" ht="18" customHeight="1" outlineLevel="3" x14ac:dyDescent="0.2">
      <c r="B418" s="2829" t="s">
        <v>200</v>
      </c>
      <c r="C418" s="2833"/>
      <c r="D418" s="3728"/>
      <c r="E418" s="2766"/>
      <c r="F418" s="2766"/>
      <c r="G418" s="3736"/>
      <c r="H418" s="2766"/>
      <c r="I418" s="2766"/>
      <c r="J418" s="3749"/>
    </row>
    <row r="419" spans="2:10" ht="18" customHeight="1" outlineLevel="3" x14ac:dyDescent="0.2">
      <c r="B419" s="2830" t="s">
        <v>1159</v>
      </c>
      <c r="C419" s="2835" t="s">
        <v>278</v>
      </c>
      <c r="D419" s="3729" t="s">
        <v>2146</v>
      </c>
      <c r="E419" s="2755" t="s">
        <v>2147</v>
      </c>
      <c r="F419" s="2777" t="s">
        <v>2147</v>
      </c>
      <c r="G419" s="3737" t="s">
        <v>2147</v>
      </c>
      <c r="H419" s="2780" t="s">
        <v>2146</v>
      </c>
      <c r="I419" s="2781" t="s">
        <v>2146</v>
      </c>
      <c r="J419" s="3726" t="s">
        <v>2146</v>
      </c>
    </row>
    <row r="420" spans="2:10" ht="18" customHeight="1" outlineLevel="3" x14ac:dyDescent="0.2">
      <c r="B420" s="2830" t="s">
        <v>1160</v>
      </c>
      <c r="C420" s="2835" t="s">
        <v>278</v>
      </c>
      <c r="D420" s="3729" t="s">
        <v>2154</v>
      </c>
      <c r="E420" s="2755" t="s">
        <v>2147</v>
      </c>
      <c r="F420" s="2777" t="s">
        <v>2147</v>
      </c>
      <c r="G420" s="3737" t="s">
        <v>2147</v>
      </c>
      <c r="H420" s="2780" t="s">
        <v>2154</v>
      </c>
      <c r="I420" s="2781" t="s">
        <v>2154</v>
      </c>
      <c r="J420" s="3726" t="s">
        <v>2154</v>
      </c>
    </row>
    <row r="421" spans="2:10" ht="18" customHeight="1" outlineLevel="3" x14ac:dyDescent="0.2">
      <c r="B421" s="2830" t="s">
        <v>1161</v>
      </c>
      <c r="C421" s="2833"/>
      <c r="D421" s="3730" t="s">
        <v>2147</v>
      </c>
      <c r="E421" s="2755" t="s">
        <v>2147</v>
      </c>
      <c r="F421" s="2753" t="s">
        <v>2147</v>
      </c>
      <c r="G421" s="3735" t="s">
        <v>2147</v>
      </c>
      <c r="H421" s="2756" t="s">
        <v>2147</v>
      </c>
      <c r="I421" s="2753" t="s">
        <v>2147</v>
      </c>
      <c r="J421" s="3733" t="s">
        <v>2147</v>
      </c>
    </row>
    <row r="422" spans="2:10" ht="18" customHeight="1" outlineLevel="3" x14ac:dyDescent="0.2">
      <c r="B422" s="2834" t="s">
        <v>2147</v>
      </c>
      <c r="C422" s="2835" t="s">
        <v>2147</v>
      </c>
      <c r="D422" s="3729" t="s">
        <v>2147</v>
      </c>
      <c r="E422" s="2755" t="s">
        <v>2147</v>
      </c>
      <c r="F422" s="2753" t="s">
        <v>2147</v>
      </c>
      <c r="G422" s="3735" t="s">
        <v>2147</v>
      </c>
      <c r="H422" s="2780" t="s">
        <v>2147</v>
      </c>
      <c r="I422" s="2758" t="s">
        <v>2147</v>
      </c>
      <c r="J422" s="3744" t="s">
        <v>2147</v>
      </c>
    </row>
    <row r="423" spans="2:10" ht="18" customHeight="1" outlineLevel="3" x14ac:dyDescent="0.2">
      <c r="B423" s="2830" t="s">
        <v>1162</v>
      </c>
      <c r="C423" s="2841"/>
      <c r="D423" s="3727">
        <f>D427</f>
        <v>36.057418055555559</v>
      </c>
      <c r="E423" s="2776" t="str">
        <f t="shared" ref="E423:J423" si="12">E427</f>
        <v>NA</v>
      </c>
      <c r="F423" s="2777" t="str">
        <f t="shared" si="12"/>
        <v>NA</v>
      </c>
      <c r="G423" s="3737">
        <f t="shared" si="12"/>
        <v>208.62309329475698</v>
      </c>
      <c r="H423" s="2778" t="str">
        <f t="shared" si="12"/>
        <v>IE</v>
      </c>
      <c r="I423" s="2777" t="str">
        <f t="shared" si="12"/>
        <v>NA</v>
      </c>
      <c r="J423" s="3734">
        <f t="shared" si="12"/>
        <v>7.5224100909722216</v>
      </c>
    </row>
    <row r="424" spans="2:10" ht="18" customHeight="1" outlineLevel="3" x14ac:dyDescent="0.2">
      <c r="B424" s="2829" t="s">
        <v>200</v>
      </c>
      <c r="C424" s="2833"/>
      <c r="D424" s="3728"/>
      <c r="E424" s="2766"/>
      <c r="F424" s="2766"/>
      <c r="G424" s="3736"/>
      <c r="H424" s="2766"/>
      <c r="I424" s="2766"/>
      <c r="J424" s="3749"/>
    </row>
    <row r="425" spans="2:10" ht="18" customHeight="1" outlineLevel="3" x14ac:dyDescent="0.2">
      <c r="B425" s="2830" t="s">
        <v>1163</v>
      </c>
      <c r="C425" s="2835" t="s">
        <v>278</v>
      </c>
      <c r="D425" s="3729" t="s">
        <v>2154</v>
      </c>
      <c r="E425" s="2755" t="s">
        <v>2147</v>
      </c>
      <c r="F425" s="2777" t="s">
        <v>2147</v>
      </c>
      <c r="G425" s="3737" t="s">
        <v>2147</v>
      </c>
      <c r="H425" s="2780" t="s">
        <v>2154</v>
      </c>
      <c r="I425" s="2781" t="s">
        <v>2154</v>
      </c>
      <c r="J425" s="3726" t="s">
        <v>2154</v>
      </c>
    </row>
    <row r="426" spans="2:10" ht="18" customHeight="1" outlineLevel="3" x14ac:dyDescent="0.2">
      <c r="B426" s="2830" t="s">
        <v>1164</v>
      </c>
      <c r="C426" s="2833"/>
      <c r="D426" s="3730" t="s">
        <v>2147</v>
      </c>
      <c r="E426" s="2755" t="s">
        <v>2147</v>
      </c>
      <c r="F426" s="2753" t="s">
        <v>2147</v>
      </c>
      <c r="G426" s="3735" t="s">
        <v>2147</v>
      </c>
      <c r="H426" s="2756" t="s">
        <v>2147</v>
      </c>
      <c r="I426" s="2753" t="s">
        <v>2147</v>
      </c>
      <c r="J426" s="3733" t="s">
        <v>2147</v>
      </c>
    </row>
    <row r="427" spans="2:10" ht="18" customHeight="1" outlineLevel="3" x14ac:dyDescent="0.2">
      <c r="B427" s="2844" t="s">
        <v>2230</v>
      </c>
      <c r="C427" s="2835" t="s">
        <v>2244</v>
      </c>
      <c r="D427" s="3732">
        <v>36.057418055555559</v>
      </c>
      <c r="E427" s="2755" t="s">
        <v>2147</v>
      </c>
      <c r="F427" s="2753" t="s">
        <v>2147</v>
      </c>
      <c r="G427" s="3735">
        <f>IF(SUM(D427)=0,"NA",J427*1000/D427)</f>
        <v>208.62309329475698</v>
      </c>
      <c r="H427" s="2780" t="s">
        <v>2153</v>
      </c>
      <c r="I427" s="2758" t="s">
        <v>2147</v>
      </c>
      <c r="J427" s="3744">
        <v>7.5224100909722216</v>
      </c>
    </row>
    <row r="428" spans="2:10" ht="18" customHeight="1" outlineLevel="2" collapsed="1" x14ac:dyDescent="0.2">
      <c r="B428" s="2842" t="s">
        <v>1200</v>
      </c>
      <c r="C428" s="2828"/>
      <c r="D428" s="2808"/>
      <c r="E428" s="2809"/>
      <c r="F428" s="2810"/>
      <c r="G428" s="2811"/>
      <c r="H428" s="2819" t="s">
        <v>2146</v>
      </c>
      <c r="I428" s="2815" t="s">
        <v>2146</v>
      </c>
      <c r="J428" s="2816" t="s">
        <v>2146</v>
      </c>
    </row>
    <row r="429" spans="2:10" ht="18" hidden="1" customHeight="1" outlineLevel="3" x14ac:dyDescent="0.2">
      <c r="B429" s="2830" t="s">
        <v>1158</v>
      </c>
      <c r="C429" s="2841"/>
      <c r="D429" s="2775" t="s">
        <v>2146</v>
      </c>
      <c r="E429" s="2776" t="s">
        <v>2147</v>
      </c>
      <c r="F429" s="2777" t="s">
        <v>2147</v>
      </c>
      <c r="G429" s="2775" t="s">
        <v>2147</v>
      </c>
      <c r="H429" s="2778" t="s">
        <v>2146</v>
      </c>
      <c r="I429" s="2777" t="s">
        <v>2146</v>
      </c>
      <c r="J429" s="2775" t="s">
        <v>2146</v>
      </c>
    </row>
    <row r="430" spans="2:10" ht="18" hidden="1" customHeight="1" outlineLevel="3" x14ac:dyDescent="0.2">
      <c r="B430" s="2829" t="s">
        <v>200</v>
      </c>
      <c r="C430" s="2833"/>
      <c r="D430" s="2766"/>
      <c r="E430" s="2766"/>
      <c r="F430" s="2766"/>
      <c r="G430" s="2766"/>
      <c r="H430" s="2766"/>
      <c r="I430" s="2766"/>
      <c r="J430" s="2779"/>
    </row>
    <row r="431" spans="2:10" ht="18" hidden="1" customHeight="1" outlineLevel="3" x14ac:dyDescent="0.2">
      <c r="B431" s="2830" t="s">
        <v>1159</v>
      </c>
      <c r="C431" s="2835" t="s">
        <v>278</v>
      </c>
      <c r="D431" s="2757" t="s">
        <v>2146</v>
      </c>
      <c r="E431" s="2755" t="s">
        <v>2147</v>
      </c>
      <c r="F431" s="2777" t="s">
        <v>2147</v>
      </c>
      <c r="G431" s="2775" t="s">
        <v>2147</v>
      </c>
      <c r="H431" s="2780" t="s">
        <v>2146</v>
      </c>
      <c r="I431" s="2781" t="s">
        <v>2146</v>
      </c>
      <c r="J431" s="2757" t="s">
        <v>2146</v>
      </c>
    </row>
    <row r="432" spans="2:10" ht="18" hidden="1" customHeight="1" outlineLevel="3" x14ac:dyDescent="0.2">
      <c r="B432" s="2830" t="s">
        <v>1160</v>
      </c>
      <c r="C432" s="2835" t="s">
        <v>278</v>
      </c>
      <c r="D432" s="2757" t="s">
        <v>2146</v>
      </c>
      <c r="E432" s="2755" t="s">
        <v>2147</v>
      </c>
      <c r="F432" s="2777" t="s">
        <v>2147</v>
      </c>
      <c r="G432" s="2775" t="s">
        <v>2147</v>
      </c>
      <c r="H432" s="2780" t="s">
        <v>2146</v>
      </c>
      <c r="I432" s="2781" t="s">
        <v>2146</v>
      </c>
      <c r="J432" s="2757" t="s">
        <v>2146</v>
      </c>
    </row>
    <row r="433" spans="2:10" ht="18" hidden="1" customHeight="1" outlineLevel="3" x14ac:dyDescent="0.2">
      <c r="B433" s="2830" t="s">
        <v>1161</v>
      </c>
      <c r="C433" s="2833"/>
      <c r="D433" s="2754" t="s">
        <v>2147</v>
      </c>
      <c r="E433" s="2755" t="s">
        <v>2147</v>
      </c>
      <c r="F433" s="2753" t="s">
        <v>2147</v>
      </c>
      <c r="G433" s="2754" t="s">
        <v>2147</v>
      </c>
      <c r="H433" s="2756" t="s">
        <v>2147</v>
      </c>
      <c r="I433" s="2753" t="s">
        <v>2147</v>
      </c>
      <c r="J433" s="2754" t="s">
        <v>2147</v>
      </c>
    </row>
    <row r="434" spans="2:10" ht="18" hidden="1" customHeight="1" outlineLevel="3" x14ac:dyDescent="0.2">
      <c r="B434" s="2834" t="s">
        <v>2147</v>
      </c>
      <c r="C434" s="2835" t="s">
        <v>2147</v>
      </c>
      <c r="D434" s="2757" t="s">
        <v>2147</v>
      </c>
      <c r="E434" s="2755" t="s">
        <v>2147</v>
      </c>
      <c r="F434" s="2753" t="s">
        <v>2147</v>
      </c>
      <c r="G434" s="2754" t="s">
        <v>2147</v>
      </c>
      <c r="H434" s="2780" t="s">
        <v>2147</v>
      </c>
      <c r="I434" s="2758" t="s">
        <v>2147</v>
      </c>
      <c r="J434" s="2759" t="s">
        <v>2147</v>
      </c>
    </row>
    <row r="435" spans="2:10" ht="18" hidden="1" customHeight="1" outlineLevel="3" x14ac:dyDescent="0.2">
      <c r="B435" s="2830" t="s">
        <v>1162</v>
      </c>
      <c r="C435" s="2841"/>
      <c r="D435" s="2775" t="s">
        <v>2146</v>
      </c>
      <c r="E435" s="2776" t="s">
        <v>2147</v>
      </c>
      <c r="F435" s="2777" t="s">
        <v>2147</v>
      </c>
      <c r="G435" s="2775" t="s">
        <v>2147</v>
      </c>
      <c r="H435" s="2778" t="s">
        <v>2146</v>
      </c>
      <c r="I435" s="2777" t="s">
        <v>2146</v>
      </c>
      <c r="J435" s="2775" t="s">
        <v>2146</v>
      </c>
    </row>
    <row r="436" spans="2:10" ht="18" hidden="1" customHeight="1" outlineLevel="3" x14ac:dyDescent="0.2">
      <c r="B436" s="2829" t="s">
        <v>200</v>
      </c>
      <c r="C436" s="2833"/>
      <c r="D436" s="2766"/>
      <c r="E436" s="2766"/>
      <c r="F436" s="2766"/>
      <c r="G436" s="2766"/>
      <c r="H436" s="2766"/>
      <c r="I436" s="2766"/>
      <c r="J436" s="2779"/>
    </row>
    <row r="437" spans="2:10" ht="18" hidden="1" customHeight="1" outlineLevel="3" x14ac:dyDescent="0.2">
      <c r="B437" s="2830" t="s">
        <v>1163</v>
      </c>
      <c r="C437" s="2835" t="s">
        <v>278</v>
      </c>
      <c r="D437" s="2757" t="s">
        <v>2146</v>
      </c>
      <c r="E437" s="2755" t="s">
        <v>2147</v>
      </c>
      <c r="F437" s="2777" t="s">
        <v>2147</v>
      </c>
      <c r="G437" s="2775" t="s">
        <v>2147</v>
      </c>
      <c r="H437" s="2780" t="s">
        <v>2146</v>
      </c>
      <c r="I437" s="2781" t="s">
        <v>2146</v>
      </c>
      <c r="J437" s="2757" t="s">
        <v>2146</v>
      </c>
    </row>
    <row r="438" spans="2:10" ht="18" hidden="1" customHeight="1" outlineLevel="3" x14ac:dyDescent="0.2">
      <c r="B438" s="2830" t="s">
        <v>1164</v>
      </c>
      <c r="C438" s="2833"/>
      <c r="D438" s="2754" t="s">
        <v>2147</v>
      </c>
      <c r="E438" s="2755" t="s">
        <v>2147</v>
      </c>
      <c r="F438" s="2753" t="s">
        <v>2147</v>
      </c>
      <c r="G438" s="2754" t="s">
        <v>2147</v>
      </c>
      <c r="H438" s="2756" t="s">
        <v>2147</v>
      </c>
      <c r="I438" s="2753" t="s">
        <v>2147</v>
      </c>
      <c r="J438" s="2754" t="s">
        <v>2147</v>
      </c>
    </row>
    <row r="439" spans="2:10" ht="18" hidden="1" customHeight="1" outlineLevel="3" x14ac:dyDescent="0.2">
      <c r="B439" s="2834" t="s">
        <v>2147</v>
      </c>
      <c r="C439" s="2835" t="s">
        <v>2147</v>
      </c>
      <c r="D439" s="2757" t="s">
        <v>2147</v>
      </c>
      <c r="E439" s="2755" t="s">
        <v>2147</v>
      </c>
      <c r="F439" s="2753" t="s">
        <v>2147</v>
      </c>
      <c r="G439" s="2754" t="s">
        <v>2147</v>
      </c>
      <c r="H439" s="2780" t="s">
        <v>2147</v>
      </c>
      <c r="I439" s="2758" t="s">
        <v>2147</v>
      </c>
      <c r="J439" s="2759" t="s">
        <v>2147</v>
      </c>
    </row>
    <row r="440" spans="2:10" ht="18" customHeight="1" outlineLevel="2" collapsed="1" x14ac:dyDescent="0.2">
      <c r="B440" s="2842" t="s">
        <v>1201</v>
      </c>
      <c r="C440" s="2828"/>
      <c r="D440" s="2808"/>
      <c r="E440" s="2809"/>
      <c r="F440" s="2810"/>
      <c r="G440" s="2811"/>
      <c r="H440" s="2819" t="s">
        <v>2146</v>
      </c>
      <c r="I440" s="2815" t="s">
        <v>2146</v>
      </c>
      <c r="J440" s="2816" t="s">
        <v>2146</v>
      </c>
    </row>
    <row r="441" spans="2:10" ht="18" hidden="1" customHeight="1" outlineLevel="3" x14ac:dyDescent="0.2">
      <c r="B441" s="2830" t="s">
        <v>1158</v>
      </c>
      <c r="C441" s="2841"/>
      <c r="D441" s="2775" t="s">
        <v>2146</v>
      </c>
      <c r="E441" s="2776" t="s">
        <v>2147</v>
      </c>
      <c r="F441" s="2777" t="s">
        <v>2147</v>
      </c>
      <c r="G441" s="2775" t="s">
        <v>2147</v>
      </c>
      <c r="H441" s="2778" t="s">
        <v>2146</v>
      </c>
      <c r="I441" s="2777" t="s">
        <v>2146</v>
      </c>
      <c r="J441" s="2775" t="s">
        <v>2146</v>
      </c>
    </row>
    <row r="442" spans="2:10" ht="18" hidden="1" customHeight="1" outlineLevel="3" x14ac:dyDescent="0.2">
      <c r="B442" s="2829" t="s">
        <v>200</v>
      </c>
      <c r="C442" s="2833"/>
      <c r="D442" s="2766"/>
      <c r="E442" s="2766"/>
      <c r="F442" s="2766"/>
      <c r="G442" s="2766"/>
      <c r="H442" s="2766"/>
      <c r="I442" s="2766"/>
      <c r="J442" s="2779"/>
    </row>
    <row r="443" spans="2:10" ht="18" hidden="1" customHeight="1" outlineLevel="3" x14ac:dyDescent="0.2">
      <c r="B443" s="2830" t="s">
        <v>1159</v>
      </c>
      <c r="C443" s="2835" t="s">
        <v>278</v>
      </c>
      <c r="D443" s="2757" t="s">
        <v>2146</v>
      </c>
      <c r="E443" s="2755" t="s">
        <v>2147</v>
      </c>
      <c r="F443" s="2777" t="s">
        <v>2147</v>
      </c>
      <c r="G443" s="2775" t="s">
        <v>2147</v>
      </c>
      <c r="H443" s="2780" t="s">
        <v>2146</v>
      </c>
      <c r="I443" s="2781" t="s">
        <v>2146</v>
      </c>
      <c r="J443" s="2757" t="s">
        <v>2146</v>
      </c>
    </row>
    <row r="444" spans="2:10" ht="18" hidden="1" customHeight="1" outlineLevel="3" x14ac:dyDescent="0.2">
      <c r="B444" s="2830" t="s">
        <v>1160</v>
      </c>
      <c r="C444" s="2835" t="s">
        <v>278</v>
      </c>
      <c r="D444" s="2757" t="s">
        <v>2146</v>
      </c>
      <c r="E444" s="2755" t="s">
        <v>2147</v>
      </c>
      <c r="F444" s="2777" t="s">
        <v>2147</v>
      </c>
      <c r="G444" s="2775" t="s">
        <v>2147</v>
      </c>
      <c r="H444" s="2780" t="s">
        <v>2146</v>
      </c>
      <c r="I444" s="2781" t="s">
        <v>2146</v>
      </c>
      <c r="J444" s="2757" t="s">
        <v>2146</v>
      </c>
    </row>
    <row r="445" spans="2:10" ht="18" hidden="1" customHeight="1" outlineLevel="3" x14ac:dyDescent="0.2">
      <c r="B445" s="2830" t="s">
        <v>1161</v>
      </c>
      <c r="C445" s="2833"/>
      <c r="D445" s="2754" t="s">
        <v>2147</v>
      </c>
      <c r="E445" s="2755" t="s">
        <v>2147</v>
      </c>
      <c r="F445" s="2753" t="s">
        <v>2147</v>
      </c>
      <c r="G445" s="2754" t="s">
        <v>2147</v>
      </c>
      <c r="H445" s="2756" t="s">
        <v>2147</v>
      </c>
      <c r="I445" s="2753" t="s">
        <v>2147</v>
      </c>
      <c r="J445" s="2754" t="s">
        <v>2147</v>
      </c>
    </row>
    <row r="446" spans="2:10" ht="18" hidden="1" customHeight="1" outlineLevel="3" x14ac:dyDescent="0.2">
      <c r="B446" s="2834" t="s">
        <v>2147</v>
      </c>
      <c r="C446" s="2835" t="s">
        <v>2147</v>
      </c>
      <c r="D446" s="2757" t="s">
        <v>2147</v>
      </c>
      <c r="E446" s="2755" t="s">
        <v>2147</v>
      </c>
      <c r="F446" s="2753" t="s">
        <v>2147</v>
      </c>
      <c r="G446" s="2754" t="s">
        <v>2147</v>
      </c>
      <c r="H446" s="2780" t="s">
        <v>2147</v>
      </c>
      <c r="I446" s="2758" t="s">
        <v>2147</v>
      </c>
      <c r="J446" s="2759" t="s">
        <v>2147</v>
      </c>
    </row>
    <row r="447" spans="2:10" ht="18" hidden="1" customHeight="1" outlineLevel="3" x14ac:dyDescent="0.2">
      <c r="B447" s="2830" t="s">
        <v>1162</v>
      </c>
      <c r="C447" s="2841"/>
      <c r="D447" s="2775" t="s">
        <v>2146</v>
      </c>
      <c r="E447" s="2776" t="s">
        <v>2147</v>
      </c>
      <c r="F447" s="2777" t="s">
        <v>2147</v>
      </c>
      <c r="G447" s="2775" t="s">
        <v>2147</v>
      </c>
      <c r="H447" s="2778" t="s">
        <v>2146</v>
      </c>
      <c r="I447" s="2777" t="s">
        <v>2146</v>
      </c>
      <c r="J447" s="2775" t="s">
        <v>2146</v>
      </c>
    </row>
    <row r="448" spans="2:10" ht="18" hidden="1" customHeight="1" outlineLevel="3" x14ac:dyDescent="0.2">
      <c r="B448" s="2829" t="s">
        <v>200</v>
      </c>
      <c r="C448" s="2833"/>
      <c r="D448" s="2766"/>
      <c r="E448" s="2766"/>
      <c r="F448" s="2766"/>
      <c r="G448" s="2766"/>
      <c r="H448" s="2766"/>
      <c r="I448" s="2766"/>
      <c r="J448" s="2779"/>
    </row>
    <row r="449" spans="2:10" ht="18" hidden="1" customHeight="1" outlineLevel="3" x14ac:dyDescent="0.2">
      <c r="B449" s="2830" t="s">
        <v>1163</v>
      </c>
      <c r="C449" s="2835" t="s">
        <v>278</v>
      </c>
      <c r="D449" s="2757" t="s">
        <v>2146</v>
      </c>
      <c r="E449" s="2755" t="s">
        <v>2147</v>
      </c>
      <c r="F449" s="2777" t="s">
        <v>2147</v>
      </c>
      <c r="G449" s="2775" t="s">
        <v>2147</v>
      </c>
      <c r="H449" s="2780" t="s">
        <v>2146</v>
      </c>
      <c r="I449" s="2781" t="s">
        <v>2146</v>
      </c>
      <c r="J449" s="2757" t="s">
        <v>2146</v>
      </c>
    </row>
    <row r="450" spans="2:10" ht="18" hidden="1" customHeight="1" outlineLevel="3" x14ac:dyDescent="0.2">
      <c r="B450" s="2830" t="s">
        <v>1164</v>
      </c>
      <c r="C450" s="2833"/>
      <c r="D450" s="2754" t="s">
        <v>2147</v>
      </c>
      <c r="E450" s="2755" t="s">
        <v>2147</v>
      </c>
      <c r="F450" s="2753" t="s">
        <v>2147</v>
      </c>
      <c r="G450" s="2754" t="s">
        <v>2147</v>
      </c>
      <c r="H450" s="2756" t="s">
        <v>2147</v>
      </c>
      <c r="I450" s="2753" t="s">
        <v>2147</v>
      </c>
      <c r="J450" s="2754" t="s">
        <v>2147</v>
      </c>
    </row>
    <row r="451" spans="2:10" ht="18" hidden="1" customHeight="1" outlineLevel="3" x14ac:dyDescent="0.2">
      <c r="B451" s="2834" t="s">
        <v>2147</v>
      </c>
      <c r="C451" s="2835" t="s">
        <v>2147</v>
      </c>
      <c r="D451" s="2757" t="s">
        <v>2147</v>
      </c>
      <c r="E451" s="2755" t="s">
        <v>2147</v>
      </c>
      <c r="F451" s="2753" t="s">
        <v>2147</v>
      </c>
      <c r="G451" s="2754" t="s">
        <v>2147</v>
      </c>
      <c r="H451" s="2780" t="s">
        <v>2147</v>
      </c>
      <c r="I451" s="2758" t="s">
        <v>2147</v>
      </c>
      <c r="J451" s="2759" t="s">
        <v>2147</v>
      </c>
    </row>
    <row r="452" spans="2:10" ht="18" customHeight="1" outlineLevel="2" collapsed="1" x14ac:dyDescent="0.2">
      <c r="B452" s="2842" t="s">
        <v>1202</v>
      </c>
      <c r="C452" s="2828"/>
      <c r="D452" s="2808"/>
      <c r="E452" s="2809"/>
      <c r="F452" s="2810"/>
      <c r="G452" s="2811"/>
      <c r="H452" s="2819" t="s">
        <v>2146</v>
      </c>
      <c r="I452" s="2815" t="s">
        <v>2146</v>
      </c>
      <c r="J452" s="2816" t="s">
        <v>2146</v>
      </c>
    </row>
    <row r="453" spans="2:10" ht="18" hidden="1" customHeight="1" outlineLevel="3" x14ac:dyDescent="0.2">
      <c r="B453" s="2830" t="s">
        <v>1158</v>
      </c>
      <c r="C453" s="2841"/>
      <c r="D453" s="2775" t="s">
        <v>2146</v>
      </c>
      <c r="E453" s="2776" t="s">
        <v>2147</v>
      </c>
      <c r="F453" s="2777" t="s">
        <v>2147</v>
      </c>
      <c r="G453" s="2775" t="s">
        <v>2147</v>
      </c>
      <c r="H453" s="2778" t="s">
        <v>2146</v>
      </c>
      <c r="I453" s="2777" t="s">
        <v>2146</v>
      </c>
      <c r="J453" s="2775" t="s">
        <v>2146</v>
      </c>
    </row>
    <row r="454" spans="2:10" ht="18" hidden="1" customHeight="1" outlineLevel="3" x14ac:dyDescent="0.2">
      <c r="B454" s="2829" t="s">
        <v>200</v>
      </c>
      <c r="C454" s="2833"/>
      <c r="D454" s="2766"/>
      <c r="E454" s="2766"/>
      <c r="F454" s="2766"/>
      <c r="G454" s="2766"/>
      <c r="H454" s="2766"/>
      <c r="I454" s="2766"/>
      <c r="J454" s="2779"/>
    </row>
    <row r="455" spans="2:10" ht="18" hidden="1" customHeight="1" outlineLevel="3" x14ac:dyDescent="0.2">
      <c r="B455" s="2830" t="s">
        <v>1159</v>
      </c>
      <c r="C455" s="2835" t="s">
        <v>278</v>
      </c>
      <c r="D455" s="2757" t="s">
        <v>2146</v>
      </c>
      <c r="E455" s="2755" t="s">
        <v>2147</v>
      </c>
      <c r="F455" s="2777" t="s">
        <v>2147</v>
      </c>
      <c r="G455" s="2775" t="s">
        <v>2147</v>
      </c>
      <c r="H455" s="2780" t="s">
        <v>2146</v>
      </c>
      <c r="I455" s="2781" t="s">
        <v>2146</v>
      </c>
      <c r="J455" s="2757" t="s">
        <v>2146</v>
      </c>
    </row>
    <row r="456" spans="2:10" ht="18" hidden="1" customHeight="1" outlineLevel="3" x14ac:dyDescent="0.2">
      <c r="B456" s="2830" t="s">
        <v>1160</v>
      </c>
      <c r="C456" s="2835" t="s">
        <v>278</v>
      </c>
      <c r="D456" s="2757" t="s">
        <v>2146</v>
      </c>
      <c r="E456" s="2755" t="s">
        <v>2147</v>
      </c>
      <c r="F456" s="2777" t="s">
        <v>2147</v>
      </c>
      <c r="G456" s="2775" t="s">
        <v>2147</v>
      </c>
      <c r="H456" s="2780" t="s">
        <v>2146</v>
      </c>
      <c r="I456" s="2781" t="s">
        <v>2146</v>
      </c>
      <c r="J456" s="2757" t="s">
        <v>2146</v>
      </c>
    </row>
    <row r="457" spans="2:10" ht="18" hidden="1" customHeight="1" outlineLevel="3" x14ac:dyDescent="0.2">
      <c r="B457" s="2830" t="s">
        <v>1161</v>
      </c>
      <c r="C457" s="2833"/>
      <c r="D457" s="2754" t="s">
        <v>2147</v>
      </c>
      <c r="E457" s="2755" t="s">
        <v>2147</v>
      </c>
      <c r="F457" s="2753" t="s">
        <v>2147</v>
      </c>
      <c r="G457" s="2754" t="s">
        <v>2147</v>
      </c>
      <c r="H457" s="2756" t="s">
        <v>2147</v>
      </c>
      <c r="I457" s="2753" t="s">
        <v>2147</v>
      </c>
      <c r="J457" s="2754" t="s">
        <v>2147</v>
      </c>
    </row>
    <row r="458" spans="2:10" ht="18" hidden="1" customHeight="1" outlineLevel="3" x14ac:dyDescent="0.2">
      <c r="B458" s="2834" t="s">
        <v>2147</v>
      </c>
      <c r="C458" s="2835" t="s">
        <v>2147</v>
      </c>
      <c r="D458" s="2757" t="s">
        <v>2147</v>
      </c>
      <c r="E458" s="2755" t="s">
        <v>2147</v>
      </c>
      <c r="F458" s="2753" t="s">
        <v>2147</v>
      </c>
      <c r="G458" s="2754" t="s">
        <v>2147</v>
      </c>
      <c r="H458" s="2780" t="s">
        <v>2147</v>
      </c>
      <c r="I458" s="2758" t="s">
        <v>2147</v>
      </c>
      <c r="J458" s="2759" t="s">
        <v>2147</v>
      </c>
    </row>
    <row r="459" spans="2:10" ht="18" hidden="1" customHeight="1" outlineLevel="3" x14ac:dyDescent="0.2">
      <c r="B459" s="2830" t="s">
        <v>1162</v>
      </c>
      <c r="C459" s="2841"/>
      <c r="D459" s="2775" t="s">
        <v>2146</v>
      </c>
      <c r="E459" s="2776" t="s">
        <v>2147</v>
      </c>
      <c r="F459" s="2777" t="s">
        <v>2147</v>
      </c>
      <c r="G459" s="2775" t="s">
        <v>2147</v>
      </c>
      <c r="H459" s="2778" t="s">
        <v>2146</v>
      </c>
      <c r="I459" s="2777" t="s">
        <v>2146</v>
      </c>
      <c r="J459" s="2775" t="s">
        <v>2146</v>
      </c>
    </row>
    <row r="460" spans="2:10" ht="18" hidden="1" customHeight="1" outlineLevel="3" x14ac:dyDescent="0.2">
      <c r="B460" s="2829" t="s">
        <v>200</v>
      </c>
      <c r="C460" s="2833"/>
      <c r="D460" s="2766"/>
      <c r="E460" s="2766"/>
      <c r="F460" s="2766"/>
      <c r="G460" s="2766"/>
      <c r="H460" s="2766"/>
      <c r="I460" s="2766"/>
      <c r="J460" s="2779"/>
    </row>
    <row r="461" spans="2:10" ht="18" hidden="1" customHeight="1" outlineLevel="3" x14ac:dyDescent="0.2">
      <c r="B461" s="2830" t="s">
        <v>1163</v>
      </c>
      <c r="C461" s="2835" t="s">
        <v>278</v>
      </c>
      <c r="D461" s="2757" t="s">
        <v>2146</v>
      </c>
      <c r="E461" s="2755" t="s">
        <v>2147</v>
      </c>
      <c r="F461" s="2777" t="s">
        <v>2147</v>
      </c>
      <c r="G461" s="2775" t="s">
        <v>2147</v>
      </c>
      <c r="H461" s="2780" t="s">
        <v>2146</v>
      </c>
      <c r="I461" s="2781" t="s">
        <v>2146</v>
      </c>
      <c r="J461" s="2757" t="s">
        <v>2146</v>
      </c>
    </row>
    <row r="462" spans="2:10" ht="18" hidden="1" customHeight="1" outlineLevel="3" x14ac:dyDescent="0.2">
      <c r="B462" s="2830" t="s">
        <v>1164</v>
      </c>
      <c r="C462" s="2833"/>
      <c r="D462" s="2754" t="s">
        <v>2147</v>
      </c>
      <c r="E462" s="2755" t="s">
        <v>2147</v>
      </c>
      <c r="F462" s="2753" t="s">
        <v>2147</v>
      </c>
      <c r="G462" s="2754" t="s">
        <v>2147</v>
      </c>
      <c r="H462" s="2756" t="s">
        <v>2147</v>
      </c>
      <c r="I462" s="2753" t="s">
        <v>2147</v>
      </c>
      <c r="J462" s="2754" t="s">
        <v>2147</v>
      </c>
    </row>
    <row r="463" spans="2:10" ht="18" hidden="1" customHeight="1" outlineLevel="3" x14ac:dyDescent="0.2">
      <c r="B463" s="2834" t="s">
        <v>2147</v>
      </c>
      <c r="C463" s="2835" t="s">
        <v>2147</v>
      </c>
      <c r="D463" s="2757" t="s">
        <v>2147</v>
      </c>
      <c r="E463" s="2755" t="s">
        <v>2147</v>
      </c>
      <c r="F463" s="2753" t="s">
        <v>2147</v>
      </c>
      <c r="G463" s="2754" t="s">
        <v>2147</v>
      </c>
      <c r="H463" s="2780" t="s">
        <v>2147</v>
      </c>
      <c r="I463" s="2758" t="s">
        <v>2147</v>
      </c>
      <c r="J463" s="2759" t="s">
        <v>2147</v>
      </c>
    </row>
    <row r="464" spans="2:10" ht="18" customHeight="1" outlineLevel="2" collapsed="1" x14ac:dyDescent="0.2">
      <c r="B464" s="2842" t="s">
        <v>1203</v>
      </c>
      <c r="C464" s="2828"/>
      <c r="D464" s="2808"/>
      <c r="E464" s="2809"/>
      <c r="F464" s="2810"/>
      <c r="G464" s="2811"/>
      <c r="H464" s="2819" t="s">
        <v>2146</v>
      </c>
      <c r="I464" s="2815" t="s">
        <v>2146</v>
      </c>
      <c r="J464" s="2816" t="s">
        <v>2146</v>
      </c>
    </row>
    <row r="465" spans="2:10" ht="18" hidden="1" customHeight="1" outlineLevel="3" x14ac:dyDescent="0.2">
      <c r="B465" s="2830" t="s">
        <v>1158</v>
      </c>
      <c r="C465" s="2841"/>
      <c r="D465" s="2775" t="s">
        <v>2146</v>
      </c>
      <c r="E465" s="2776" t="s">
        <v>2147</v>
      </c>
      <c r="F465" s="2777" t="s">
        <v>2147</v>
      </c>
      <c r="G465" s="2775" t="s">
        <v>2147</v>
      </c>
      <c r="H465" s="2778" t="s">
        <v>2146</v>
      </c>
      <c r="I465" s="2777" t="s">
        <v>2146</v>
      </c>
      <c r="J465" s="2775" t="s">
        <v>2146</v>
      </c>
    </row>
    <row r="466" spans="2:10" ht="18" hidden="1" customHeight="1" outlineLevel="3" x14ac:dyDescent="0.2">
      <c r="B466" s="2829" t="s">
        <v>200</v>
      </c>
      <c r="C466" s="2833"/>
      <c r="D466" s="2766"/>
      <c r="E466" s="2766"/>
      <c r="F466" s="2766"/>
      <c r="G466" s="2766"/>
      <c r="H466" s="2766"/>
      <c r="I466" s="2766"/>
      <c r="J466" s="2779"/>
    </row>
    <row r="467" spans="2:10" ht="18" hidden="1" customHeight="1" outlineLevel="3" x14ac:dyDescent="0.2">
      <c r="B467" s="2830" t="s">
        <v>1159</v>
      </c>
      <c r="C467" s="2835" t="s">
        <v>278</v>
      </c>
      <c r="D467" s="2757" t="s">
        <v>2146</v>
      </c>
      <c r="E467" s="2755" t="s">
        <v>2147</v>
      </c>
      <c r="F467" s="2777" t="s">
        <v>2147</v>
      </c>
      <c r="G467" s="2775" t="s">
        <v>2147</v>
      </c>
      <c r="H467" s="2780" t="s">
        <v>2146</v>
      </c>
      <c r="I467" s="2781" t="s">
        <v>2146</v>
      </c>
      <c r="J467" s="2757" t="s">
        <v>2146</v>
      </c>
    </row>
    <row r="468" spans="2:10" ht="18" hidden="1" customHeight="1" outlineLevel="3" x14ac:dyDescent="0.2">
      <c r="B468" s="2830" t="s">
        <v>1160</v>
      </c>
      <c r="C468" s="2835" t="s">
        <v>278</v>
      </c>
      <c r="D468" s="2757" t="s">
        <v>2146</v>
      </c>
      <c r="E468" s="2755" t="s">
        <v>2147</v>
      </c>
      <c r="F468" s="2777" t="s">
        <v>2147</v>
      </c>
      <c r="G468" s="2775" t="s">
        <v>2147</v>
      </c>
      <c r="H468" s="2780" t="s">
        <v>2146</v>
      </c>
      <c r="I468" s="2781" t="s">
        <v>2146</v>
      </c>
      <c r="J468" s="2757" t="s">
        <v>2146</v>
      </c>
    </row>
    <row r="469" spans="2:10" ht="18" hidden="1" customHeight="1" outlineLevel="3" x14ac:dyDescent="0.2">
      <c r="B469" s="2830" t="s">
        <v>1161</v>
      </c>
      <c r="C469" s="2833"/>
      <c r="D469" s="2754" t="s">
        <v>2147</v>
      </c>
      <c r="E469" s="2755" t="s">
        <v>2147</v>
      </c>
      <c r="F469" s="2753" t="s">
        <v>2147</v>
      </c>
      <c r="G469" s="2754" t="s">
        <v>2147</v>
      </c>
      <c r="H469" s="2756" t="s">
        <v>2147</v>
      </c>
      <c r="I469" s="2753" t="s">
        <v>2147</v>
      </c>
      <c r="J469" s="2754" t="s">
        <v>2147</v>
      </c>
    </row>
    <row r="470" spans="2:10" ht="18" hidden="1" customHeight="1" outlineLevel="3" x14ac:dyDescent="0.2">
      <c r="B470" s="2834" t="s">
        <v>2147</v>
      </c>
      <c r="C470" s="2835" t="s">
        <v>2147</v>
      </c>
      <c r="D470" s="2757" t="s">
        <v>2147</v>
      </c>
      <c r="E470" s="2755" t="s">
        <v>2147</v>
      </c>
      <c r="F470" s="2753" t="s">
        <v>2147</v>
      </c>
      <c r="G470" s="2754" t="s">
        <v>2147</v>
      </c>
      <c r="H470" s="2780" t="s">
        <v>2147</v>
      </c>
      <c r="I470" s="2758" t="s">
        <v>2147</v>
      </c>
      <c r="J470" s="2759" t="s">
        <v>2147</v>
      </c>
    </row>
    <row r="471" spans="2:10" ht="18" hidden="1" customHeight="1" outlineLevel="3" x14ac:dyDescent="0.2">
      <c r="B471" s="2830" t="s">
        <v>1162</v>
      </c>
      <c r="C471" s="2841"/>
      <c r="D471" s="2775" t="s">
        <v>2146</v>
      </c>
      <c r="E471" s="2776" t="s">
        <v>2147</v>
      </c>
      <c r="F471" s="2777" t="s">
        <v>2147</v>
      </c>
      <c r="G471" s="2775" t="s">
        <v>2147</v>
      </c>
      <c r="H471" s="2778" t="s">
        <v>2146</v>
      </c>
      <c r="I471" s="2777" t="s">
        <v>2146</v>
      </c>
      <c r="J471" s="2775" t="s">
        <v>2146</v>
      </c>
    </row>
    <row r="472" spans="2:10" ht="18" hidden="1" customHeight="1" outlineLevel="3" x14ac:dyDescent="0.2">
      <c r="B472" s="2829" t="s">
        <v>200</v>
      </c>
      <c r="C472" s="2833"/>
      <c r="D472" s="2766"/>
      <c r="E472" s="2766"/>
      <c r="F472" s="2766"/>
      <c r="G472" s="2766"/>
      <c r="H472" s="2766"/>
      <c r="I472" s="2766"/>
      <c r="J472" s="2779"/>
    </row>
    <row r="473" spans="2:10" ht="18" hidden="1" customHeight="1" outlineLevel="3" x14ac:dyDescent="0.2">
      <c r="B473" s="2830" t="s">
        <v>1163</v>
      </c>
      <c r="C473" s="2835" t="s">
        <v>278</v>
      </c>
      <c r="D473" s="2757" t="s">
        <v>2146</v>
      </c>
      <c r="E473" s="2755" t="s">
        <v>2147</v>
      </c>
      <c r="F473" s="2777" t="s">
        <v>2147</v>
      </c>
      <c r="G473" s="2775" t="s">
        <v>2147</v>
      </c>
      <c r="H473" s="2780" t="s">
        <v>2146</v>
      </c>
      <c r="I473" s="2781" t="s">
        <v>2146</v>
      </c>
      <c r="J473" s="2757" t="s">
        <v>2146</v>
      </c>
    </row>
    <row r="474" spans="2:10" ht="18" hidden="1" customHeight="1" outlineLevel="3" x14ac:dyDescent="0.2">
      <c r="B474" s="2830" t="s">
        <v>1164</v>
      </c>
      <c r="C474" s="2833"/>
      <c r="D474" s="2754" t="s">
        <v>2147</v>
      </c>
      <c r="E474" s="2755" t="s">
        <v>2147</v>
      </c>
      <c r="F474" s="2753" t="s">
        <v>2147</v>
      </c>
      <c r="G474" s="2754" t="s">
        <v>2147</v>
      </c>
      <c r="H474" s="2756" t="s">
        <v>2147</v>
      </c>
      <c r="I474" s="2753" t="s">
        <v>2147</v>
      </c>
      <c r="J474" s="2754" t="s">
        <v>2147</v>
      </c>
    </row>
    <row r="475" spans="2:10" ht="18" hidden="1" customHeight="1" outlineLevel="3" x14ac:dyDescent="0.2">
      <c r="B475" s="2834" t="s">
        <v>2147</v>
      </c>
      <c r="C475" s="2835" t="s">
        <v>2147</v>
      </c>
      <c r="D475" s="2757" t="s">
        <v>2147</v>
      </c>
      <c r="E475" s="2755" t="s">
        <v>2147</v>
      </c>
      <c r="F475" s="2753" t="s">
        <v>2147</v>
      </c>
      <c r="G475" s="2754" t="s">
        <v>2147</v>
      </c>
      <c r="H475" s="2780" t="s">
        <v>2147</v>
      </c>
      <c r="I475" s="2758" t="s">
        <v>2147</v>
      </c>
      <c r="J475" s="2759" t="s">
        <v>2147</v>
      </c>
    </row>
    <row r="476" spans="2:10" ht="18" customHeight="1" outlineLevel="1" collapsed="1" thickBot="1" x14ac:dyDescent="0.25">
      <c r="B476" s="2573" t="s">
        <v>1204</v>
      </c>
      <c r="C476" s="2828"/>
      <c r="D476" s="2808"/>
      <c r="E476" s="2809"/>
      <c r="F476" s="2810"/>
      <c r="G476" s="2811"/>
      <c r="H476" s="2819" t="s">
        <v>2146</v>
      </c>
      <c r="I476" s="2815" t="s">
        <v>2146</v>
      </c>
      <c r="J476" s="2816" t="s">
        <v>2146</v>
      </c>
    </row>
    <row r="477" spans="2:10" ht="18" hidden="1" customHeight="1" outlineLevel="2" x14ac:dyDescent="0.2">
      <c r="B477" s="2827" t="s">
        <v>1158</v>
      </c>
      <c r="C477" s="2841"/>
      <c r="D477" s="2775" t="s">
        <v>2146</v>
      </c>
      <c r="E477" s="2776" t="s">
        <v>2147</v>
      </c>
      <c r="F477" s="2777" t="s">
        <v>2147</v>
      </c>
      <c r="G477" s="2775" t="s">
        <v>2147</v>
      </c>
      <c r="H477" s="2778" t="s">
        <v>2146</v>
      </c>
      <c r="I477" s="2777" t="s">
        <v>2146</v>
      </c>
      <c r="J477" s="2775" t="s">
        <v>2146</v>
      </c>
    </row>
    <row r="478" spans="2:10" ht="18" hidden="1" customHeight="1" outlineLevel="2" x14ac:dyDescent="0.2">
      <c r="B478" s="2829" t="s">
        <v>200</v>
      </c>
      <c r="C478" s="2833"/>
      <c r="D478" s="2766"/>
      <c r="E478" s="2766"/>
      <c r="F478" s="2766"/>
      <c r="G478" s="2766"/>
      <c r="H478" s="2766"/>
      <c r="I478" s="2766"/>
      <c r="J478" s="2779"/>
    </row>
    <row r="479" spans="2:10" ht="18" hidden="1" customHeight="1" outlineLevel="2" x14ac:dyDescent="0.2">
      <c r="B479" s="2830" t="s">
        <v>1159</v>
      </c>
      <c r="C479" s="2835" t="s">
        <v>278</v>
      </c>
      <c r="D479" s="2757" t="s">
        <v>2146</v>
      </c>
      <c r="E479" s="2755" t="s">
        <v>2147</v>
      </c>
      <c r="F479" s="2777" t="s">
        <v>2147</v>
      </c>
      <c r="G479" s="2775" t="s">
        <v>2147</v>
      </c>
      <c r="H479" s="2780" t="s">
        <v>2146</v>
      </c>
      <c r="I479" s="2781" t="s">
        <v>2146</v>
      </c>
      <c r="J479" s="2757" t="s">
        <v>2146</v>
      </c>
    </row>
    <row r="480" spans="2:10" ht="18" hidden="1" customHeight="1" outlineLevel="2" x14ac:dyDescent="0.2">
      <c r="B480" s="2830" t="s">
        <v>1160</v>
      </c>
      <c r="C480" s="2835" t="s">
        <v>278</v>
      </c>
      <c r="D480" s="2757" t="s">
        <v>2146</v>
      </c>
      <c r="E480" s="2755" t="s">
        <v>2147</v>
      </c>
      <c r="F480" s="2777" t="s">
        <v>2147</v>
      </c>
      <c r="G480" s="2775" t="s">
        <v>2147</v>
      </c>
      <c r="H480" s="2780" t="s">
        <v>2146</v>
      </c>
      <c r="I480" s="2781" t="s">
        <v>2146</v>
      </c>
      <c r="J480" s="2757" t="s">
        <v>2146</v>
      </c>
    </row>
    <row r="481" spans="2:10" ht="18" hidden="1" customHeight="1" outlineLevel="2" x14ac:dyDescent="0.2">
      <c r="B481" s="2830" t="s">
        <v>1161</v>
      </c>
      <c r="C481" s="2833"/>
      <c r="D481" s="2754" t="s">
        <v>2147</v>
      </c>
      <c r="E481" s="2755" t="s">
        <v>2147</v>
      </c>
      <c r="F481" s="2753" t="s">
        <v>2147</v>
      </c>
      <c r="G481" s="2754" t="s">
        <v>2147</v>
      </c>
      <c r="H481" s="2756" t="s">
        <v>2147</v>
      </c>
      <c r="I481" s="2753" t="s">
        <v>2147</v>
      </c>
      <c r="J481" s="2754" t="s">
        <v>2147</v>
      </c>
    </row>
    <row r="482" spans="2:10" ht="18" hidden="1" customHeight="1" outlineLevel="2" x14ac:dyDescent="0.2">
      <c r="B482" s="2834" t="s">
        <v>2147</v>
      </c>
      <c r="C482" s="2835" t="s">
        <v>2147</v>
      </c>
      <c r="D482" s="2757" t="s">
        <v>2147</v>
      </c>
      <c r="E482" s="2755" t="s">
        <v>2147</v>
      </c>
      <c r="F482" s="2753" t="s">
        <v>2147</v>
      </c>
      <c r="G482" s="2754" t="s">
        <v>2147</v>
      </c>
      <c r="H482" s="2780" t="s">
        <v>2147</v>
      </c>
      <c r="I482" s="2758" t="s">
        <v>2147</v>
      </c>
      <c r="J482" s="2759" t="s">
        <v>2147</v>
      </c>
    </row>
    <row r="483" spans="2:10" ht="18" hidden="1" customHeight="1" outlineLevel="2" x14ac:dyDescent="0.2">
      <c r="B483" s="2827" t="s">
        <v>1162</v>
      </c>
      <c r="C483" s="2841"/>
      <c r="D483" s="2775" t="s">
        <v>2146</v>
      </c>
      <c r="E483" s="2776" t="s">
        <v>2147</v>
      </c>
      <c r="F483" s="2777" t="s">
        <v>2147</v>
      </c>
      <c r="G483" s="2775" t="s">
        <v>2147</v>
      </c>
      <c r="H483" s="2778" t="s">
        <v>2146</v>
      </c>
      <c r="I483" s="2777" t="s">
        <v>2146</v>
      </c>
      <c r="J483" s="2775" t="s">
        <v>2146</v>
      </c>
    </row>
    <row r="484" spans="2:10" ht="18" hidden="1" customHeight="1" outlineLevel="2" x14ac:dyDescent="0.2">
      <c r="B484" s="2829" t="s">
        <v>200</v>
      </c>
      <c r="C484" s="2833"/>
      <c r="D484" s="2766"/>
      <c r="E484" s="2766"/>
      <c r="F484" s="2766"/>
      <c r="G484" s="2766"/>
      <c r="H484" s="2766"/>
      <c r="I484" s="2766"/>
      <c r="J484" s="2779"/>
    </row>
    <row r="485" spans="2:10" ht="18" hidden="1" customHeight="1" outlineLevel="2" x14ac:dyDescent="0.2">
      <c r="B485" s="2830" t="s">
        <v>1163</v>
      </c>
      <c r="C485" s="2835" t="s">
        <v>278</v>
      </c>
      <c r="D485" s="2757" t="s">
        <v>2146</v>
      </c>
      <c r="E485" s="2755" t="s">
        <v>2147</v>
      </c>
      <c r="F485" s="2777" t="s">
        <v>2147</v>
      </c>
      <c r="G485" s="2775" t="s">
        <v>2147</v>
      </c>
      <c r="H485" s="2780" t="s">
        <v>2146</v>
      </c>
      <c r="I485" s="2781" t="s">
        <v>2146</v>
      </c>
      <c r="J485" s="2757" t="s">
        <v>2146</v>
      </c>
    </row>
    <row r="486" spans="2:10" ht="18" hidden="1" customHeight="1" outlineLevel="2" x14ac:dyDescent="0.2">
      <c r="B486" s="2830" t="s">
        <v>1164</v>
      </c>
      <c r="C486" s="2833"/>
      <c r="D486" s="2754" t="s">
        <v>2147</v>
      </c>
      <c r="E486" s="2755" t="s">
        <v>2147</v>
      </c>
      <c r="F486" s="2753" t="s">
        <v>2147</v>
      </c>
      <c r="G486" s="2754" t="s">
        <v>2147</v>
      </c>
      <c r="H486" s="2756" t="s">
        <v>2147</v>
      </c>
      <c r="I486" s="2753" t="s">
        <v>2147</v>
      </c>
      <c r="J486" s="2754" t="s">
        <v>2147</v>
      </c>
    </row>
    <row r="487" spans="2:10" ht="18" hidden="1" customHeight="1" outlineLevel="2" x14ac:dyDescent="0.2">
      <c r="B487" s="2834" t="s">
        <v>2147</v>
      </c>
      <c r="C487" s="2835" t="s">
        <v>2147</v>
      </c>
      <c r="D487" s="2757" t="s">
        <v>2147</v>
      </c>
      <c r="E487" s="2755" t="s">
        <v>2147</v>
      </c>
      <c r="F487" s="2753" t="s">
        <v>2147</v>
      </c>
      <c r="G487" s="2754" t="s">
        <v>2147</v>
      </c>
      <c r="H487" s="2780" t="s">
        <v>2147</v>
      </c>
      <c r="I487" s="2758" t="s">
        <v>2147</v>
      </c>
      <c r="J487" s="2759" t="s">
        <v>2147</v>
      </c>
    </row>
    <row r="488" spans="2:10" ht="18" hidden="1" customHeight="1" outlineLevel="2" collapsed="1" x14ac:dyDescent="0.2">
      <c r="B488" s="2842" t="s">
        <v>1205</v>
      </c>
      <c r="C488" s="2828"/>
      <c r="D488" s="2808"/>
      <c r="E488" s="2809"/>
      <c r="F488" s="2810"/>
      <c r="G488" s="2811"/>
      <c r="H488" s="2819" t="s">
        <v>2154</v>
      </c>
      <c r="I488" s="2815" t="s">
        <v>2154</v>
      </c>
      <c r="J488" s="2816" t="s">
        <v>2154</v>
      </c>
    </row>
    <row r="489" spans="2:10" ht="18" hidden="1" customHeight="1" outlineLevel="3" x14ac:dyDescent="0.2">
      <c r="B489" s="2830" t="s">
        <v>1158</v>
      </c>
      <c r="C489" s="2841"/>
      <c r="D489" s="2775" t="s">
        <v>2146</v>
      </c>
      <c r="E489" s="2776" t="s">
        <v>2147</v>
      </c>
      <c r="F489" s="2777" t="s">
        <v>2147</v>
      </c>
      <c r="G489" s="2775" t="s">
        <v>2147</v>
      </c>
      <c r="H489" s="2778" t="s">
        <v>2154</v>
      </c>
      <c r="I489" s="2777" t="s">
        <v>2154</v>
      </c>
      <c r="J489" s="2775" t="s">
        <v>2154</v>
      </c>
    </row>
    <row r="490" spans="2:10" ht="18" hidden="1" customHeight="1" outlineLevel="3" x14ac:dyDescent="0.2">
      <c r="B490" s="2829" t="s">
        <v>200</v>
      </c>
      <c r="C490" s="2833"/>
      <c r="D490" s="2766"/>
      <c r="E490" s="2766"/>
      <c r="F490" s="2766"/>
      <c r="G490" s="2766"/>
      <c r="H490" s="2766"/>
      <c r="I490" s="2766"/>
      <c r="J490" s="2779"/>
    </row>
    <row r="491" spans="2:10" ht="18" hidden="1" customHeight="1" outlineLevel="3" x14ac:dyDescent="0.2">
      <c r="B491" s="2830" t="s">
        <v>1159</v>
      </c>
      <c r="C491" s="2835" t="s">
        <v>278</v>
      </c>
      <c r="D491" s="2757" t="s">
        <v>2146</v>
      </c>
      <c r="E491" s="2755" t="s">
        <v>2147</v>
      </c>
      <c r="F491" s="2777" t="s">
        <v>2147</v>
      </c>
      <c r="G491" s="2775" t="s">
        <v>2147</v>
      </c>
      <c r="H491" s="2780" t="s">
        <v>2146</v>
      </c>
      <c r="I491" s="2781" t="s">
        <v>2146</v>
      </c>
      <c r="J491" s="2757" t="s">
        <v>2146</v>
      </c>
    </row>
    <row r="492" spans="2:10" ht="18" hidden="1" customHeight="1" outlineLevel="3" x14ac:dyDescent="0.2">
      <c r="B492" s="2830" t="s">
        <v>1160</v>
      </c>
      <c r="C492" s="2835" t="s">
        <v>278</v>
      </c>
      <c r="D492" s="2757" t="s">
        <v>2154</v>
      </c>
      <c r="E492" s="2755" t="s">
        <v>2147</v>
      </c>
      <c r="F492" s="2777" t="s">
        <v>2147</v>
      </c>
      <c r="G492" s="2775" t="s">
        <v>2147</v>
      </c>
      <c r="H492" s="2780" t="s">
        <v>2154</v>
      </c>
      <c r="I492" s="2781" t="s">
        <v>2154</v>
      </c>
      <c r="J492" s="2757" t="s">
        <v>2154</v>
      </c>
    </row>
    <row r="493" spans="2:10" ht="18" hidden="1" customHeight="1" outlineLevel="3" x14ac:dyDescent="0.2">
      <c r="B493" s="2830" t="s">
        <v>1161</v>
      </c>
      <c r="C493" s="2833"/>
      <c r="D493" s="2754" t="s">
        <v>2147</v>
      </c>
      <c r="E493" s="2755" t="s">
        <v>2147</v>
      </c>
      <c r="F493" s="2753" t="s">
        <v>2147</v>
      </c>
      <c r="G493" s="2754" t="s">
        <v>2147</v>
      </c>
      <c r="H493" s="2756" t="s">
        <v>2147</v>
      </c>
      <c r="I493" s="2753" t="s">
        <v>2147</v>
      </c>
      <c r="J493" s="2754" t="s">
        <v>2147</v>
      </c>
    </row>
    <row r="494" spans="2:10" ht="18" hidden="1" customHeight="1" outlineLevel="3" x14ac:dyDescent="0.2">
      <c r="B494" s="2834" t="s">
        <v>2147</v>
      </c>
      <c r="C494" s="2835" t="s">
        <v>2147</v>
      </c>
      <c r="D494" s="2757" t="s">
        <v>2147</v>
      </c>
      <c r="E494" s="2755" t="s">
        <v>2147</v>
      </c>
      <c r="F494" s="2753" t="s">
        <v>2147</v>
      </c>
      <c r="G494" s="2754" t="s">
        <v>2147</v>
      </c>
      <c r="H494" s="2780" t="s">
        <v>2147</v>
      </c>
      <c r="I494" s="2758" t="s">
        <v>2147</v>
      </c>
      <c r="J494" s="2759" t="s">
        <v>2147</v>
      </c>
    </row>
    <row r="495" spans="2:10" ht="18" hidden="1" customHeight="1" outlineLevel="3" x14ac:dyDescent="0.2">
      <c r="B495" s="2830" t="s">
        <v>1162</v>
      </c>
      <c r="C495" s="2841"/>
      <c r="D495" s="2775" t="s">
        <v>2146</v>
      </c>
      <c r="E495" s="2776" t="s">
        <v>2147</v>
      </c>
      <c r="F495" s="2777" t="s">
        <v>2147</v>
      </c>
      <c r="G495" s="2775" t="s">
        <v>2147</v>
      </c>
      <c r="H495" s="2778" t="s">
        <v>2146</v>
      </c>
      <c r="I495" s="2777" t="s">
        <v>2146</v>
      </c>
      <c r="J495" s="2775" t="s">
        <v>2146</v>
      </c>
    </row>
    <row r="496" spans="2:10" ht="18" hidden="1" customHeight="1" outlineLevel="3" x14ac:dyDescent="0.2">
      <c r="B496" s="2829" t="s">
        <v>200</v>
      </c>
      <c r="C496" s="2833"/>
      <c r="D496" s="2766"/>
      <c r="E496" s="2766"/>
      <c r="F496" s="2766"/>
      <c r="G496" s="2766"/>
      <c r="H496" s="2766"/>
      <c r="I496" s="2766"/>
      <c r="J496" s="2779"/>
    </row>
    <row r="497" spans="2:10" ht="18" hidden="1" customHeight="1" outlineLevel="3" x14ac:dyDescent="0.2">
      <c r="B497" s="2830" t="s">
        <v>1163</v>
      </c>
      <c r="C497" s="2835" t="s">
        <v>278</v>
      </c>
      <c r="D497" s="2757" t="s">
        <v>2154</v>
      </c>
      <c r="E497" s="2755" t="s">
        <v>2147</v>
      </c>
      <c r="F497" s="2777" t="s">
        <v>2147</v>
      </c>
      <c r="G497" s="2775" t="s">
        <v>2147</v>
      </c>
      <c r="H497" s="2780" t="s">
        <v>2154</v>
      </c>
      <c r="I497" s="2781" t="s">
        <v>2154</v>
      </c>
      <c r="J497" s="2757" t="s">
        <v>2154</v>
      </c>
    </row>
    <row r="498" spans="2:10" ht="18" hidden="1" customHeight="1" outlineLevel="3" x14ac:dyDescent="0.2">
      <c r="B498" s="2830" t="s">
        <v>1164</v>
      </c>
      <c r="C498" s="2833"/>
      <c r="D498" s="2754" t="s">
        <v>2147</v>
      </c>
      <c r="E498" s="2755" t="s">
        <v>2147</v>
      </c>
      <c r="F498" s="2753" t="s">
        <v>2147</v>
      </c>
      <c r="G498" s="2754" t="s">
        <v>2147</v>
      </c>
      <c r="H498" s="2756" t="s">
        <v>2147</v>
      </c>
      <c r="I498" s="2753" t="s">
        <v>2147</v>
      </c>
      <c r="J498" s="2754" t="s">
        <v>2147</v>
      </c>
    </row>
    <row r="499" spans="2:10" ht="18" hidden="1" customHeight="1" outlineLevel="3" x14ac:dyDescent="0.2">
      <c r="B499" s="2834" t="s">
        <v>2147</v>
      </c>
      <c r="C499" s="2835" t="s">
        <v>2147</v>
      </c>
      <c r="D499" s="2757" t="s">
        <v>2147</v>
      </c>
      <c r="E499" s="2755" t="s">
        <v>2147</v>
      </c>
      <c r="F499" s="2753" t="s">
        <v>2147</v>
      </c>
      <c r="G499" s="2754" t="s">
        <v>2147</v>
      </c>
      <c r="H499" s="2780" t="s">
        <v>2147</v>
      </c>
      <c r="I499" s="2758" t="s">
        <v>2147</v>
      </c>
      <c r="J499" s="2759" t="s">
        <v>2147</v>
      </c>
    </row>
    <row r="500" spans="2:10" ht="18" hidden="1" customHeight="1" outlineLevel="2" collapsed="1" x14ac:dyDescent="0.2">
      <c r="B500" s="2842" t="s">
        <v>1206</v>
      </c>
      <c r="C500" s="2828"/>
      <c r="D500" s="2808"/>
      <c r="E500" s="2809"/>
      <c r="F500" s="2810"/>
      <c r="G500" s="2811"/>
      <c r="H500" s="2819" t="s">
        <v>2146</v>
      </c>
      <c r="I500" s="2815" t="s">
        <v>2146</v>
      </c>
      <c r="J500" s="2816" t="s">
        <v>2146</v>
      </c>
    </row>
    <row r="501" spans="2:10" ht="18" hidden="1" customHeight="1" outlineLevel="3" x14ac:dyDescent="0.2">
      <c r="B501" s="2830" t="s">
        <v>1158</v>
      </c>
      <c r="C501" s="2841"/>
      <c r="D501" s="2775" t="s">
        <v>2146</v>
      </c>
      <c r="E501" s="2776" t="s">
        <v>2147</v>
      </c>
      <c r="F501" s="2777" t="s">
        <v>2147</v>
      </c>
      <c r="G501" s="2775" t="s">
        <v>2147</v>
      </c>
      <c r="H501" s="2778" t="s">
        <v>2146</v>
      </c>
      <c r="I501" s="2777" t="s">
        <v>2146</v>
      </c>
      <c r="J501" s="2775" t="s">
        <v>2146</v>
      </c>
    </row>
    <row r="502" spans="2:10" ht="18" hidden="1" customHeight="1" outlineLevel="3" x14ac:dyDescent="0.2">
      <c r="B502" s="2829" t="s">
        <v>200</v>
      </c>
      <c r="C502" s="2833"/>
      <c r="D502" s="2766"/>
      <c r="E502" s="2766"/>
      <c r="F502" s="2766"/>
      <c r="G502" s="2766"/>
      <c r="H502" s="2766"/>
      <c r="I502" s="2766"/>
      <c r="J502" s="2779"/>
    </row>
    <row r="503" spans="2:10" ht="18" hidden="1" customHeight="1" outlineLevel="3" x14ac:dyDescent="0.2">
      <c r="B503" s="2830" t="s">
        <v>1159</v>
      </c>
      <c r="C503" s="2835" t="s">
        <v>278</v>
      </c>
      <c r="D503" s="2757" t="s">
        <v>2146</v>
      </c>
      <c r="E503" s="2755" t="s">
        <v>2147</v>
      </c>
      <c r="F503" s="2777" t="s">
        <v>2147</v>
      </c>
      <c r="G503" s="2775" t="s">
        <v>2147</v>
      </c>
      <c r="H503" s="2780" t="s">
        <v>2146</v>
      </c>
      <c r="I503" s="2781" t="s">
        <v>2146</v>
      </c>
      <c r="J503" s="2757" t="s">
        <v>2146</v>
      </c>
    </row>
    <row r="504" spans="2:10" ht="18" hidden="1" customHeight="1" outlineLevel="3" x14ac:dyDescent="0.2">
      <c r="B504" s="2830" t="s">
        <v>1160</v>
      </c>
      <c r="C504" s="2835" t="s">
        <v>278</v>
      </c>
      <c r="D504" s="2757" t="s">
        <v>2146</v>
      </c>
      <c r="E504" s="2755" t="s">
        <v>2147</v>
      </c>
      <c r="F504" s="2777" t="s">
        <v>2147</v>
      </c>
      <c r="G504" s="2775" t="s">
        <v>2147</v>
      </c>
      <c r="H504" s="2780" t="s">
        <v>2146</v>
      </c>
      <c r="I504" s="2781" t="s">
        <v>2146</v>
      </c>
      <c r="J504" s="2757" t="s">
        <v>2146</v>
      </c>
    </row>
    <row r="505" spans="2:10" ht="18" hidden="1" customHeight="1" outlineLevel="3" x14ac:dyDescent="0.2">
      <c r="B505" s="2830" t="s">
        <v>1161</v>
      </c>
      <c r="C505" s="2833"/>
      <c r="D505" s="2754" t="s">
        <v>2147</v>
      </c>
      <c r="E505" s="2755" t="s">
        <v>2147</v>
      </c>
      <c r="F505" s="2753" t="s">
        <v>2147</v>
      </c>
      <c r="G505" s="2754" t="s">
        <v>2147</v>
      </c>
      <c r="H505" s="2756" t="s">
        <v>2147</v>
      </c>
      <c r="I505" s="2753" t="s">
        <v>2147</v>
      </c>
      <c r="J505" s="2754" t="s">
        <v>2147</v>
      </c>
    </row>
    <row r="506" spans="2:10" ht="18" hidden="1" customHeight="1" outlineLevel="3" x14ac:dyDescent="0.2">
      <c r="B506" s="2834" t="s">
        <v>2147</v>
      </c>
      <c r="C506" s="2835" t="s">
        <v>2147</v>
      </c>
      <c r="D506" s="2757" t="s">
        <v>2147</v>
      </c>
      <c r="E506" s="2755" t="s">
        <v>2147</v>
      </c>
      <c r="F506" s="2753" t="s">
        <v>2147</v>
      </c>
      <c r="G506" s="2754" t="s">
        <v>2147</v>
      </c>
      <c r="H506" s="2780" t="s">
        <v>2147</v>
      </c>
      <c r="I506" s="2758" t="s">
        <v>2147</v>
      </c>
      <c r="J506" s="2759" t="s">
        <v>2147</v>
      </c>
    </row>
    <row r="507" spans="2:10" ht="18" hidden="1" customHeight="1" outlineLevel="3" x14ac:dyDescent="0.2">
      <c r="B507" s="2830" t="s">
        <v>1162</v>
      </c>
      <c r="C507" s="2841"/>
      <c r="D507" s="2775" t="s">
        <v>2146</v>
      </c>
      <c r="E507" s="2776" t="s">
        <v>2147</v>
      </c>
      <c r="F507" s="2777" t="s">
        <v>2147</v>
      </c>
      <c r="G507" s="2775" t="s">
        <v>2147</v>
      </c>
      <c r="H507" s="2778" t="s">
        <v>2146</v>
      </c>
      <c r="I507" s="2777" t="s">
        <v>2146</v>
      </c>
      <c r="J507" s="2775" t="s">
        <v>2146</v>
      </c>
    </row>
    <row r="508" spans="2:10" ht="18" hidden="1" customHeight="1" outlineLevel="3" x14ac:dyDescent="0.2">
      <c r="B508" s="2829" t="s">
        <v>200</v>
      </c>
      <c r="C508" s="2833"/>
      <c r="D508" s="2766"/>
      <c r="E508" s="2766"/>
      <c r="F508" s="2766"/>
      <c r="G508" s="2766"/>
      <c r="H508" s="2766"/>
      <c r="I508" s="2766"/>
      <c r="J508" s="2779"/>
    </row>
    <row r="509" spans="2:10" ht="18" hidden="1" customHeight="1" outlineLevel="3" x14ac:dyDescent="0.2">
      <c r="B509" s="2830" t="s">
        <v>1163</v>
      </c>
      <c r="C509" s="2835" t="s">
        <v>278</v>
      </c>
      <c r="D509" s="2757" t="s">
        <v>2146</v>
      </c>
      <c r="E509" s="2755" t="s">
        <v>2147</v>
      </c>
      <c r="F509" s="2777" t="s">
        <v>2147</v>
      </c>
      <c r="G509" s="2775" t="s">
        <v>2147</v>
      </c>
      <c r="H509" s="2780" t="s">
        <v>2146</v>
      </c>
      <c r="I509" s="2781" t="s">
        <v>2146</v>
      </c>
      <c r="J509" s="2757" t="s">
        <v>2146</v>
      </c>
    </row>
    <row r="510" spans="2:10" ht="18" hidden="1" customHeight="1" outlineLevel="3" x14ac:dyDescent="0.2">
      <c r="B510" s="2830" t="s">
        <v>1164</v>
      </c>
      <c r="C510" s="2833"/>
      <c r="D510" s="2754" t="s">
        <v>2147</v>
      </c>
      <c r="E510" s="2755" t="s">
        <v>2147</v>
      </c>
      <c r="F510" s="2753" t="s">
        <v>2147</v>
      </c>
      <c r="G510" s="2754" t="s">
        <v>2147</v>
      </c>
      <c r="H510" s="2756" t="s">
        <v>2147</v>
      </c>
      <c r="I510" s="2753" t="s">
        <v>2147</v>
      </c>
      <c r="J510" s="2754" t="s">
        <v>2147</v>
      </c>
    </row>
    <row r="511" spans="2:10" ht="18" hidden="1" customHeight="1" outlineLevel="3" x14ac:dyDescent="0.2">
      <c r="B511" s="2834" t="s">
        <v>2147</v>
      </c>
      <c r="C511" s="2835" t="s">
        <v>2147</v>
      </c>
      <c r="D511" s="2757" t="s">
        <v>2147</v>
      </c>
      <c r="E511" s="2755" t="s">
        <v>2147</v>
      </c>
      <c r="F511" s="2753" t="s">
        <v>2147</v>
      </c>
      <c r="G511" s="2754" t="s">
        <v>2147</v>
      </c>
      <c r="H511" s="2780" t="s">
        <v>2147</v>
      </c>
      <c r="I511" s="2758" t="s">
        <v>2147</v>
      </c>
      <c r="J511" s="2759" t="s">
        <v>2147</v>
      </c>
    </row>
    <row r="512" spans="2:10" ht="18" hidden="1" customHeight="1" outlineLevel="2" collapsed="1" x14ac:dyDescent="0.2">
      <c r="B512" s="2842" t="s">
        <v>1207</v>
      </c>
      <c r="C512" s="2828"/>
      <c r="D512" s="2808"/>
      <c r="E512" s="2809"/>
      <c r="F512" s="2810"/>
      <c r="G512" s="2811"/>
      <c r="H512" s="2819" t="s">
        <v>2146</v>
      </c>
      <c r="I512" s="2815" t="s">
        <v>2146</v>
      </c>
      <c r="J512" s="2816" t="s">
        <v>2146</v>
      </c>
    </row>
    <row r="513" spans="2:10" ht="18" hidden="1" customHeight="1" outlineLevel="3" x14ac:dyDescent="0.2">
      <c r="B513" s="2830" t="s">
        <v>1158</v>
      </c>
      <c r="C513" s="2841"/>
      <c r="D513" s="2775" t="s">
        <v>2146</v>
      </c>
      <c r="E513" s="2776" t="s">
        <v>2147</v>
      </c>
      <c r="F513" s="2777" t="s">
        <v>2147</v>
      </c>
      <c r="G513" s="2775" t="s">
        <v>2147</v>
      </c>
      <c r="H513" s="2778" t="s">
        <v>2146</v>
      </c>
      <c r="I513" s="2777" t="s">
        <v>2146</v>
      </c>
      <c r="J513" s="2775" t="s">
        <v>2146</v>
      </c>
    </row>
    <row r="514" spans="2:10" ht="18" hidden="1" customHeight="1" outlineLevel="3" x14ac:dyDescent="0.2">
      <c r="B514" s="2829" t="s">
        <v>200</v>
      </c>
      <c r="C514" s="2833"/>
      <c r="D514" s="2766"/>
      <c r="E514" s="2766"/>
      <c r="F514" s="2766"/>
      <c r="G514" s="2766"/>
      <c r="H514" s="2766"/>
      <c r="I514" s="2766"/>
      <c r="J514" s="2779"/>
    </row>
    <row r="515" spans="2:10" ht="18" hidden="1" customHeight="1" outlineLevel="3" x14ac:dyDescent="0.2">
      <c r="B515" s="2830" t="s">
        <v>1159</v>
      </c>
      <c r="C515" s="2835" t="s">
        <v>278</v>
      </c>
      <c r="D515" s="2757" t="s">
        <v>2146</v>
      </c>
      <c r="E515" s="2755" t="s">
        <v>2147</v>
      </c>
      <c r="F515" s="2777" t="s">
        <v>2147</v>
      </c>
      <c r="G515" s="2775" t="s">
        <v>2147</v>
      </c>
      <c r="H515" s="2780" t="s">
        <v>2146</v>
      </c>
      <c r="I515" s="2781" t="s">
        <v>2146</v>
      </c>
      <c r="J515" s="2757" t="s">
        <v>2146</v>
      </c>
    </row>
    <row r="516" spans="2:10" ht="18" hidden="1" customHeight="1" outlineLevel="3" x14ac:dyDescent="0.2">
      <c r="B516" s="2830" t="s">
        <v>1160</v>
      </c>
      <c r="C516" s="2835" t="s">
        <v>278</v>
      </c>
      <c r="D516" s="2757" t="s">
        <v>2146</v>
      </c>
      <c r="E516" s="2755" t="s">
        <v>2147</v>
      </c>
      <c r="F516" s="2777" t="s">
        <v>2147</v>
      </c>
      <c r="G516" s="2775" t="s">
        <v>2147</v>
      </c>
      <c r="H516" s="2780" t="s">
        <v>2146</v>
      </c>
      <c r="I516" s="2781" t="s">
        <v>2146</v>
      </c>
      <c r="J516" s="2757" t="s">
        <v>2146</v>
      </c>
    </row>
    <row r="517" spans="2:10" ht="18" hidden="1" customHeight="1" outlineLevel="3" x14ac:dyDescent="0.2">
      <c r="B517" s="2830" t="s">
        <v>1161</v>
      </c>
      <c r="C517" s="2833"/>
      <c r="D517" s="2754" t="s">
        <v>2147</v>
      </c>
      <c r="E517" s="2755" t="s">
        <v>2147</v>
      </c>
      <c r="F517" s="2753" t="s">
        <v>2147</v>
      </c>
      <c r="G517" s="2754" t="s">
        <v>2147</v>
      </c>
      <c r="H517" s="2756" t="s">
        <v>2147</v>
      </c>
      <c r="I517" s="2753" t="s">
        <v>2147</v>
      </c>
      <c r="J517" s="2754" t="s">
        <v>2147</v>
      </c>
    </row>
    <row r="518" spans="2:10" ht="18" hidden="1" customHeight="1" outlineLevel="3" x14ac:dyDescent="0.2">
      <c r="B518" s="2834" t="s">
        <v>2147</v>
      </c>
      <c r="C518" s="2835" t="s">
        <v>2147</v>
      </c>
      <c r="D518" s="2757" t="s">
        <v>2147</v>
      </c>
      <c r="E518" s="2755" t="s">
        <v>2147</v>
      </c>
      <c r="F518" s="2753" t="s">
        <v>2147</v>
      </c>
      <c r="G518" s="2754" t="s">
        <v>2147</v>
      </c>
      <c r="H518" s="2780" t="s">
        <v>2147</v>
      </c>
      <c r="I518" s="2758" t="s">
        <v>2147</v>
      </c>
      <c r="J518" s="2759" t="s">
        <v>2147</v>
      </c>
    </row>
    <row r="519" spans="2:10" ht="18" hidden="1" customHeight="1" outlineLevel="3" x14ac:dyDescent="0.2">
      <c r="B519" s="2830" t="s">
        <v>1162</v>
      </c>
      <c r="C519" s="2841"/>
      <c r="D519" s="2775" t="s">
        <v>2146</v>
      </c>
      <c r="E519" s="2776" t="s">
        <v>2147</v>
      </c>
      <c r="F519" s="2777" t="s">
        <v>2147</v>
      </c>
      <c r="G519" s="2775" t="s">
        <v>2147</v>
      </c>
      <c r="H519" s="2778" t="s">
        <v>2146</v>
      </c>
      <c r="I519" s="2777" t="s">
        <v>2146</v>
      </c>
      <c r="J519" s="2775" t="s">
        <v>2146</v>
      </c>
    </row>
    <row r="520" spans="2:10" ht="18" hidden="1" customHeight="1" outlineLevel="3" x14ac:dyDescent="0.2">
      <c r="B520" s="2829" t="s">
        <v>200</v>
      </c>
      <c r="C520" s="2833"/>
      <c r="D520" s="2766"/>
      <c r="E520" s="2766"/>
      <c r="F520" s="2766"/>
      <c r="G520" s="2766"/>
      <c r="H520" s="2766"/>
      <c r="I520" s="2766"/>
      <c r="J520" s="2779"/>
    </row>
    <row r="521" spans="2:10" ht="18" hidden="1" customHeight="1" outlineLevel="3" x14ac:dyDescent="0.2">
      <c r="B521" s="2830" t="s">
        <v>1163</v>
      </c>
      <c r="C521" s="2835" t="s">
        <v>278</v>
      </c>
      <c r="D521" s="2757" t="s">
        <v>2146</v>
      </c>
      <c r="E521" s="2755" t="s">
        <v>2147</v>
      </c>
      <c r="F521" s="2777" t="s">
        <v>2147</v>
      </c>
      <c r="G521" s="2775" t="s">
        <v>2147</v>
      </c>
      <c r="H521" s="2780" t="s">
        <v>2146</v>
      </c>
      <c r="I521" s="2781" t="s">
        <v>2146</v>
      </c>
      <c r="J521" s="2757" t="s">
        <v>2146</v>
      </c>
    </row>
    <row r="522" spans="2:10" ht="18" hidden="1" customHeight="1" outlineLevel="3" x14ac:dyDescent="0.2">
      <c r="B522" s="2830" t="s">
        <v>1164</v>
      </c>
      <c r="C522" s="2833"/>
      <c r="D522" s="2754" t="s">
        <v>2147</v>
      </c>
      <c r="E522" s="2755" t="s">
        <v>2147</v>
      </c>
      <c r="F522" s="2753" t="s">
        <v>2147</v>
      </c>
      <c r="G522" s="2754" t="s">
        <v>2147</v>
      </c>
      <c r="H522" s="2756" t="s">
        <v>2147</v>
      </c>
      <c r="I522" s="2753" t="s">
        <v>2147</v>
      </c>
      <c r="J522" s="2754" t="s">
        <v>2147</v>
      </c>
    </row>
    <row r="523" spans="2:10" ht="18" hidden="1" customHeight="1" outlineLevel="3" x14ac:dyDescent="0.2">
      <c r="B523" s="2834" t="s">
        <v>2147</v>
      </c>
      <c r="C523" s="2835" t="s">
        <v>2147</v>
      </c>
      <c r="D523" s="2757" t="s">
        <v>2147</v>
      </c>
      <c r="E523" s="2755" t="s">
        <v>2147</v>
      </c>
      <c r="F523" s="2753" t="s">
        <v>2147</v>
      </c>
      <c r="G523" s="2754" t="s">
        <v>2147</v>
      </c>
      <c r="H523" s="2780" t="s">
        <v>2147</v>
      </c>
      <c r="I523" s="2758" t="s">
        <v>2147</v>
      </c>
      <c r="J523" s="2759" t="s">
        <v>2147</v>
      </c>
    </row>
    <row r="524" spans="2:10" ht="18" hidden="1" customHeight="1" outlineLevel="2" collapsed="1" x14ac:dyDescent="0.2">
      <c r="B524" s="2842" t="s">
        <v>1208</v>
      </c>
      <c r="C524" s="2828"/>
      <c r="D524" s="2808"/>
      <c r="E524" s="2809"/>
      <c r="F524" s="2810"/>
      <c r="G524" s="2811"/>
      <c r="H524" s="2819" t="s">
        <v>2146</v>
      </c>
      <c r="I524" s="2815" t="s">
        <v>2146</v>
      </c>
      <c r="J524" s="2816" t="s">
        <v>2146</v>
      </c>
    </row>
    <row r="525" spans="2:10" ht="18" hidden="1" customHeight="1" outlineLevel="3" x14ac:dyDescent="0.2">
      <c r="B525" s="2830" t="s">
        <v>1158</v>
      </c>
      <c r="C525" s="2841"/>
      <c r="D525" s="2775" t="s">
        <v>2146</v>
      </c>
      <c r="E525" s="2776" t="s">
        <v>2147</v>
      </c>
      <c r="F525" s="2777" t="s">
        <v>2147</v>
      </c>
      <c r="G525" s="2775" t="s">
        <v>2147</v>
      </c>
      <c r="H525" s="2778" t="s">
        <v>2146</v>
      </c>
      <c r="I525" s="2777" t="s">
        <v>2146</v>
      </c>
      <c r="J525" s="2775" t="s">
        <v>2146</v>
      </c>
    </row>
    <row r="526" spans="2:10" ht="18" hidden="1" customHeight="1" outlineLevel="3" x14ac:dyDescent="0.2">
      <c r="B526" s="2829" t="s">
        <v>200</v>
      </c>
      <c r="C526" s="2833"/>
      <c r="D526" s="2766"/>
      <c r="E526" s="2766"/>
      <c r="F526" s="2766"/>
      <c r="G526" s="2766"/>
      <c r="H526" s="2766"/>
      <c r="I526" s="2766"/>
      <c r="J526" s="2779"/>
    </row>
    <row r="527" spans="2:10" ht="18" hidden="1" customHeight="1" outlineLevel="3" x14ac:dyDescent="0.2">
      <c r="B527" s="2830" t="s">
        <v>1159</v>
      </c>
      <c r="C527" s="2835" t="s">
        <v>278</v>
      </c>
      <c r="D527" s="2757" t="s">
        <v>2146</v>
      </c>
      <c r="E527" s="2755" t="s">
        <v>2147</v>
      </c>
      <c r="F527" s="2777" t="s">
        <v>2147</v>
      </c>
      <c r="G527" s="2775" t="s">
        <v>2147</v>
      </c>
      <c r="H527" s="2780" t="s">
        <v>2146</v>
      </c>
      <c r="I527" s="2781" t="s">
        <v>2146</v>
      </c>
      <c r="J527" s="2757" t="s">
        <v>2146</v>
      </c>
    </row>
    <row r="528" spans="2:10" ht="18" hidden="1" customHeight="1" outlineLevel="3" x14ac:dyDescent="0.2">
      <c r="B528" s="2830" t="s">
        <v>1160</v>
      </c>
      <c r="C528" s="2835" t="s">
        <v>278</v>
      </c>
      <c r="D528" s="2757" t="s">
        <v>2146</v>
      </c>
      <c r="E528" s="2755" t="s">
        <v>2147</v>
      </c>
      <c r="F528" s="2777" t="s">
        <v>2147</v>
      </c>
      <c r="G528" s="2775" t="s">
        <v>2147</v>
      </c>
      <c r="H528" s="2780" t="s">
        <v>2146</v>
      </c>
      <c r="I528" s="2781" t="s">
        <v>2146</v>
      </c>
      <c r="J528" s="2757" t="s">
        <v>2146</v>
      </c>
    </row>
    <row r="529" spans="2:10" ht="18" hidden="1" customHeight="1" outlineLevel="3" x14ac:dyDescent="0.2">
      <c r="B529" s="2830" t="s">
        <v>1161</v>
      </c>
      <c r="C529" s="2833"/>
      <c r="D529" s="2754" t="s">
        <v>2147</v>
      </c>
      <c r="E529" s="2755" t="s">
        <v>2147</v>
      </c>
      <c r="F529" s="2753" t="s">
        <v>2147</v>
      </c>
      <c r="G529" s="2754" t="s">
        <v>2147</v>
      </c>
      <c r="H529" s="2756" t="s">
        <v>2147</v>
      </c>
      <c r="I529" s="2753" t="s">
        <v>2147</v>
      </c>
      <c r="J529" s="2754" t="s">
        <v>2147</v>
      </c>
    </row>
    <row r="530" spans="2:10" ht="18" hidden="1" customHeight="1" outlineLevel="3" x14ac:dyDescent="0.2">
      <c r="B530" s="2834" t="s">
        <v>2147</v>
      </c>
      <c r="C530" s="2835" t="s">
        <v>2147</v>
      </c>
      <c r="D530" s="2757" t="s">
        <v>2147</v>
      </c>
      <c r="E530" s="2755" t="s">
        <v>2147</v>
      </c>
      <c r="F530" s="2753" t="s">
        <v>2147</v>
      </c>
      <c r="G530" s="2754" t="s">
        <v>2147</v>
      </c>
      <c r="H530" s="2780" t="s">
        <v>2147</v>
      </c>
      <c r="I530" s="2758" t="s">
        <v>2147</v>
      </c>
      <c r="J530" s="2759" t="s">
        <v>2147</v>
      </c>
    </row>
    <row r="531" spans="2:10" ht="18" hidden="1" customHeight="1" outlineLevel="3" x14ac:dyDescent="0.2">
      <c r="B531" s="2830" t="s">
        <v>1162</v>
      </c>
      <c r="C531" s="2841"/>
      <c r="D531" s="2775" t="s">
        <v>2146</v>
      </c>
      <c r="E531" s="2776" t="s">
        <v>2147</v>
      </c>
      <c r="F531" s="2777" t="s">
        <v>2147</v>
      </c>
      <c r="G531" s="2775" t="s">
        <v>2147</v>
      </c>
      <c r="H531" s="2778" t="s">
        <v>2146</v>
      </c>
      <c r="I531" s="2777" t="s">
        <v>2146</v>
      </c>
      <c r="J531" s="2775" t="s">
        <v>2146</v>
      </c>
    </row>
    <row r="532" spans="2:10" ht="18" hidden="1" customHeight="1" outlineLevel="3" x14ac:dyDescent="0.2">
      <c r="B532" s="2829" t="s">
        <v>200</v>
      </c>
      <c r="C532" s="2833"/>
      <c r="D532" s="2766"/>
      <c r="E532" s="2766"/>
      <c r="F532" s="2766"/>
      <c r="G532" s="2766"/>
      <c r="H532" s="2766"/>
      <c r="I532" s="2766"/>
      <c r="J532" s="2779"/>
    </row>
    <row r="533" spans="2:10" ht="18" hidden="1" customHeight="1" outlineLevel="3" x14ac:dyDescent="0.2">
      <c r="B533" s="2830" t="s">
        <v>1163</v>
      </c>
      <c r="C533" s="2835" t="s">
        <v>278</v>
      </c>
      <c r="D533" s="2757" t="s">
        <v>2146</v>
      </c>
      <c r="E533" s="2755" t="s">
        <v>2147</v>
      </c>
      <c r="F533" s="2777" t="s">
        <v>2147</v>
      </c>
      <c r="G533" s="2775" t="s">
        <v>2147</v>
      </c>
      <c r="H533" s="2780" t="s">
        <v>2146</v>
      </c>
      <c r="I533" s="2781" t="s">
        <v>2146</v>
      </c>
      <c r="J533" s="2757" t="s">
        <v>2146</v>
      </c>
    </row>
    <row r="534" spans="2:10" ht="18" hidden="1" customHeight="1" outlineLevel="3" x14ac:dyDescent="0.2">
      <c r="B534" s="2830" t="s">
        <v>1164</v>
      </c>
      <c r="C534" s="2833"/>
      <c r="D534" s="2754" t="s">
        <v>2147</v>
      </c>
      <c r="E534" s="2755" t="s">
        <v>2147</v>
      </c>
      <c r="F534" s="2753" t="s">
        <v>2147</v>
      </c>
      <c r="G534" s="2754" t="s">
        <v>2147</v>
      </c>
      <c r="H534" s="2756" t="s">
        <v>2147</v>
      </c>
      <c r="I534" s="2753" t="s">
        <v>2147</v>
      </c>
      <c r="J534" s="2754" t="s">
        <v>2147</v>
      </c>
    </row>
    <row r="535" spans="2:10" ht="18" hidden="1" customHeight="1" outlineLevel="3" x14ac:dyDescent="0.2">
      <c r="B535" s="2834" t="s">
        <v>2147</v>
      </c>
      <c r="C535" s="2835" t="s">
        <v>2147</v>
      </c>
      <c r="D535" s="2757" t="s">
        <v>2147</v>
      </c>
      <c r="E535" s="2755" t="s">
        <v>2147</v>
      </c>
      <c r="F535" s="2753" t="s">
        <v>2147</v>
      </c>
      <c r="G535" s="2754" t="s">
        <v>2147</v>
      </c>
      <c r="H535" s="2780" t="s">
        <v>2147</v>
      </c>
      <c r="I535" s="2758" t="s">
        <v>2147</v>
      </c>
      <c r="J535" s="2759" t="s">
        <v>2147</v>
      </c>
    </row>
    <row r="536" spans="2:10" ht="18" hidden="1" customHeight="1" outlineLevel="2" collapsed="1" thickBot="1" x14ac:dyDescent="0.25">
      <c r="B536" s="2842" t="s">
        <v>1209</v>
      </c>
      <c r="C536" s="2828"/>
      <c r="D536" s="2808"/>
      <c r="E536" s="2809"/>
      <c r="F536" s="2810"/>
      <c r="G536" s="2811"/>
      <c r="H536" s="2819" t="s">
        <v>2146</v>
      </c>
      <c r="I536" s="2815" t="s">
        <v>2146</v>
      </c>
      <c r="J536" s="2816" t="s">
        <v>2146</v>
      </c>
    </row>
    <row r="537" spans="2:10" ht="18" hidden="1" customHeight="1" outlineLevel="3" x14ac:dyDescent="0.2">
      <c r="B537" s="2830" t="s">
        <v>1158</v>
      </c>
      <c r="C537" s="2841"/>
      <c r="D537" s="2775" t="s">
        <v>2146</v>
      </c>
      <c r="E537" s="2776" t="s">
        <v>2147</v>
      </c>
      <c r="F537" s="2777" t="s">
        <v>2147</v>
      </c>
      <c r="G537" s="2775" t="s">
        <v>2147</v>
      </c>
      <c r="H537" s="2778" t="s">
        <v>2146</v>
      </c>
      <c r="I537" s="2777" t="s">
        <v>2146</v>
      </c>
      <c r="J537" s="2775" t="s">
        <v>2146</v>
      </c>
    </row>
    <row r="538" spans="2:10" ht="18" hidden="1" customHeight="1" outlineLevel="3" x14ac:dyDescent="0.2">
      <c r="B538" s="2829" t="s">
        <v>200</v>
      </c>
      <c r="C538" s="2833"/>
      <c r="D538" s="2766"/>
      <c r="E538" s="2766"/>
      <c r="F538" s="2766"/>
      <c r="G538" s="2766"/>
      <c r="H538" s="2766"/>
      <c r="I538" s="2766"/>
      <c r="J538" s="2779"/>
    </row>
    <row r="539" spans="2:10" ht="18" hidden="1" customHeight="1" outlineLevel="3" x14ac:dyDescent="0.2">
      <c r="B539" s="2830" t="s">
        <v>1159</v>
      </c>
      <c r="C539" s="2835" t="s">
        <v>278</v>
      </c>
      <c r="D539" s="2757" t="s">
        <v>2146</v>
      </c>
      <c r="E539" s="2755" t="s">
        <v>2147</v>
      </c>
      <c r="F539" s="2777" t="s">
        <v>2147</v>
      </c>
      <c r="G539" s="2775" t="s">
        <v>2147</v>
      </c>
      <c r="H539" s="2780" t="s">
        <v>2146</v>
      </c>
      <c r="I539" s="2781" t="s">
        <v>2146</v>
      </c>
      <c r="J539" s="2757" t="s">
        <v>2146</v>
      </c>
    </row>
    <row r="540" spans="2:10" ht="18" hidden="1" customHeight="1" outlineLevel="3" x14ac:dyDescent="0.2">
      <c r="B540" s="2830" t="s">
        <v>1160</v>
      </c>
      <c r="C540" s="2835" t="s">
        <v>278</v>
      </c>
      <c r="D540" s="2757" t="s">
        <v>2146</v>
      </c>
      <c r="E540" s="2755" t="s">
        <v>2147</v>
      </c>
      <c r="F540" s="2777" t="s">
        <v>2147</v>
      </c>
      <c r="G540" s="2775" t="s">
        <v>2147</v>
      </c>
      <c r="H540" s="2780" t="s">
        <v>2146</v>
      </c>
      <c r="I540" s="2781" t="s">
        <v>2146</v>
      </c>
      <c r="J540" s="2757" t="s">
        <v>2146</v>
      </c>
    </row>
    <row r="541" spans="2:10" ht="18" hidden="1" customHeight="1" outlineLevel="3" x14ac:dyDescent="0.2">
      <c r="B541" s="2830" t="s">
        <v>1161</v>
      </c>
      <c r="C541" s="2833"/>
      <c r="D541" s="2754" t="s">
        <v>2147</v>
      </c>
      <c r="E541" s="2755" t="s">
        <v>2147</v>
      </c>
      <c r="F541" s="2753" t="s">
        <v>2147</v>
      </c>
      <c r="G541" s="2754" t="s">
        <v>2147</v>
      </c>
      <c r="H541" s="2756" t="s">
        <v>2147</v>
      </c>
      <c r="I541" s="2753" t="s">
        <v>2147</v>
      </c>
      <c r="J541" s="2754" t="s">
        <v>2147</v>
      </c>
    </row>
    <row r="542" spans="2:10" ht="18" hidden="1" customHeight="1" outlineLevel="3" x14ac:dyDescent="0.2">
      <c r="B542" s="2834" t="s">
        <v>2147</v>
      </c>
      <c r="C542" s="2835" t="s">
        <v>2147</v>
      </c>
      <c r="D542" s="2757" t="s">
        <v>2147</v>
      </c>
      <c r="E542" s="2755" t="s">
        <v>2147</v>
      </c>
      <c r="F542" s="2753" t="s">
        <v>2147</v>
      </c>
      <c r="G542" s="2754" t="s">
        <v>2147</v>
      </c>
      <c r="H542" s="2780" t="s">
        <v>2147</v>
      </c>
      <c r="I542" s="2758" t="s">
        <v>2147</v>
      </c>
      <c r="J542" s="2759" t="s">
        <v>2147</v>
      </c>
    </row>
    <row r="543" spans="2:10" ht="18" hidden="1" customHeight="1" outlineLevel="3" x14ac:dyDescent="0.2">
      <c r="B543" s="2830" t="s">
        <v>1162</v>
      </c>
      <c r="C543" s="2841"/>
      <c r="D543" s="2775" t="s">
        <v>2146</v>
      </c>
      <c r="E543" s="2776" t="s">
        <v>2147</v>
      </c>
      <c r="F543" s="2777" t="s">
        <v>2147</v>
      </c>
      <c r="G543" s="2775" t="s">
        <v>2147</v>
      </c>
      <c r="H543" s="2778" t="s">
        <v>2146</v>
      </c>
      <c r="I543" s="2777" t="s">
        <v>2146</v>
      </c>
      <c r="J543" s="2775" t="s">
        <v>2146</v>
      </c>
    </row>
    <row r="544" spans="2:10" ht="18" hidden="1" customHeight="1" outlineLevel="3" x14ac:dyDescent="0.2">
      <c r="B544" s="2829" t="s">
        <v>200</v>
      </c>
      <c r="C544" s="2833"/>
      <c r="D544" s="2766"/>
      <c r="E544" s="2766"/>
      <c r="F544" s="2766"/>
      <c r="G544" s="2766"/>
      <c r="H544" s="2766"/>
      <c r="I544" s="2766"/>
      <c r="J544" s="2779"/>
    </row>
    <row r="545" spans="2:10" ht="18" hidden="1" customHeight="1" outlineLevel="3" x14ac:dyDescent="0.2">
      <c r="B545" s="2830" t="s">
        <v>1163</v>
      </c>
      <c r="C545" s="2835" t="s">
        <v>278</v>
      </c>
      <c r="D545" s="2757" t="s">
        <v>2146</v>
      </c>
      <c r="E545" s="2755" t="s">
        <v>2147</v>
      </c>
      <c r="F545" s="2777" t="s">
        <v>2147</v>
      </c>
      <c r="G545" s="2775" t="s">
        <v>2147</v>
      </c>
      <c r="H545" s="2780" t="s">
        <v>2146</v>
      </c>
      <c r="I545" s="2781" t="s">
        <v>2146</v>
      </c>
      <c r="J545" s="2757" t="s">
        <v>2146</v>
      </c>
    </row>
    <row r="546" spans="2:10" ht="18" hidden="1" customHeight="1" outlineLevel="3" x14ac:dyDescent="0.2">
      <c r="B546" s="2830" t="s">
        <v>1164</v>
      </c>
      <c r="C546" s="2833"/>
      <c r="D546" s="2754" t="s">
        <v>2147</v>
      </c>
      <c r="E546" s="2755" t="s">
        <v>2147</v>
      </c>
      <c r="F546" s="2753" t="s">
        <v>2147</v>
      </c>
      <c r="G546" s="2754" t="s">
        <v>2147</v>
      </c>
      <c r="H546" s="2756" t="s">
        <v>2147</v>
      </c>
      <c r="I546" s="2753" t="s">
        <v>2147</v>
      </c>
      <c r="J546" s="2754" t="s">
        <v>2147</v>
      </c>
    </row>
    <row r="547" spans="2:10" ht="18" hidden="1" customHeight="1" outlineLevel="3" thickBot="1" x14ac:dyDescent="0.25">
      <c r="B547" s="2834" t="s">
        <v>2147</v>
      </c>
      <c r="C547" s="2835" t="s">
        <v>2147</v>
      </c>
      <c r="D547" s="2757" t="s">
        <v>2147</v>
      </c>
      <c r="E547" s="2755" t="s">
        <v>2147</v>
      </c>
      <c r="F547" s="2753" t="s">
        <v>2147</v>
      </c>
      <c r="G547" s="2754" t="s">
        <v>2147</v>
      </c>
      <c r="H547" s="2780" t="s">
        <v>2147</v>
      </c>
      <c r="I547" s="2758" t="s">
        <v>2147</v>
      </c>
      <c r="J547" s="2759" t="s">
        <v>2147</v>
      </c>
    </row>
    <row r="548" spans="2:10" ht="18" customHeight="1" x14ac:dyDescent="0.2">
      <c r="B548" s="1440" t="s">
        <v>1900</v>
      </c>
      <c r="C548" s="2839"/>
      <c r="D548" s="2802"/>
      <c r="E548" s="2803"/>
      <c r="F548" s="2773"/>
      <c r="G548" s="2769"/>
      <c r="H548" s="2818" t="s">
        <v>2154</v>
      </c>
      <c r="I548" s="2813" t="s">
        <v>2154</v>
      </c>
      <c r="J548" s="2774" t="s">
        <v>2154</v>
      </c>
    </row>
    <row r="549" spans="2:10" ht="18" customHeight="1" collapsed="1" x14ac:dyDescent="0.2">
      <c r="B549" s="909" t="s">
        <v>1210</v>
      </c>
      <c r="C549" s="2826"/>
      <c r="D549" s="2808"/>
      <c r="E549" s="2809"/>
      <c r="F549" s="2810"/>
      <c r="G549" s="2811"/>
      <c r="H549" s="2819" t="s">
        <v>2154</v>
      </c>
      <c r="I549" s="2815" t="s">
        <v>2154</v>
      </c>
      <c r="J549" s="2816" t="s">
        <v>2154</v>
      </c>
    </row>
    <row r="550" spans="2:10" ht="18" hidden="1" customHeight="1" outlineLevel="1" x14ac:dyDescent="0.2">
      <c r="B550" s="2827" t="s">
        <v>1158</v>
      </c>
      <c r="C550" s="2828"/>
      <c r="D550" s="2775" t="s">
        <v>2146</v>
      </c>
      <c r="E550" s="2776" t="s">
        <v>2147</v>
      </c>
      <c r="F550" s="2777" t="s">
        <v>2147</v>
      </c>
      <c r="G550" s="2775" t="s">
        <v>2147</v>
      </c>
      <c r="H550" s="2778" t="s">
        <v>2154</v>
      </c>
      <c r="I550" s="2777" t="s">
        <v>2154</v>
      </c>
      <c r="J550" s="2775" t="s">
        <v>2154</v>
      </c>
    </row>
    <row r="551" spans="2:10" ht="18" hidden="1" customHeight="1" outlineLevel="1" x14ac:dyDescent="0.2">
      <c r="B551" s="2829" t="s">
        <v>200</v>
      </c>
      <c r="C551" s="2833"/>
      <c r="D551" s="2766"/>
      <c r="E551" s="2766"/>
      <c r="F551" s="2766"/>
      <c r="G551" s="2766"/>
      <c r="H551" s="2766"/>
      <c r="I551" s="2766"/>
      <c r="J551" s="2779"/>
    </row>
    <row r="552" spans="2:10" ht="18" hidden="1" customHeight="1" outlineLevel="1" x14ac:dyDescent="0.2">
      <c r="B552" s="2830" t="s">
        <v>1159</v>
      </c>
      <c r="C552" s="2831" t="s">
        <v>278</v>
      </c>
      <c r="D552" s="2757" t="s">
        <v>2146</v>
      </c>
      <c r="E552" s="2755" t="s">
        <v>2147</v>
      </c>
      <c r="F552" s="2777" t="s">
        <v>2147</v>
      </c>
      <c r="G552" s="2775" t="s">
        <v>2147</v>
      </c>
      <c r="H552" s="2780" t="s">
        <v>2146</v>
      </c>
      <c r="I552" s="2781" t="s">
        <v>2146</v>
      </c>
      <c r="J552" s="2757" t="s">
        <v>2146</v>
      </c>
    </row>
    <row r="553" spans="2:10" ht="18" hidden="1" customHeight="1" outlineLevel="1" x14ac:dyDescent="0.2">
      <c r="B553" s="2830" t="s">
        <v>1160</v>
      </c>
      <c r="C553" s="2832" t="s">
        <v>278</v>
      </c>
      <c r="D553" s="2757" t="s">
        <v>2154</v>
      </c>
      <c r="E553" s="2755" t="s">
        <v>2147</v>
      </c>
      <c r="F553" s="2777" t="s">
        <v>2147</v>
      </c>
      <c r="G553" s="2775" t="s">
        <v>2147</v>
      </c>
      <c r="H553" s="2780" t="s">
        <v>2154</v>
      </c>
      <c r="I553" s="2781" t="s">
        <v>2154</v>
      </c>
      <c r="J553" s="2757" t="s">
        <v>2154</v>
      </c>
    </row>
    <row r="554" spans="2:10" ht="18" hidden="1" customHeight="1" outlineLevel="1" x14ac:dyDescent="0.2">
      <c r="B554" s="2830" t="s">
        <v>1161</v>
      </c>
      <c r="C554" s="2833"/>
      <c r="D554" s="2754" t="s">
        <v>2147</v>
      </c>
      <c r="E554" s="2755" t="s">
        <v>2147</v>
      </c>
      <c r="F554" s="2753" t="s">
        <v>2147</v>
      </c>
      <c r="G554" s="2754" t="s">
        <v>2147</v>
      </c>
      <c r="H554" s="2756" t="s">
        <v>2147</v>
      </c>
      <c r="I554" s="2753" t="s">
        <v>2147</v>
      </c>
      <c r="J554" s="2754" t="s">
        <v>2147</v>
      </c>
    </row>
    <row r="555" spans="2:10" ht="18" hidden="1" customHeight="1" outlineLevel="1" x14ac:dyDescent="0.2">
      <c r="B555" s="2834" t="s">
        <v>2147</v>
      </c>
      <c r="C555" s="2835" t="s">
        <v>2147</v>
      </c>
      <c r="D555" s="2757" t="s">
        <v>2147</v>
      </c>
      <c r="E555" s="2755" t="s">
        <v>2147</v>
      </c>
      <c r="F555" s="2753" t="s">
        <v>2147</v>
      </c>
      <c r="G555" s="2754" t="s">
        <v>2147</v>
      </c>
      <c r="H555" s="2780" t="s">
        <v>2147</v>
      </c>
      <c r="I555" s="2758" t="s">
        <v>2147</v>
      </c>
      <c r="J555" s="2759" t="s">
        <v>2147</v>
      </c>
    </row>
    <row r="556" spans="2:10" ht="18" hidden="1" customHeight="1" outlineLevel="1" x14ac:dyDescent="0.2">
      <c r="B556" s="2827" t="s">
        <v>1162</v>
      </c>
      <c r="C556" s="2828"/>
      <c r="D556" s="2775" t="s">
        <v>2146</v>
      </c>
      <c r="E556" s="2776" t="s">
        <v>2147</v>
      </c>
      <c r="F556" s="2777" t="s">
        <v>2147</v>
      </c>
      <c r="G556" s="2775" t="s">
        <v>2147</v>
      </c>
      <c r="H556" s="2778" t="s">
        <v>2146</v>
      </c>
      <c r="I556" s="2777" t="s">
        <v>2146</v>
      </c>
      <c r="J556" s="2775" t="s">
        <v>2146</v>
      </c>
    </row>
    <row r="557" spans="2:10" ht="18" hidden="1" customHeight="1" outlineLevel="1" x14ac:dyDescent="0.2">
      <c r="B557" s="2829" t="s">
        <v>200</v>
      </c>
      <c r="C557" s="2833"/>
      <c r="D557" s="2766"/>
      <c r="E557" s="2766"/>
      <c r="F557" s="2766"/>
      <c r="G557" s="2766"/>
      <c r="H557" s="2766"/>
      <c r="I557" s="2766"/>
      <c r="J557" s="2779"/>
    </row>
    <row r="558" spans="2:10" ht="18" hidden="1" customHeight="1" outlineLevel="1" x14ac:dyDescent="0.2">
      <c r="B558" s="2830" t="s">
        <v>1163</v>
      </c>
      <c r="C558" s="2835" t="s">
        <v>278</v>
      </c>
      <c r="D558" s="2757" t="s">
        <v>2154</v>
      </c>
      <c r="E558" s="2755" t="s">
        <v>2147</v>
      </c>
      <c r="F558" s="2777" t="s">
        <v>2147</v>
      </c>
      <c r="G558" s="2775" t="s">
        <v>2147</v>
      </c>
      <c r="H558" s="2780" t="s">
        <v>2154</v>
      </c>
      <c r="I558" s="2781" t="s">
        <v>2154</v>
      </c>
      <c r="J558" s="2757" t="s">
        <v>2154</v>
      </c>
    </row>
    <row r="559" spans="2:10" ht="18" hidden="1" customHeight="1" outlineLevel="1" x14ac:dyDescent="0.2">
      <c r="B559" s="2830" t="s">
        <v>1164</v>
      </c>
      <c r="C559" s="2828"/>
      <c r="D559" s="2754" t="s">
        <v>2147</v>
      </c>
      <c r="E559" s="2755" t="s">
        <v>2147</v>
      </c>
      <c r="F559" s="2753" t="s">
        <v>2147</v>
      </c>
      <c r="G559" s="2754" t="s">
        <v>2147</v>
      </c>
      <c r="H559" s="2756" t="s">
        <v>2147</v>
      </c>
      <c r="I559" s="2753" t="s">
        <v>2147</v>
      </c>
      <c r="J559" s="2754" t="s">
        <v>2147</v>
      </c>
    </row>
    <row r="560" spans="2:10" ht="18" hidden="1" customHeight="1" outlineLevel="1" x14ac:dyDescent="0.2">
      <c r="B560" s="2834" t="s">
        <v>2147</v>
      </c>
      <c r="C560" s="2835" t="s">
        <v>2147</v>
      </c>
      <c r="D560" s="2757" t="s">
        <v>2147</v>
      </c>
      <c r="E560" s="2755" t="s">
        <v>2147</v>
      </c>
      <c r="F560" s="2753" t="s">
        <v>2147</v>
      </c>
      <c r="G560" s="2754" t="s">
        <v>2147</v>
      </c>
      <c r="H560" s="2780" t="s">
        <v>2147</v>
      </c>
      <c r="I560" s="2758" t="s">
        <v>2147</v>
      </c>
      <c r="J560" s="2759" t="s">
        <v>2147</v>
      </c>
    </row>
    <row r="561" spans="2:10" ht="18" customHeight="1" collapsed="1" thickBot="1" x14ac:dyDescent="0.25">
      <c r="B561" s="909" t="s">
        <v>1211</v>
      </c>
      <c r="C561" s="2826"/>
      <c r="D561" s="2808"/>
      <c r="E561" s="2809"/>
      <c r="F561" s="2810"/>
      <c r="G561" s="2811"/>
      <c r="H561" s="2819" t="s">
        <v>2154</v>
      </c>
      <c r="I561" s="2815" t="s">
        <v>2154</v>
      </c>
      <c r="J561" s="2816" t="s">
        <v>2154</v>
      </c>
    </row>
    <row r="562" spans="2:10" ht="18" hidden="1" customHeight="1" outlineLevel="1" x14ac:dyDescent="0.2">
      <c r="B562" s="2827" t="s">
        <v>1158</v>
      </c>
      <c r="C562" s="2828"/>
      <c r="D562" s="2775" t="s">
        <v>2146</v>
      </c>
      <c r="E562" s="2776" t="s">
        <v>2147</v>
      </c>
      <c r="F562" s="2777" t="s">
        <v>2147</v>
      </c>
      <c r="G562" s="2775" t="s">
        <v>2147</v>
      </c>
      <c r="H562" s="2778" t="s">
        <v>2154</v>
      </c>
      <c r="I562" s="2777" t="s">
        <v>2154</v>
      </c>
      <c r="J562" s="2775" t="s">
        <v>2154</v>
      </c>
    </row>
    <row r="563" spans="2:10" ht="18" hidden="1" customHeight="1" outlineLevel="1" x14ac:dyDescent="0.2">
      <c r="B563" s="2829" t="s">
        <v>200</v>
      </c>
      <c r="C563" s="2833"/>
      <c r="D563" s="2766"/>
      <c r="E563" s="2766"/>
      <c r="F563" s="2766"/>
      <c r="G563" s="2766"/>
      <c r="H563" s="2766"/>
      <c r="I563" s="2766"/>
      <c r="J563" s="2779"/>
    </row>
    <row r="564" spans="2:10" ht="18" hidden="1" customHeight="1" outlineLevel="1" x14ac:dyDescent="0.2">
      <c r="B564" s="2830" t="s">
        <v>1159</v>
      </c>
      <c r="C564" s="2831" t="s">
        <v>278</v>
      </c>
      <c r="D564" s="2757" t="s">
        <v>2146</v>
      </c>
      <c r="E564" s="2755" t="s">
        <v>2147</v>
      </c>
      <c r="F564" s="2777" t="s">
        <v>2147</v>
      </c>
      <c r="G564" s="2775" t="s">
        <v>2147</v>
      </c>
      <c r="H564" s="2780" t="s">
        <v>2146</v>
      </c>
      <c r="I564" s="2781" t="s">
        <v>2146</v>
      </c>
      <c r="J564" s="2757" t="s">
        <v>2146</v>
      </c>
    </row>
    <row r="565" spans="2:10" ht="18" hidden="1" customHeight="1" outlineLevel="1" x14ac:dyDescent="0.2">
      <c r="B565" s="2830" t="s">
        <v>1160</v>
      </c>
      <c r="C565" s="2832" t="s">
        <v>278</v>
      </c>
      <c r="D565" s="2757" t="s">
        <v>2154</v>
      </c>
      <c r="E565" s="2755" t="s">
        <v>2147</v>
      </c>
      <c r="F565" s="2777" t="s">
        <v>2147</v>
      </c>
      <c r="G565" s="2775" t="s">
        <v>2147</v>
      </c>
      <c r="H565" s="2780" t="s">
        <v>2154</v>
      </c>
      <c r="I565" s="2781" t="s">
        <v>2154</v>
      </c>
      <c r="J565" s="2757" t="s">
        <v>2154</v>
      </c>
    </row>
    <row r="566" spans="2:10" ht="18" hidden="1" customHeight="1" outlineLevel="1" x14ac:dyDescent="0.2">
      <c r="B566" s="2830" t="s">
        <v>1161</v>
      </c>
      <c r="C566" s="2833"/>
      <c r="D566" s="2754" t="s">
        <v>2147</v>
      </c>
      <c r="E566" s="2755" t="s">
        <v>2147</v>
      </c>
      <c r="F566" s="2753" t="s">
        <v>2147</v>
      </c>
      <c r="G566" s="2754" t="s">
        <v>2147</v>
      </c>
      <c r="H566" s="2756" t="s">
        <v>2147</v>
      </c>
      <c r="I566" s="2753" t="s">
        <v>2147</v>
      </c>
      <c r="J566" s="2754" t="s">
        <v>2147</v>
      </c>
    </row>
    <row r="567" spans="2:10" ht="18" hidden="1" customHeight="1" outlineLevel="1" x14ac:dyDescent="0.2">
      <c r="B567" s="2834" t="s">
        <v>2147</v>
      </c>
      <c r="C567" s="2835" t="s">
        <v>2147</v>
      </c>
      <c r="D567" s="2757" t="s">
        <v>2147</v>
      </c>
      <c r="E567" s="2755" t="s">
        <v>2147</v>
      </c>
      <c r="F567" s="2753" t="s">
        <v>2147</v>
      </c>
      <c r="G567" s="2754" t="s">
        <v>2147</v>
      </c>
      <c r="H567" s="2780" t="s">
        <v>2147</v>
      </c>
      <c r="I567" s="2758" t="s">
        <v>2147</v>
      </c>
      <c r="J567" s="2759" t="s">
        <v>2147</v>
      </c>
    </row>
    <row r="568" spans="2:10" ht="18" hidden="1" customHeight="1" outlineLevel="1" x14ac:dyDescent="0.2">
      <c r="B568" s="2827" t="s">
        <v>1162</v>
      </c>
      <c r="C568" s="2828"/>
      <c r="D568" s="2775" t="s">
        <v>2146</v>
      </c>
      <c r="E568" s="2776" t="s">
        <v>2147</v>
      </c>
      <c r="F568" s="2777" t="s">
        <v>2147</v>
      </c>
      <c r="G568" s="2775" t="s">
        <v>2147</v>
      </c>
      <c r="H568" s="2778" t="s">
        <v>2146</v>
      </c>
      <c r="I568" s="2777" t="s">
        <v>2146</v>
      </c>
      <c r="J568" s="2775" t="s">
        <v>2146</v>
      </c>
    </row>
    <row r="569" spans="2:10" ht="18" hidden="1" customHeight="1" outlineLevel="1" x14ac:dyDescent="0.2">
      <c r="B569" s="2829" t="s">
        <v>200</v>
      </c>
      <c r="C569" s="2833"/>
      <c r="D569" s="2766"/>
      <c r="E569" s="2766"/>
      <c r="F569" s="2766"/>
      <c r="G569" s="2766"/>
      <c r="H569" s="2766"/>
      <c r="I569" s="2766"/>
      <c r="J569" s="2779"/>
    </row>
    <row r="570" spans="2:10" ht="18" hidden="1" customHeight="1" outlineLevel="1" x14ac:dyDescent="0.2">
      <c r="B570" s="2830" t="s">
        <v>1163</v>
      </c>
      <c r="C570" s="2835" t="s">
        <v>278</v>
      </c>
      <c r="D570" s="2757" t="s">
        <v>2154</v>
      </c>
      <c r="E570" s="2755" t="s">
        <v>2147</v>
      </c>
      <c r="F570" s="2777" t="s">
        <v>2147</v>
      </c>
      <c r="G570" s="2775" t="s">
        <v>2147</v>
      </c>
      <c r="H570" s="2780" t="s">
        <v>2154</v>
      </c>
      <c r="I570" s="2781" t="s">
        <v>2154</v>
      </c>
      <c r="J570" s="2757" t="s">
        <v>2154</v>
      </c>
    </row>
    <row r="571" spans="2:10" ht="18" hidden="1" customHeight="1" outlineLevel="1" x14ac:dyDescent="0.2">
      <c r="B571" s="2830" t="s">
        <v>1164</v>
      </c>
      <c r="C571" s="2828"/>
      <c r="D571" s="2754" t="s">
        <v>2147</v>
      </c>
      <c r="E571" s="2755" t="s">
        <v>2147</v>
      </c>
      <c r="F571" s="2753" t="s">
        <v>2147</v>
      </c>
      <c r="G571" s="2754" t="s">
        <v>2147</v>
      </c>
      <c r="H571" s="2756" t="s">
        <v>2147</v>
      </c>
      <c r="I571" s="2753" t="s">
        <v>2147</v>
      </c>
      <c r="J571" s="2754" t="s">
        <v>2147</v>
      </c>
    </row>
    <row r="572" spans="2:10" ht="18" hidden="1" customHeight="1" outlineLevel="1" x14ac:dyDescent="0.2">
      <c r="B572" s="2834" t="s">
        <v>2147</v>
      </c>
      <c r="C572" s="2835" t="s">
        <v>2147</v>
      </c>
      <c r="D572" s="2757" t="s">
        <v>2147</v>
      </c>
      <c r="E572" s="2755" t="s">
        <v>2147</v>
      </c>
      <c r="F572" s="2753" t="s">
        <v>2147</v>
      </c>
      <c r="G572" s="2754" t="s">
        <v>2147</v>
      </c>
      <c r="H572" s="2780" t="s">
        <v>2147</v>
      </c>
      <c r="I572" s="2758" t="s">
        <v>2147</v>
      </c>
      <c r="J572" s="2759" t="s">
        <v>2147</v>
      </c>
    </row>
    <row r="573" spans="2:10" ht="18" hidden="1" customHeight="1" outlineLevel="1" x14ac:dyDescent="0.2">
      <c r="B573" s="2829" t="s">
        <v>200</v>
      </c>
      <c r="C573" s="2833"/>
      <c r="D573" s="2766"/>
      <c r="E573" s="2766"/>
      <c r="F573" s="2766"/>
      <c r="G573" s="2766"/>
      <c r="H573" s="2766"/>
      <c r="I573" s="2766"/>
      <c r="J573" s="2779"/>
    </row>
    <row r="574" spans="2:10" ht="18" hidden="1" customHeight="1" outlineLevel="1" collapsed="1" x14ac:dyDescent="0.2">
      <c r="B574" s="2827" t="s">
        <v>1212</v>
      </c>
      <c r="C574" s="2828"/>
      <c r="D574" s="2808"/>
      <c r="E574" s="2809"/>
      <c r="F574" s="2810"/>
      <c r="G574" s="2811"/>
      <c r="H574" s="2819" t="s">
        <v>2154</v>
      </c>
      <c r="I574" s="2815" t="s">
        <v>2154</v>
      </c>
      <c r="J574" s="2816" t="s">
        <v>2154</v>
      </c>
    </row>
    <row r="575" spans="2:10" ht="18" hidden="1" customHeight="1" outlineLevel="2" x14ac:dyDescent="0.2">
      <c r="B575" s="2827" t="s">
        <v>1158</v>
      </c>
      <c r="C575" s="2828"/>
      <c r="D575" s="2775" t="s">
        <v>2146</v>
      </c>
      <c r="E575" s="2776" t="s">
        <v>2147</v>
      </c>
      <c r="F575" s="2777" t="s">
        <v>2147</v>
      </c>
      <c r="G575" s="2775" t="s">
        <v>2147</v>
      </c>
      <c r="H575" s="2778" t="s">
        <v>2154</v>
      </c>
      <c r="I575" s="2777" t="s">
        <v>2154</v>
      </c>
      <c r="J575" s="2775" t="s">
        <v>2154</v>
      </c>
    </row>
    <row r="576" spans="2:10" ht="18" hidden="1" customHeight="1" outlineLevel="2" x14ac:dyDescent="0.2">
      <c r="B576" s="2829" t="s">
        <v>200</v>
      </c>
      <c r="C576" s="2833"/>
      <c r="D576" s="2766"/>
      <c r="E576" s="2766"/>
      <c r="F576" s="2766"/>
      <c r="G576" s="2766"/>
      <c r="H576" s="2766"/>
      <c r="I576" s="2766"/>
      <c r="J576" s="2779"/>
    </row>
    <row r="577" spans="2:10" ht="18" hidden="1" customHeight="1" outlineLevel="2" x14ac:dyDescent="0.2">
      <c r="B577" s="2830" t="s">
        <v>1159</v>
      </c>
      <c r="C577" s="2831" t="s">
        <v>278</v>
      </c>
      <c r="D577" s="2757" t="s">
        <v>2146</v>
      </c>
      <c r="E577" s="2755" t="s">
        <v>2147</v>
      </c>
      <c r="F577" s="2777" t="s">
        <v>2147</v>
      </c>
      <c r="G577" s="2775" t="s">
        <v>2147</v>
      </c>
      <c r="H577" s="2780" t="s">
        <v>2146</v>
      </c>
      <c r="I577" s="2781" t="s">
        <v>2146</v>
      </c>
      <c r="J577" s="2757" t="s">
        <v>2146</v>
      </c>
    </row>
    <row r="578" spans="2:10" ht="18" hidden="1" customHeight="1" outlineLevel="2" x14ac:dyDescent="0.2">
      <c r="B578" s="2830" t="s">
        <v>1160</v>
      </c>
      <c r="C578" s="2832" t="s">
        <v>278</v>
      </c>
      <c r="D578" s="2757" t="s">
        <v>2154</v>
      </c>
      <c r="E578" s="2755" t="s">
        <v>2147</v>
      </c>
      <c r="F578" s="2777" t="s">
        <v>2147</v>
      </c>
      <c r="G578" s="2775" t="s">
        <v>2147</v>
      </c>
      <c r="H578" s="2780" t="s">
        <v>2154</v>
      </c>
      <c r="I578" s="2781" t="s">
        <v>2154</v>
      </c>
      <c r="J578" s="2757" t="s">
        <v>2154</v>
      </c>
    </row>
    <row r="579" spans="2:10" ht="18" hidden="1" customHeight="1" outlineLevel="2" x14ac:dyDescent="0.2">
      <c r="B579" s="2830" t="s">
        <v>1161</v>
      </c>
      <c r="C579" s="2833"/>
      <c r="D579" s="2754" t="s">
        <v>2147</v>
      </c>
      <c r="E579" s="2755" t="s">
        <v>2147</v>
      </c>
      <c r="F579" s="2753" t="s">
        <v>2147</v>
      </c>
      <c r="G579" s="2754" t="s">
        <v>2147</v>
      </c>
      <c r="H579" s="2756" t="s">
        <v>2147</v>
      </c>
      <c r="I579" s="2753" t="s">
        <v>2147</v>
      </c>
      <c r="J579" s="2754" t="s">
        <v>2147</v>
      </c>
    </row>
    <row r="580" spans="2:10" ht="18" hidden="1" customHeight="1" outlineLevel="2" x14ac:dyDescent="0.2">
      <c r="B580" s="2834" t="s">
        <v>2147</v>
      </c>
      <c r="C580" s="2835" t="s">
        <v>2147</v>
      </c>
      <c r="D580" s="2757" t="s">
        <v>2147</v>
      </c>
      <c r="E580" s="2755" t="s">
        <v>2147</v>
      </c>
      <c r="F580" s="2753" t="s">
        <v>2147</v>
      </c>
      <c r="G580" s="2754" t="s">
        <v>2147</v>
      </c>
      <c r="H580" s="2780" t="s">
        <v>2147</v>
      </c>
      <c r="I580" s="2758" t="s">
        <v>2147</v>
      </c>
      <c r="J580" s="2759" t="s">
        <v>2147</v>
      </c>
    </row>
    <row r="581" spans="2:10" ht="18" hidden="1" customHeight="1" outlineLevel="2" x14ac:dyDescent="0.2">
      <c r="B581" s="2827" t="s">
        <v>1162</v>
      </c>
      <c r="C581" s="2828"/>
      <c r="D581" s="2775" t="s">
        <v>2146</v>
      </c>
      <c r="E581" s="2776" t="s">
        <v>2147</v>
      </c>
      <c r="F581" s="2777" t="s">
        <v>2147</v>
      </c>
      <c r="G581" s="2775" t="s">
        <v>2147</v>
      </c>
      <c r="H581" s="2778" t="s">
        <v>2146</v>
      </c>
      <c r="I581" s="2777" t="s">
        <v>2146</v>
      </c>
      <c r="J581" s="2775" t="s">
        <v>2146</v>
      </c>
    </row>
    <row r="582" spans="2:10" ht="18" hidden="1" customHeight="1" outlineLevel="2" x14ac:dyDescent="0.2">
      <c r="B582" s="2829" t="s">
        <v>200</v>
      </c>
      <c r="C582" s="2833"/>
      <c r="D582" s="2766"/>
      <c r="E582" s="2766"/>
      <c r="F582" s="2766"/>
      <c r="G582" s="2766"/>
      <c r="H582" s="2766"/>
      <c r="I582" s="2766"/>
      <c r="J582" s="2779"/>
    </row>
    <row r="583" spans="2:10" ht="18" hidden="1" customHeight="1" outlineLevel="2" x14ac:dyDescent="0.2">
      <c r="B583" s="2830" t="s">
        <v>1163</v>
      </c>
      <c r="C583" s="2835" t="s">
        <v>278</v>
      </c>
      <c r="D583" s="2757" t="s">
        <v>2154</v>
      </c>
      <c r="E583" s="2755" t="s">
        <v>2147</v>
      </c>
      <c r="F583" s="2777" t="s">
        <v>2147</v>
      </c>
      <c r="G583" s="2775" t="s">
        <v>2147</v>
      </c>
      <c r="H583" s="2780" t="s">
        <v>2154</v>
      </c>
      <c r="I583" s="2781" t="s">
        <v>2154</v>
      </c>
      <c r="J583" s="2757" t="s">
        <v>2154</v>
      </c>
    </row>
    <row r="584" spans="2:10" ht="18" hidden="1" customHeight="1" outlineLevel="2" x14ac:dyDescent="0.2">
      <c r="B584" s="2830" t="s">
        <v>1164</v>
      </c>
      <c r="C584" s="2828"/>
      <c r="D584" s="2754" t="s">
        <v>2147</v>
      </c>
      <c r="E584" s="2755" t="s">
        <v>2147</v>
      </c>
      <c r="F584" s="2753" t="s">
        <v>2147</v>
      </c>
      <c r="G584" s="2754" t="s">
        <v>2147</v>
      </c>
      <c r="H584" s="2756" t="s">
        <v>2147</v>
      </c>
      <c r="I584" s="2753" t="s">
        <v>2147</v>
      </c>
      <c r="J584" s="2754" t="s">
        <v>2147</v>
      </c>
    </row>
    <row r="585" spans="2:10" ht="18" hidden="1" customHeight="1" outlineLevel="2" x14ac:dyDescent="0.2">
      <c r="B585" s="2843" t="s">
        <v>2230</v>
      </c>
      <c r="C585" s="2835" t="s">
        <v>2147</v>
      </c>
      <c r="D585" s="2757" t="s">
        <v>2147</v>
      </c>
      <c r="E585" s="2755" t="s">
        <v>2147</v>
      </c>
      <c r="F585" s="2753" t="s">
        <v>2147</v>
      </c>
      <c r="G585" s="2754" t="s">
        <v>2147</v>
      </c>
      <c r="H585" s="2780" t="s">
        <v>2147</v>
      </c>
      <c r="I585" s="2758" t="s">
        <v>2147</v>
      </c>
      <c r="J585" s="2759" t="s">
        <v>2147</v>
      </c>
    </row>
    <row r="586" spans="2:10" ht="18" hidden="1" customHeight="1" outlineLevel="1" collapsed="1" x14ac:dyDescent="0.2">
      <c r="B586" s="2836" t="s">
        <v>1213</v>
      </c>
      <c r="C586" s="2837"/>
      <c r="D586" s="2808"/>
      <c r="E586" s="2809"/>
      <c r="F586" s="2810"/>
      <c r="G586" s="2811"/>
      <c r="H586" s="2819" t="s">
        <v>2154</v>
      </c>
      <c r="I586" s="2815" t="s">
        <v>2154</v>
      </c>
      <c r="J586" s="2816" t="s">
        <v>2154</v>
      </c>
    </row>
    <row r="587" spans="2:10" ht="18" hidden="1" customHeight="1" outlineLevel="2" x14ac:dyDescent="0.2">
      <c r="B587" s="2827" t="s">
        <v>1158</v>
      </c>
      <c r="C587" s="2828"/>
      <c r="D587" s="2775" t="s">
        <v>2146</v>
      </c>
      <c r="E587" s="2776" t="s">
        <v>2147</v>
      </c>
      <c r="F587" s="2777" t="s">
        <v>2147</v>
      </c>
      <c r="G587" s="2775" t="s">
        <v>2147</v>
      </c>
      <c r="H587" s="2778" t="s">
        <v>2154</v>
      </c>
      <c r="I587" s="2777" t="s">
        <v>2154</v>
      </c>
      <c r="J587" s="2775" t="s">
        <v>2154</v>
      </c>
    </row>
    <row r="588" spans="2:10" ht="18" hidden="1" customHeight="1" outlineLevel="2" x14ac:dyDescent="0.2">
      <c r="B588" s="2829" t="s">
        <v>200</v>
      </c>
      <c r="C588" s="2833"/>
      <c r="D588" s="2766"/>
      <c r="E588" s="2766"/>
      <c r="F588" s="2766"/>
      <c r="G588" s="2766"/>
      <c r="H588" s="2766"/>
      <c r="I588" s="2766"/>
      <c r="J588" s="2779"/>
    </row>
    <row r="589" spans="2:10" ht="18" hidden="1" customHeight="1" outlineLevel="2" x14ac:dyDescent="0.2">
      <c r="B589" s="2830" t="s">
        <v>1159</v>
      </c>
      <c r="C589" s="2831" t="s">
        <v>278</v>
      </c>
      <c r="D589" s="2757" t="s">
        <v>2146</v>
      </c>
      <c r="E589" s="2755" t="s">
        <v>2147</v>
      </c>
      <c r="F589" s="2777" t="s">
        <v>2147</v>
      </c>
      <c r="G589" s="2775" t="s">
        <v>2147</v>
      </c>
      <c r="H589" s="2780" t="s">
        <v>2146</v>
      </c>
      <c r="I589" s="2781" t="s">
        <v>2146</v>
      </c>
      <c r="J589" s="2757" t="s">
        <v>2146</v>
      </c>
    </row>
    <row r="590" spans="2:10" ht="18" hidden="1" customHeight="1" outlineLevel="2" x14ac:dyDescent="0.2">
      <c r="B590" s="2830" t="s">
        <v>1160</v>
      </c>
      <c r="C590" s="2832" t="s">
        <v>278</v>
      </c>
      <c r="D590" s="2757" t="s">
        <v>2154</v>
      </c>
      <c r="E590" s="2755" t="s">
        <v>2147</v>
      </c>
      <c r="F590" s="2777" t="s">
        <v>2147</v>
      </c>
      <c r="G590" s="2775" t="s">
        <v>2147</v>
      </c>
      <c r="H590" s="2780" t="s">
        <v>2154</v>
      </c>
      <c r="I590" s="2781" t="s">
        <v>2154</v>
      </c>
      <c r="J590" s="2757" t="s">
        <v>2154</v>
      </c>
    </row>
    <row r="591" spans="2:10" ht="18" hidden="1" customHeight="1" outlineLevel="2" x14ac:dyDescent="0.2">
      <c r="B591" s="2830" t="s">
        <v>1161</v>
      </c>
      <c r="C591" s="2833"/>
      <c r="D591" s="2754" t="s">
        <v>2147</v>
      </c>
      <c r="E591" s="2755" t="s">
        <v>2147</v>
      </c>
      <c r="F591" s="2753" t="s">
        <v>2147</v>
      </c>
      <c r="G591" s="2754" t="s">
        <v>2147</v>
      </c>
      <c r="H591" s="2756" t="s">
        <v>2147</v>
      </c>
      <c r="I591" s="2753" t="s">
        <v>2147</v>
      </c>
      <c r="J591" s="2754" t="s">
        <v>2147</v>
      </c>
    </row>
    <row r="592" spans="2:10" ht="18" hidden="1" customHeight="1" outlineLevel="2" x14ac:dyDescent="0.2">
      <c r="B592" s="2834" t="s">
        <v>2147</v>
      </c>
      <c r="C592" s="2835" t="s">
        <v>2147</v>
      </c>
      <c r="D592" s="2757" t="s">
        <v>2147</v>
      </c>
      <c r="E592" s="2755" t="s">
        <v>2147</v>
      </c>
      <c r="F592" s="2753" t="s">
        <v>2147</v>
      </c>
      <c r="G592" s="2754" t="s">
        <v>2147</v>
      </c>
      <c r="H592" s="2780" t="s">
        <v>2147</v>
      </c>
      <c r="I592" s="2758" t="s">
        <v>2147</v>
      </c>
      <c r="J592" s="2759" t="s">
        <v>2147</v>
      </c>
    </row>
    <row r="593" spans="2:10" ht="18" hidden="1" customHeight="1" outlineLevel="2" x14ac:dyDescent="0.2">
      <c r="B593" s="2827" t="s">
        <v>1162</v>
      </c>
      <c r="C593" s="2828"/>
      <c r="D593" s="2775" t="s">
        <v>2146</v>
      </c>
      <c r="E593" s="2776" t="s">
        <v>2147</v>
      </c>
      <c r="F593" s="2777" t="s">
        <v>2147</v>
      </c>
      <c r="G593" s="2775" t="s">
        <v>2147</v>
      </c>
      <c r="H593" s="2778" t="s">
        <v>2146</v>
      </c>
      <c r="I593" s="2777" t="s">
        <v>2146</v>
      </c>
      <c r="J593" s="2775" t="s">
        <v>2146</v>
      </c>
    </row>
    <row r="594" spans="2:10" ht="18" hidden="1" customHeight="1" outlineLevel="2" x14ac:dyDescent="0.2">
      <c r="B594" s="2829" t="s">
        <v>200</v>
      </c>
      <c r="C594" s="2833"/>
      <c r="D594" s="2766"/>
      <c r="E594" s="2766"/>
      <c r="F594" s="2766"/>
      <c r="G594" s="2766"/>
      <c r="H594" s="2766"/>
      <c r="I594" s="2766"/>
      <c r="J594" s="2779"/>
    </row>
    <row r="595" spans="2:10" ht="18" hidden="1" customHeight="1" outlineLevel="2" x14ac:dyDescent="0.2">
      <c r="B595" s="2830" t="s">
        <v>1163</v>
      </c>
      <c r="C595" s="2835" t="s">
        <v>278</v>
      </c>
      <c r="D595" s="2757" t="s">
        <v>2154</v>
      </c>
      <c r="E595" s="2755" t="s">
        <v>2147</v>
      </c>
      <c r="F595" s="2777" t="s">
        <v>2147</v>
      </c>
      <c r="G595" s="2775" t="s">
        <v>2147</v>
      </c>
      <c r="H595" s="2780" t="s">
        <v>2154</v>
      </c>
      <c r="I595" s="2781" t="s">
        <v>2154</v>
      </c>
      <c r="J595" s="2757" t="s">
        <v>2154</v>
      </c>
    </row>
    <row r="596" spans="2:10" ht="18" hidden="1" customHeight="1" outlineLevel="2" x14ac:dyDescent="0.2">
      <c r="B596" s="2830" t="s">
        <v>1164</v>
      </c>
      <c r="C596" s="2828"/>
      <c r="D596" s="2754" t="s">
        <v>2147</v>
      </c>
      <c r="E596" s="2755" t="s">
        <v>2147</v>
      </c>
      <c r="F596" s="2753" t="s">
        <v>2147</v>
      </c>
      <c r="G596" s="2754" t="s">
        <v>2147</v>
      </c>
      <c r="H596" s="2756" t="s">
        <v>2147</v>
      </c>
      <c r="I596" s="2753" t="s">
        <v>2147</v>
      </c>
      <c r="J596" s="2754" t="s">
        <v>2147</v>
      </c>
    </row>
    <row r="597" spans="2:10" ht="18" hidden="1" customHeight="1" outlineLevel="2" x14ac:dyDescent="0.2">
      <c r="B597" s="2834" t="s">
        <v>2147</v>
      </c>
      <c r="C597" s="2835" t="s">
        <v>2147</v>
      </c>
      <c r="D597" s="2757" t="s">
        <v>2147</v>
      </c>
      <c r="E597" s="2755" t="s">
        <v>2147</v>
      </c>
      <c r="F597" s="2753" t="s">
        <v>2147</v>
      </c>
      <c r="G597" s="2754" t="s">
        <v>2147</v>
      </c>
      <c r="H597" s="2780" t="s">
        <v>2147</v>
      </c>
      <c r="I597" s="2758" t="s">
        <v>2147</v>
      </c>
      <c r="J597" s="2759" t="s">
        <v>2147</v>
      </c>
    </row>
    <row r="598" spans="2:10" ht="18" hidden="1" customHeight="1" outlineLevel="1" collapsed="1" x14ac:dyDescent="0.2">
      <c r="B598" s="2836" t="s">
        <v>2239</v>
      </c>
      <c r="C598" s="2837"/>
      <c r="D598" s="2808"/>
      <c r="E598" s="2809"/>
      <c r="F598" s="2810"/>
      <c r="G598" s="2811"/>
      <c r="H598" s="2819" t="s">
        <v>2154</v>
      </c>
      <c r="I598" s="2815" t="s">
        <v>2154</v>
      </c>
      <c r="J598" s="2816" t="s">
        <v>2154</v>
      </c>
    </row>
    <row r="599" spans="2:10" ht="18" hidden="1" customHeight="1" outlineLevel="2" x14ac:dyDescent="0.2">
      <c r="B599" s="2827" t="s">
        <v>1158</v>
      </c>
      <c r="C599" s="2828"/>
      <c r="D599" s="2775" t="s">
        <v>2146</v>
      </c>
      <c r="E599" s="2776" t="s">
        <v>2147</v>
      </c>
      <c r="F599" s="2777" t="s">
        <v>2147</v>
      </c>
      <c r="G599" s="2775" t="s">
        <v>2147</v>
      </c>
      <c r="H599" s="2778" t="s">
        <v>2154</v>
      </c>
      <c r="I599" s="2777" t="s">
        <v>2154</v>
      </c>
      <c r="J599" s="2775" t="s">
        <v>2154</v>
      </c>
    </row>
    <row r="600" spans="2:10" ht="18" hidden="1" customHeight="1" outlineLevel="2" x14ac:dyDescent="0.2">
      <c r="B600" s="2829" t="s">
        <v>200</v>
      </c>
      <c r="C600" s="2833"/>
      <c r="D600" s="2766"/>
      <c r="E600" s="2766"/>
      <c r="F600" s="2766"/>
      <c r="G600" s="2766"/>
      <c r="H600" s="2766"/>
      <c r="I600" s="2766"/>
      <c r="J600" s="2779"/>
    </row>
    <row r="601" spans="2:10" ht="18" hidden="1" customHeight="1" outlineLevel="2" x14ac:dyDescent="0.2">
      <c r="B601" s="2830" t="s">
        <v>1159</v>
      </c>
      <c r="C601" s="2831" t="s">
        <v>278</v>
      </c>
      <c r="D601" s="2757" t="s">
        <v>2146</v>
      </c>
      <c r="E601" s="2755" t="s">
        <v>2147</v>
      </c>
      <c r="F601" s="2777" t="s">
        <v>2147</v>
      </c>
      <c r="G601" s="2775" t="s">
        <v>2147</v>
      </c>
      <c r="H601" s="2780" t="s">
        <v>2146</v>
      </c>
      <c r="I601" s="2781" t="s">
        <v>2146</v>
      </c>
      <c r="J601" s="2757" t="s">
        <v>2146</v>
      </c>
    </row>
    <row r="602" spans="2:10" ht="18" hidden="1" customHeight="1" outlineLevel="2" x14ac:dyDescent="0.2">
      <c r="B602" s="2830" t="s">
        <v>1160</v>
      </c>
      <c r="C602" s="2832" t="s">
        <v>278</v>
      </c>
      <c r="D602" s="2757" t="s">
        <v>2154</v>
      </c>
      <c r="E602" s="2755" t="s">
        <v>2147</v>
      </c>
      <c r="F602" s="2777" t="s">
        <v>2147</v>
      </c>
      <c r="G602" s="2775" t="s">
        <v>2147</v>
      </c>
      <c r="H602" s="2780" t="s">
        <v>2154</v>
      </c>
      <c r="I602" s="2781" t="s">
        <v>2154</v>
      </c>
      <c r="J602" s="2757" t="s">
        <v>2154</v>
      </c>
    </row>
    <row r="603" spans="2:10" ht="18" hidden="1" customHeight="1" outlineLevel="2" x14ac:dyDescent="0.2">
      <c r="B603" s="2830" t="s">
        <v>1161</v>
      </c>
      <c r="C603" s="2833"/>
      <c r="D603" s="2754" t="s">
        <v>2147</v>
      </c>
      <c r="E603" s="2755" t="s">
        <v>2147</v>
      </c>
      <c r="F603" s="2753" t="s">
        <v>2147</v>
      </c>
      <c r="G603" s="2754" t="s">
        <v>2147</v>
      </c>
      <c r="H603" s="2756" t="s">
        <v>2147</v>
      </c>
      <c r="I603" s="2753" t="s">
        <v>2147</v>
      </c>
      <c r="J603" s="2754" t="s">
        <v>2147</v>
      </c>
    </row>
    <row r="604" spans="2:10" ht="18" hidden="1" customHeight="1" outlineLevel="2" x14ac:dyDescent="0.2">
      <c r="B604" s="2834" t="s">
        <v>2147</v>
      </c>
      <c r="C604" s="2835" t="s">
        <v>2147</v>
      </c>
      <c r="D604" s="2757" t="s">
        <v>2147</v>
      </c>
      <c r="E604" s="2755" t="s">
        <v>2147</v>
      </c>
      <c r="F604" s="2753" t="s">
        <v>2147</v>
      </c>
      <c r="G604" s="2754" t="s">
        <v>2147</v>
      </c>
      <c r="H604" s="2780" t="s">
        <v>2147</v>
      </c>
      <c r="I604" s="2758" t="s">
        <v>2147</v>
      </c>
      <c r="J604" s="2759" t="s">
        <v>2147</v>
      </c>
    </row>
    <row r="605" spans="2:10" ht="18" hidden="1" customHeight="1" outlineLevel="2" x14ac:dyDescent="0.2">
      <c r="B605" s="2827" t="s">
        <v>1162</v>
      </c>
      <c r="C605" s="2828"/>
      <c r="D605" s="2775" t="s">
        <v>2146</v>
      </c>
      <c r="E605" s="2776" t="s">
        <v>2147</v>
      </c>
      <c r="F605" s="2777" t="s">
        <v>2147</v>
      </c>
      <c r="G605" s="2775" t="s">
        <v>2147</v>
      </c>
      <c r="H605" s="2778" t="s">
        <v>2146</v>
      </c>
      <c r="I605" s="2777" t="s">
        <v>2146</v>
      </c>
      <c r="J605" s="2775" t="s">
        <v>2146</v>
      </c>
    </row>
    <row r="606" spans="2:10" ht="18" hidden="1" customHeight="1" outlineLevel="2" x14ac:dyDescent="0.2">
      <c r="B606" s="2829" t="s">
        <v>200</v>
      </c>
      <c r="C606" s="2833"/>
      <c r="D606" s="2766"/>
      <c r="E606" s="2766"/>
      <c r="F606" s="2766"/>
      <c r="G606" s="2766"/>
      <c r="H606" s="2766"/>
      <c r="I606" s="2766"/>
      <c r="J606" s="2779"/>
    </row>
    <row r="607" spans="2:10" ht="18" hidden="1" customHeight="1" outlineLevel="2" x14ac:dyDescent="0.2">
      <c r="B607" s="2830" t="s">
        <v>1163</v>
      </c>
      <c r="C607" s="2835" t="s">
        <v>278</v>
      </c>
      <c r="D607" s="2757" t="s">
        <v>2154</v>
      </c>
      <c r="E607" s="2755" t="s">
        <v>2147</v>
      </c>
      <c r="F607" s="2777" t="s">
        <v>2147</v>
      </c>
      <c r="G607" s="2775" t="s">
        <v>2147</v>
      </c>
      <c r="H607" s="2780" t="s">
        <v>2154</v>
      </c>
      <c r="I607" s="2781" t="s">
        <v>2154</v>
      </c>
      <c r="J607" s="2757" t="s">
        <v>2154</v>
      </c>
    </row>
    <row r="608" spans="2:10" ht="18" hidden="1" customHeight="1" outlineLevel="2" x14ac:dyDescent="0.2">
      <c r="B608" s="2830" t="s">
        <v>1164</v>
      </c>
      <c r="C608" s="2828"/>
      <c r="D608" s="2754" t="s">
        <v>2147</v>
      </c>
      <c r="E608" s="2755" t="s">
        <v>2147</v>
      </c>
      <c r="F608" s="2753" t="s">
        <v>2147</v>
      </c>
      <c r="G608" s="2754" t="s">
        <v>2147</v>
      </c>
      <c r="H608" s="2756" t="s">
        <v>2147</v>
      </c>
      <c r="I608" s="2753" t="s">
        <v>2147</v>
      </c>
      <c r="J608" s="2754" t="s">
        <v>2147</v>
      </c>
    </row>
    <row r="609" spans="2:10" ht="18" hidden="1" customHeight="1" outlineLevel="2" x14ac:dyDescent="0.2">
      <c r="B609" s="2834" t="s">
        <v>2147</v>
      </c>
      <c r="C609" s="2835" t="s">
        <v>2147</v>
      </c>
      <c r="D609" s="2757" t="s">
        <v>2147</v>
      </c>
      <c r="E609" s="2755" t="s">
        <v>2147</v>
      </c>
      <c r="F609" s="2753" t="s">
        <v>2147</v>
      </c>
      <c r="G609" s="2754" t="s">
        <v>2147</v>
      </c>
      <c r="H609" s="2780" t="s">
        <v>2147</v>
      </c>
      <c r="I609" s="2758" t="s">
        <v>2147</v>
      </c>
      <c r="J609" s="2759" t="s">
        <v>2147</v>
      </c>
    </row>
    <row r="610" spans="2:10" ht="18" hidden="1" customHeight="1" outlineLevel="1" collapsed="1" x14ac:dyDescent="0.2">
      <c r="B610" s="2836" t="s">
        <v>2240</v>
      </c>
      <c r="C610" s="2837"/>
      <c r="D610" s="2808"/>
      <c r="E610" s="2809"/>
      <c r="F610" s="2810"/>
      <c r="G610" s="2811"/>
      <c r="H610" s="2819" t="s">
        <v>2154</v>
      </c>
      <c r="I610" s="2815" t="s">
        <v>2154</v>
      </c>
      <c r="J610" s="2816" t="s">
        <v>2154</v>
      </c>
    </row>
    <row r="611" spans="2:10" ht="18" hidden="1" customHeight="1" outlineLevel="2" x14ac:dyDescent="0.2">
      <c r="B611" s="2827" t="s">
        <v>1158</v>
      </c>
      <c r="C611" s="2828"/>
      <c r="D611" s="2775" t="s">
        <v>2146</v>
      </c>
      <c r="E611" s="2776" t="s">
        <v>2147</v>
      </c>
      <c r="F611" s="2777" t="s">
        <v>2147</v>
      </c>
      <c r="G611" s="2775" t="s">
        <v>2147</v>
      </c>
      <c r="H611" s="2778" t="s">
        <v>2154</v>
      </c>
      <c r="I611" s="2777" t="s">
        <v>2154</v>
      </c>
      <c r="J611" s="2775" t="s">
        <v>2154</v>
      </c>
    </row>
    <row r="612" spans="2:10" ht="18" hidden="1" customHeight="1" outlineLevel="2" x14ac:dyDescent="0.2">
      <c r="B612" s="2829" t="s">
        <v>200</v>
      </c>
      <c r="C612" s="2833"/>
      <c r="D612" s="2766"/>
      <c r="E612" s="2766"/>
      <c r="F612" s="2766"/>
      <c r="G612" s="2766"/>
      <c r="H612" s="2766"/>
      <c r="I612" s="2766"/>
      <c r="J612" s="2779"/>
    </row>
    <row r="613" spans="2:10" ht="18" hidden="1" customHeight="1" outlineLevel="2" x14ac:dyDescent="0.2">
      <c r="B613" s="2830" t="s">
        <v>1159</v>
      </c>
      <c r="C613" s="2831" t="s">
        <v>278</v>
      </c>
      <c r="D613" s="2757" t="s">
        <v>2146</v>
      </c>
      <c r="E613" s="2755" t="s">
        <v>2147</v>
      </c>
      <c r="F613" s="2777" t="s">
        <v>2147</v>
      </c>
      <c r="G613" s="2775" t="s">
        <v>2147</v>
      </c>
      <c r="H613" s="2780" t="s">
        <v>2146</v>
      </c>
      <c r="I613" s="2781" t="s">
        <v>2146</v>
      </c>
      <c r="J613" s="2757" t="s">
        <v>2146</v>
      </c>
    </row>
    <row r="614" spans="2:10" ht="18" hidden="1" customHeight="1" outlineLevel="2" x14ac:dyDescent="0.2">
      <c r="B614" s="2830" t="s">
        <v>1160</v>
      </c>
      <c r="C614" s="2832" t="s">
        <v>278</v>
      </c>
      <c r="D614" s="2757" t="s">
        <v>2154</v>
      </c>
      <c r="E614" s="2755" t="s">
        <v>2147</v>
      </c>
      <c r="F614" s="2777" t="s">
        <v>2147</v>
      </c>
      <c r="G614" s="2775" t="s">
        <v>2147</v>
      </c>
      <c r="H614" s="2780" t="s">
        <v>2154</v>
      </c>
      <c r="I614" s="2781" t="s">
        <v>2154</v>
      </c>
      <c r="J614" s="2757" t="s">
        <v>2154</v>
      </c>
    </row>
    <row r="615" spans="2:10" ht="18" hidden="1" customHeight="1" outlineLevel="2" x14ac:dyDescent="0.2">
      <c r="B615" s="2830" t="s">
        <v>1161</v>
      </c>
      <c r="C615" s="2833"/>
      <c r="D615" s="2754" t="s">
        <v>2147</v>
      </c>
      <c r="E615" s="2755" t="s">
        <v>2147</v>
      </c>
      <c r="F615" s="2753" t="s">
        <v>2147</v>
      </c>
      <c r="G615" s="2754" t="s">
        <v>2147</v>
      </c>
      <c r="H615" s="2756" t="s">
        <v>2147</v>
      </c>
      <c r="I615" s="2753" t="s">
        <v>2147</v>
      </c>
      <c r="J615" s="2754" t="s">
        <v>2147</v>
      </c>
    </row>
    <row r="616" spans="2:10" ht="18" hidden="1" customHeight="1" outlineLevel="2" x14ac:dyDescent="0.2">
      <c r="B616" s="2834" t="s">
        <v>2147</v>
      </c>
      <c r="C616" s="2835" t="s">
        <v>2147</v>
      </c>
      <c r="D616" s="2757" t="s">
        <v>2147</v>
      </c>
      <c r="E616" s="2755" t="s">
        <v>2147</v>
      </c>
      <c r="F616" s="2753" t="s">
        <v>2147</v>
      </c>
      <c r="G616" s="2754" t="s">
        <v>2147</v>
      </c>
      <c r="H616" s="2780" t="s">
        <v>2147</v>
      </c>
      <c r="I616" s="2758" t="s">
        <v>2147</v>
      </c>
      <c r="J616" s="2759" t="s">
        <v>2147</v>
      </c>
    </row>
    <row r="617" spans="2:10" ht="18" hidden="1" customHeight="1" outlineLevel="2" x14ac:dyDescent="0.2">
      <c r="B617" s="2827" t="s">
        <v>1162</v>
      </c>
      <c r="C617" s="2828"/>
      <c r="D617" s="2775" t="s">
        <v>2146</v>
      </c>
      <c r="E617" s="2776" t="s">
        <v>2147</v>
      </c>
      <c r="F617" s="2777" t="s">
        <v>2147</v>
      </c>
      <c r="G617" s="2775" t="s">
        <v>2147</v>
      </c>
      <c r="H617" s="2778" t="s">
        <v>2146</v>
      </c>
      <c r="I617" s="2777" t="s">
        <v>2146</v>
      </c>
      <c r="J617" s="2775" t="s">
        <v>2146</v>
      </c>
    </row>
    <row r="618" spans="2:10" ht="18" hidden="1" customHeight="1" outlineLevel="2" x14ac:dyDescent="0.2">
      <c r="B618" s="2829" t="s">
        <v>200</v>
      </c>
      <c r="C618" s="2833"/>
      <c r="D618" s="2766"/>
      <c r="E618" s="2766"/>
      <c r="F618" s="2766"/>
      <c r="G618" s="2766"/>
      <c r="H618" s="2766"/>
      <c r="I618" s="2766"/>
      <c r="J618" s="2779"/>
    </row>
    <row r="619" spans="2:10" ht="18" hidden="1" customHeight="1" outlineLevel="2" x14ac:dyDescent="0.2">
      <c r="B619" s="2830" t="s">
        <v>1163</v>
      </c>
      <c r="C619" s="2835" t="s">
        <v>278</v>
      </c>
      <c r="D619" s="2757" t="s">
        <v>2154</v>
      </c>
      <c r="E619" s="2755" t="s">
        <v>2147</v>
      </c>
      <c r="F619" s="2777" t="s">
        <v>2147</v>
      </c>
      <c r="G619" s="2775" t="s">
        <v>2147</v>
      </c>
      <c r="H619" s="2780" t="s">
        <v>2154</v>
      </c>
      <c r="I619" s="2781" t="s">
        <v>2154</v>
      </c>
      <c r="J619" s="2757" t="s">
        <v>2154</v>
      </c>
    </row>
    <row r="620" spans="2:10" ht="18" hidden="1" customHeight="1" outlineLevel="2" x14ac:dyDescent="0.2">
      <c r="B620" s="2830" t="s">
        <v>1164</v>
      </c>
      <c r="C620" s="2828"/>
      <c r="D620" s="2754" t="s">
        <v>2147</v>
      </c>
      <c r="E620" s="2755" t="s">
        <v>2147</v>
      </c>
      <c r="F620" s="2753" t="s">
        <v>2147</v>
      </c>
      <c r="G620" s="2754" t="s">
        <v>2147</v>
      </c>
      <c r="H620" s="2756" t="s">
        <v>2147</v>
      </c>
      <c r="I620" s="2753" t="s">
        <v>2147</v>
      </c>
      <c r="J620" s="2754" t="s">
        <v>2147</v>
      </c>
    </row>
    <row r="621" spans="2:10" ht="18" hidden="1" customHeight="1" outlineLevel="2" x14ac:dyDescent="0.2">
      <c r="B621" s="2834" t="s">
        <v>2147</v>
      </c>
      <c r="C621" s="2835" t="s">
        <v>2147</v>
      </c>
      <c r="D621" s="2757" t="s">
        <v>2147</v>
      </c>
      <c r="E621" s="2755" t="s">
        <v>2147</v>
      </c>
      <c r="F621" s="2753" t="s">
        <v>2147</v>
      </c>
      <c r="G621" s="2754" t="s">
        <v>2147</v>
      </c>
      <c r="H621" s="2780" t="s">
        <v>2147</v>
      </c>
      <c r="I621" s="2758" t="s">
        <v>2147</v>
      </c>
      <c r="J621" s="2759" t="s">
        <v>2147</v>
      </c>
    </row>
    <row r="622" spans="2:10" ht="18" hidden="1" customHeight="1" outlineLevel="1" collapsed="1" thickBot="1" x14ac:dyDescent="0.25">
      <c r="B622" s="2836" t="s">
        <v>1214</v>
      </c>
      <c r="C622" s="2837"/>
      <c r="D622" s="2808"/>
      <c r="E622" s="2809"/>
      <c r="F622" s="2810"/>
      <c r="G622" s="2811"/>
      <c r="H622" s="2819" t="s">
        <v>2146</v>
      </c>
      <c r="I622" s="2815" t="s">
        <v>2146</v>
      </c>
      <c r="J622" s="2816" t="s">
        <v>2146</v>
      </c>
    </row>
    <row r="623" spans="2:10" ht="18" hidden="1" customHeight="1" outlineLevel="2" x14ac:dyDescent="0.2">
      <c r="B623" s="2827" t="s">
        <v>1158</v>
      </c>
      <c r="C623" s="2828"/>
      <c r="D623" s="2790" t="s">
        <v>2146</v>
      </c>
      <c r="E623" s="2820" t="s">
        <v>2147</v>
      </c>
      <c r="F623" s="2798" t="s">
        <v>2147</v>
      </c>
      <c r="G623" s="2790" t="s">
        <v>2147</v>
      </c>
      <c r="H623" s="2791" t="s">
        <v>2146</v>
      </c>
      <c r="I623" s="2753" t="s">
        <v>2146</v>
      </c>
      <c r="J623" s="2754" t="s">
        <v>2146</v>
      </c>
    </row>
    <row r="624" spans="2:10" ht="18" hidden="1" customHeight="1" outlineLevel="2" x14ac:dyDescent="0.2">
      <c r="B624" s="2829" t="s">
        <v>200</v>
      </c>
      <c r="C624" s="2833"/>
      <c r="D624" s="2766"/>
      <c r="E624" s="2766"/>
      <c r="F624" s="2766"/>
      <c r="G624" s="2766"/>
      <c r="H624" s="2766"/>
      <c r="I624" s="2766"/>
      <c r="J624" s="2779"/>
    </row>
    <row r="625" spans="2:10" ht="18" hidden="1" customHeight="1" outlineLevel="2" x14ac:dyDescent="0.2">
      <c r="B625" s="2830" t="s">
        <v>1159</v>
      </c>
      <c r="C625" s="2831" t="s">
        <v>278</v>
      </c>
      <c r="D625" s="2793" t="s">
        <v>2146</v>
      </c>
      <c r="E625" s="2755" t="s">
        <v>2147</v>
      </c>
      <c r="F625" s="2798" t="s">
        <v>2147</v>
      </c>
      <c r="G625" s="2790" t="s">
        <v>2147</v>
      </c>
      <c r="H625" s="2794" t="s">
        <v>2146</v>
      </c>
      <c r="I625" s="2795" t="s">
        <v>2146</v>
      </c>
      <c r="J625" s="2796" t="s">
        <v>2146</v>
      </c>
    </row>
    <row r="626" spans="2:10" ht="18" hidden="1" customHeight="1" outlineLevel="2" x14ac:dyDescent="0.2">
      <c r="B626" s="2830" t="s">
        <v>1160</v>
      </c>
      <c r="C626" s="2832" t="s">
        <v>278</v>
      </c>
      <c r="D626" s="2793" t="s">
        <v>2146</v>
      </c>
      <c r="E626" s="2755" t="s">
        <v>2147</v>
      </c>
      <c r="F626" s="2798" t="s">
        <v>2147</v>
      </c>
      <c r="G626" s="2790" t="s">
        <v>2147</v>
      </c>
      <c r="H626" s="2794" t="s">
        <v>2146</v>
      </c>
      <c r="I626" s="2795" t="s">
        <v>2146</v>
      </c>
      <c r="J626" s="2796" t="s">
        <v>2146</v>
      </c>
    </row>
    <row r="627" spans="2:10" ht="18" hidden="1" customHeight="1" outlineLevel="2" x14ac:dyDescent="0.2">
      <c r="B627" s="2830" t="s">
        <v>1161</v>
      </c>
      <c r="C627" s="2833"/>
      <c r="D627" s="2754" t="s">
        <v>2147</v>
      </c>
      <c r="E627" s="2755" t="s">
        <v>2147</v>
      </c>
      <c r="F627" s="2753" t="s">
        <v>2147</v>
      </c>
      <c r="G627" s="2754" t="s">
        <v>2147</v>
      </c>
      <c r="H627" s="2756" t="s">
        <v>2147</v>
      </c>
      <c r="I627" s="2753" t="s">
        <v>2147</v>
      </c>
      <c r="J627" s="2754" t="s">
        <v>2147</v>
      </c>
    </row>
    <row r="628" spans="2:10" ht="18" hidden="1" customHeight="1" outlineLevel="2" x14ac:dyDescent="0.2">
      <c r="B628" s="2834" t="s">
        <v>2147</v>
      </c>
      <c r="C628" s="2835" t="s">
        <v>2147</v>
      </c>
      <c r="D628" s="2757" t="s">
        <v>2147</v>
      </c>
      <c r="E628" s="2755" t="s">
        <v>2147</v>
      </c>
      <c r="F628" s="2753" t="s">
        <v>2147</v>
      </c>
      <c r="G628" s="2754" t="s">
        <v>2147</v>
      </c>
      <c r="H628" s="2794" t="s">
        <v>2147</v>
      </c>
      <c r="I628" s="2758" t="s">
        <v>2147</v>
      </c>
      <c r="J628" s="2759" t="s">
        <v>2147</v>
      </c>
    </row>
    <row r="629" spans="2:10" ht="18" hidden="1" customHeight="1" outlineLevel="2" x14ac:dyDescent="0.2">
      <c r="B629" s="2827" t="s">
        <v>1162</v>
      </c>
      <c r="C629" s="2828"/>
      <c r="D629" s="2797" t="s">
        <v>2146</v>
      </c>
      <c r="E629" s="2755" t="s">
        <v>2147</v>
      </c>
      <c r="F629" s="2798" t="s">
        <v>2147</v>
      </c>
      <c r="G629" s="2790" t="s">
        <v>2147</v>
      </c>
      <c r="H629" s="2791" t="s">
        <v>2146</v>
      </c>
      <c r="I629" s="2753" t="s">
        <v>2146</v>
      </c>
      <c r="J629" s="2754" t="s">
        <v>2146</v>
      </c>
    </row>
    <row r="630" spans="2:10" ht="18" hidden="1" customHeight="1" outlineLevel="2" x14ac:dyDescent="0.2">
      <c r="B630" s="2829" t="s">
        <v>200</v>
      </c>
      <c r="C630" s="2833"/>
      <c r="D630" s="2766"/>
      <c r="E630" s="2766"/>
      <c r="F630" s="2766"/>
      <c r="G630" s="2766"/>
      <c r="H630" s="2766"/>
      <c r="I630" s="2766"/>
      <c r="J630" s="2779"/>
    </row>
    <row r="631" spans="2:10" ht="18" hidden="1" customHeight="1" outlineLevel="2" x14ac:dyDescent="0.2">
      <c r="B631" s="2830" t="s">
        <v>1163</v>
      </c>
      <c r="C631" s="2835" t="s">
        <v>278</v>
      </c>
      <c r="D631" s="2757" t="s">
        <v>2146</v>
      </c>
      <c r="E631" s="2755" t="s">
        <v>2147</v>
      </c>
      <c r="F631" s="2753" t="s">
        <v>2147</v>
      </c>
      <c r="G631" s="2754" t="s">
        <v>2147</v>
      </c>
      <c r="H631" s="2765" t="s">
        <v>2146</v>
      </c>
      <c r="I631" s="2758" t="s">
        <v>2146</v>
      </c>
      <c r="J631" s="2759" t="s">
        <v>2146</v>
      </c>
    </row>
    <row r="632" spans="2:10" ht="18" hidden="1" customHeight="1" outlineLevel="2" x14ac:dyDescent="0.2">
      <c r="B632" s="2830" t="s">
        <v>1164</v>
      </c>
      <c r="C632" s="2828"/>
      <c r="D632" s="2754" t="s">
        <v>2147</v>
      </c>
      <c r="E632" s="2755" t="s">
        <v>2147</v>
      </c>
      <c r="F632" s="2753" t="s">
        <v>2147</v>
      </c>
      <c r="G632" s="2754" t="s">
        <v>2147</v>
      </c>
      <c r="H632" s="2756" t="s">
        <v>2147</v>
      </c>
      <c r="I632" s="2753" t="s">
        <v>2147</v>
      </c>
      <c r="J632" s="2754" t="s">
        <v>2147</v>
      </c>
    </row>
    <row r="633" spans="2:10" ht="18" hidden="1" customHeight="1" outlineLevel="2" thickBot="1" x14ac:dyDescent="0.25">
      <c r="B633" s="2834" t="s">
        <v>2147</v>
      </c>
      <c r="C633" s="2835" t="s">
        <v>2147</v>
      </c>
      <c r="D633" s="2757" t="s">
        <v>2147</v>
      </c>
      <c r="E633" s="2755" t="s">
        <v>2147</v>
      </c>
      <c r="F633" s="2753" t="s">
        <v>2147</v>
      </c>
      <c r="G633" s="2754" t="s">
        <v>2147</v>
      </c>
      <c r="H633" s="2794" t="s">
        <v>2147</v>
      </c>
      <c r="I633" s="2758" t="s">
        <v>2147</v>
      </c>
      <c r="J633" s="2759" t="s">
        <v>2147</v>
      </c>
    </row>
    <row r="634" spans="2:10" ht="18" customHeight="1" x14ac:dyDescent="0.2">
      <c r="B634" s="1440" t="s">
        <v>1980</v>
      </c>
      <c r="C634" s="2839"/>
      <c r="D634" s="2802"/>
      <c r="E634" s="2803"/>
      <c r="F634" s="2773"/>
      <c r="G634" s="2769"/>
      <c r="H634" s="2818" t="s">
        <v>2146</v>
      </c>
      <c r="I634" s="2813" t="s">
        <v>2146</v>
      </c>
      <c r="J634" s="2774" t="s">
        <v>2146</v>
      </c>
    </row>
    <row r="635" spans="2:10" ht="18" customHeight="1" collapsed="1" thickBot="1" x14ac:dyDescent="0.25">
      <c r="B635" s="909" t="s">
        <v>1215</v>
      </c>
      <c r="C635" s="2826"/>
      <c r="D635" s="2808"/>
      <c r="E635" s="2809"/>
      <c r="F635" s="2810"/>
      <c r="G635" s="2811"/>
      <c r="H635" s="2819" t="s">
        <v>2146</v>
      </c>
      <c r="I635" s="2815" t="s">
        <v>2146</v>
      </c>
      <c r="J635" s="2816" t="s">
        <v>2146</v>
      </c>
    </row>
    <row r="636" spans="2:10" ht="18" hidden="1" customHeight="1" outlineLevel="1" x14ac:dyDescent="0.2">
      <c r="B636" s="2827" t="s">
        <v>1158</v>
      </c>
      <c r="C636" s="2828"/>
      <c r="D636" s="2790" t="s">
        <v>2146</v>
      </c>
      <c r="E636" s="2820" t="s">
        <v>2147</v>
      </c>
      <c r="F636" s="2798" t="s">
        <v>2147</v>
      </c>
      <c r="G636" s="2790" t="s">
        <v>2147</v>
      </c>
      <c r="H636" s="2791" t="s">
        <v>2146</v>
      </c>
      <c r="I636" s="2753" t="s">
        <v>2146</v>
      </c>
      <c r="J636" s="2754" t="s">
        <v>2146</v>
      </c>
    </row>
    <row r="637" spans="2:10" ht="18" hidden="1" customHeight="1" outlineLevel="1" x14ac:dyDescent="0.2">
      <c r="B637" s="2829" t="s">
        <v>200</v>
      </c>
      <c r="C637" s="2833"/>
      <c r="D637" s="2766"/>
      <c r="E637" s="2766"/>
      <c r="F637" s="2766"/>
      <c r="G637" s="2766"/>
      <c r="H637" s="2766"/>
      <c r="I637" s="2766"/>
      <c r="J637" s="2779"/>
    </row>
    <row r="638" spans="2:10" ht="18" hidden="1" customHeight="1" outlineLevel="1" x14ac:dyDescent="0.2">
      <c r="B638" s="2830" t="s">
        <v>1159</v>
      </c>
      <c r="C638" s="2831" t="s">
        <v>278</v>
      </c>
      <c r="D638" s="2793" t="s">
        <v>2146</v>
      </c>
      <c r="E638" s="2755" t="s">
        <v>2147</v>
      </c>
      <c r="F638" s="2798" t="s">
        <v>2147</v>
      </c>
      <c r="G638" s="2790" t="s">
        <v>2147</v>
      </c>
      <c r="H638" s="2794" t="s">
        <v>2146</v>
      </c>
      <c r="I638" s="2795" t="s">
        <v>2146</v>
      </c>
      <c r="J638" s="2796" t="s">
        <v>2146</v>
      </c>
    </row>
    <row r="639" spans="2:10" ht="18" hidden="1" customHeight="1" outlineLevel="1" x14ac:dyDescent="0.2">
      <c r="B639" s="2830" t="s">
        <v>1160</v>
      </c>
      <c r="C639" s="2832" t="s">
        <v>278</v>
      </c>
      <c r="D639" s="2793" t="s">
        <v>2146</v>
      </c>
      <c r="E639" s="2755" t="s">
        <v>2147</v>
      </c>
      <c r="F639" s="2798" t="s">
        <v>2147</v>
      </c>
      <c r="G639" s="2790" t="s">
        <v>2147</v>
      </c>
      <c r="H639" s="2794" t="s">
        <v>2146</v>
      </c>
      <c r="I639" s="2795" t="s">
        <v>2146</v>
      </c>
      <c r="J639" s="2796" t="s">
        <v>2146</v>
      </c>
    </row>
    <row r="640" spans="2:10" ht="18" hidden="1" customHeight="1" outlineLevel="1" x14ac:dyDescent="0.2">
      <c r="B640" s="2830" t="s">
        <v>1161</v>
      </c>
      <c r="C640" s="2833"/>
      <c r="D640" s="2754" t="s">
        <v>2147</v>
      </c>
      <c r="E640" s="2755" t="s">
        <v>2147</v>
      </c>
      <c r="F640" s="2753" t="s">
        <v>2147</v>
      </c>
      <c r="G640" s="2754" t="s">
        <v>2147</v>
      </c>
      <c r="H640" s="2756" t="s">
        <v>2147</v>
      </c>
      <c r="I640" s="2753" t="s">
        <v>2147</v>
      </c>
      <c r="J640" s="2754" t="s">
        <v>2147</v>
      </c>
    </row>
    <row r="641" spans="2:10" ht="18" hidden="1" customHeight="1" outlineLevel="1" x14ac:dyDescent="0.2">
      <c r="B641" s="2834" t="s">
        <v>2147</v>
      </c>
      <c r="C641" s="2835" t="s">
        <v>2147</v>
      </c>
      <c r="D641" s="2757" t="s">
        <v>2147</v>
      </c>
      <c r="E641" s="2755" t="s">
        <v>2147</v>
      </c>
      <c r="F641" s="2753" t="s">
        <v>2147</v>
      </c>
      <c r="G641" s="2754" t="s">
        <v>2147</v>
      </c>
      <c r="H641" s="2794" t="s">
        <v>2147</v>
      </c>
      <c r="I641" s="2758" t="s">
        <v>2147</v>
      </c>
      <c r="J641" s="2759" t="s">
        <v>2147</v>
      </c>
    </row>
    <row r="642" spans="2:10" ht="18" hidden="1" customHeight="1" outlineLevel="1" x14ac:dyDescent="0.2">
      <c r="B642" s="2827" t="s">
        <v>1162</v>
      </c>
      <c r="C642" s="2828"/>
      <c r="D642" s="2797" t="s">
        <v>2146</v>
      </c>
      <c r="E642" s="2755" t="s">
        <v>2147</v>
      </c>
      <c r="F642" s="2798" t="s">
        <v>2147</v>
      </c>
      <c r="G642" s="2790" t="s">
        <v>2147</v>
      </c>
      <c r="H642" s="2791" t="s">
        <v>2146</v>
      </c>
      <c r="I642" s="2753" t="s">
        <v>2146</v>
      </c>
      <c r="J642" s="2754" t="s">
        <v>2146</v>
      </c>
    </row>
    <row r="643" spans="2:10" ht="18" hidden="1" customHeight="1" outlineLevel="1" x14ac:dyDescent="0.2">
      <c r="B643" s="2829" t="s">
        <v>200</v>
      </c>
      <c r="C643" s="2833"/>
      <c r="D643" s="2766"/>
      <c r="E643" s="2766"/>
      <c r="F643" s="2766"/>
      <c r="G643" s="2766"/>
      <c r="H643" s="2766"/>
      <c r="I643" s="2766"/>
      <c r="J643" s="2779"/>
    </row>
    <row r="644" spans="2:10" ht="18" hidden="1" customHeight="1" outlineLevel="1" x14ac:dyDescent="0.2">
      <c r="B644" s="2830" t="s">
        <v>1163</v>
      </c>
      <c r="C644" s="2835" t="s">
        <v>278</v>
      </c>
      <c r="D644" s="2757" t="s">
        <v>2146</v>
      </c>
      <c r="E644" s="2755" t="s">
        <v>2147</v>
      </c>
      <c r="F644" s="2753" t="s">
        <v>2147</v>
      </c>
      <c r="G644" s="2754" t="s">
        <v>2147</v>
      </c>
      <c r="H644" s="2765" t="s">
        <v>2146</v>
      </c>
      <c r="I644" s="2758" t="s">
        <v>2146</v>
      </c>
      <c r="J644" s="2759" t="s">
        <v>2146</v>
      </c>
    </row>
    <row r="645" spans="2:10" ht="18" hidden="1" customHeight="1" outlineLevel="1" x14ac:dyDescent="0.2">
      <c r="B645" s="2830" t="s">
        <v>1164</v>
      </c>
      <c r="C645" s="2828"/>
      <c r="D645" s="2754" t="s">
        <v>2147</v>
      </c>
      <c r="E645" s="2755" t="s">
        <v>2147</v>
      </c>
      <c r="F645" s="2753" t="s">
        <v>2147</v>
      </c>
      <c r="G645" s="2754" t="s">
        <v>2147</v>
      </c>
      <c r="H645" s="2756" t="s">
        <v>2147</v>
      </c>
      <c r="I645" s="2753" t="s">
        <v>2147</v>
      </c>
      <c r="J645" s="2754" t="s">
        <v>2147</v>
      </c>
    </row>
    <row r="646" spans="2:10" ht="18" hidden="1" customHeight="1" outlineLevel="1" x14ac:dyDescent="0.2">
      <c r="B646" s="2834" t="s">
        <v>2147</v>
      </c>
      <c r="C646" s="2835" t="s">
        <v>2147</v>
      </c>
      <c r="D646" s="2757" t="s">
        <v>2147</v>
      </c>
      <c r="E646" s="2755" t="s">
        <v>2147</v>
      </c>
      <c r="F646" s="2753" t="s">
        <v>2147</v>
      </c>
      <c r="G646" s="2754" t="s">
        <v>2147</v>
      </c>
      <c r="H646" s="2794" t="s">
        <v>2147</v>
      </c>
      <c r="I646" s="2758" t="s">
        <v>2147</v>
      </c>
      <c r="J646" s="2759" t="s">
        <v>2147</v>
      </c>
    </row>
    <row r="647" spans="2:10" ht="18" hidden="1" customHeight="1" outlineLevel="1" x14ac:dyDescent="0.2">
      <c r="B647" s="2829" t="s">
        <v>200</v>
      </c>
      <c r="C647" s="2833"/>
      <c r="D647" s="2766"/>
      <c r="E647" s="2766"/>
      <c r="F647" s="2766"/>
      <c r="G647" s="2766"/>
      <c r="H647" s="2766"/>
      <c r="I647" s="2766"/>
      <c r="J647" s="2779"/>
    </row>
    <row r="648" spans="2:10" ht="18" hidden="1" customHeight="1" outlineLevel="1" collapsed="1" x14ac:dyDescent="0.2">
      <c r="B648" s="2827" t="s">
        <v>1216</v>
      </c>
      <c r="C648" s="2828"/>
      <c r="D648" s="2808"/>
      <c r="E648" s="2809"/>
      <c r="F648" s="2810"/>
      <c r="G648" s="2811"/>
      <c r="H648" s="2819" t="s">
        <v>2146</v>
      </c>
      <c r="I648" s="2815" t="s">
        <v>2146</v>
      </c>
      <c r="J648" s="2816" t="s">
        <v>2146</v>
      </c>
    </row>
    <row r="649" spans="2:10" ht="18" hidden="1" customHeight="1" outlineLevel="2" x14ac:dyDescent="0.2">
      <c r="B649" s="2827" t="s">
        <v>1158</v>
      </c>
      <c r="C649" s="2828"/>
      <c r="D649" s="2790" t="s">
        <v>2146</v>
      </c>
      <c r="E649" s="2820" t="s">
        <v>2147</v>
      </c>
      <c r="F649" s="2798" t="s">
        <v>2147</v>
      </c>
      <c r="G649" s="2790" t="s">
        <v>2147</v>
      </c>
      <c r="H649" s="2791" t="s">
        <v>2146</v>
      </c>
      <c r="I649" s="2753" t="s">
        <v>2146</v>
      </c>
      <c r="J649" s="2754" t="s">
        <v>2146</v>
      </c>
    </row>
    <row r="650" spans="2:10" ht="18" hidden="1" customHeight="1" outlineLevel="2" x14ac:dyDescent="0.2">
      <c r="B650" s="2829" t="s">
        <v>200</v>
      </c>
      <c r="C650" s="2833"/>
      <c r="D650" s="2766"/>
      <c r="E650" s="2766"/>
      <c r="F650" s="2766"/>
      <c r="G650" s="2766"/>
      <c r="H650" s="2766"/>
      <c r="I650" s="2766"/>
      <c r="J650" s="2779"/>
    </row>
    <row r="651" spans="2:10" ht="18" hidden="1" customHeight="1" outlineLevel="2" x14ac:dyDescent="0.2">
      <c r="B651" s="2830" t="s">
        <v>1159</v>
      </c>
      <c r="C651" s="2831" t="s">
        <v>278</v>
      </c>
      <c r="D651" s="2793" t="s">
        <v>2146</v>
      </c>
      <c r="E651" s="2755" t="s">
        <v>2147</v>
      </c>
      <c r="F651" s="2798" t="s">
        <v>2147</v>
      </c>
      <c r="G651" s="2790" t="s">
        <v>2147</v>
      </c>
      <c r="H651" s="2794" t="s">
        <v>2146</v>
      </c>
      <c r="I651" s="2795" t="s">
        <v>2146</v>
      </c>
      <c r="J651" s="2796" t="s">
        <v>2146</v>
      </c>
    </row>
    <row r="652" spans="2:10" ht="18" hidden="1" customHeight="1" outlineLevel="2" x14ac:dyDescent="0.2">
      <c r="B652" s="2830" t="s">
        <v>1160</v>
      </c>
      <c r="C652" s="2832" t="s">
        <v>278</v>
      </c>
      <c r="D652" s="2793" t="s">
        <v>2146</v>
      </c>
      <c r="E652" s="2755" t="s">
        <v>2147</v>
      </c>
      <c r="F652" s="2798" t="s">
        <v>2147</v>
      </c>
      <c r="G652" s="2790" t="s">
        <v>2147</v>
      </c>
      <c r="H652" s="2794" t="s">
        <v>2146</v>
      </c>
      <c r="I652" s="2795" t="s">
        <v>2146</v>
      </c>
      <c r="J652" s="2796" t="s">
        <v>2146</v>
      </c>
    </row>
    <row r="653" spans="2:10" ht="18" hidden="1" customHeight="1" outlineLevel="2" x14ac:dyDescent="0.2">
      <c r="B653" s="2830" t="s">
        <v>1161</v>
      </c>
      <c r="C653" s="2833"/>
      <c r="D653" s="2754" t="s">
        <v>2147</v>
      </c>
      <c r="E653" s="2755" t="s">
        <v>2147</v>
      </c>
      <c r="F653" s="2753" t="s">
        <v>2147</v>
      </c>
      <c r="G653" s="2754" t="s">
        <v>2147</v>
      </c>
      <c r="H653" s="2756" t="s">
        <v>2147</v>
      </c>
      <c r="I653" s="2753" t="s">
        <v>2147</v>
      </c>
      <c r="J653" s="2754" t="s">
        <v>2147</v>
      </c>
    </row>
    <row r="654" spans="2:10" ht="18" hidden="1" customHeight="1" outlineLevel="2" x14ac:dyDescent="0.2">
      <c r="B654" s="2834" t="s">
        <v>2147</v>
      </c>
      <c r="C654" s="2835" t="s">
        <v>2147</v>
      </c>
      <c r="D654" s="2757" t="s">
        <v>2147</v>
      </c>
      <c r="E654" s="2755" t="s">
        <v>2147</v>
      </c>
      <c r="F654" s="2753" t="s">
        <v>2147</v>
      </c>
      <c r="G654" s="2754" t="s">
        <v>2147</v>
      </c>
      <c r="H654" s="2794" t="s">
        <v>2147</v>
      </c>
      <c r="I654" s="2758" t="s">
        <v>2147</v>
      </c>
      <c r="J654" s="2759" t="s">
        <v>2147</v>
      </c>
    </row>
    <row r="655" spans="2:10" ht="18" hidden="1" customHeight="1" outlineLevel="2" x14ac:dyDescent="0.2">
      <c r="B655" s="2827" t="s">
        <v>1162</v>
      </c>
      <c r="C655" s="2828"/>
      <c r="D655" s="2797" t="s">
        <v>2146</v>
      </c>
      <c r="E655" s="2755" t="s">
        <v>2147</v>
      </c>
      <c r="F655" s="2798" t="s">
        <v>2147</v>
      </c>
      <c r="G655" s="2790" t="s">
        <v>2147</v>
      </c>
      <c r="H655" s="2791" t="s">
        <v>2146</v>
      </c>
      <c r="I655" s="2753" t="s">
        <v>2146</v>
      </c>
      <c r="J655" s="2754" t="s">
        <v>2146</v>
      </c>
    </row>
    <row r="656" spans="2:10" ht="18" hidden="1" customHeight="1" outlineLevel="2" x14ac:dyDescent="0.2">
      <c r="B656" s="2829" t="s">
        <v>200</v>
      </c>
      <c r="C656" s="2833"/>
      <c r="D656" s="2766"/>
      <c r="E656" s="2766"/>
      <c r="F656" s="2766"/>
      <c r="G656" s="2766"/>
      <c r="H656" s="2766"/>
      <c r="I656" s="2766"/>
      <c r="J656" s="2779"/>
    </row>
    <row r="657" spans="2:10" ht="18" hidden="1" customHeight="1" outlineLevel="2" x14ac:dyDescent="0.2">
      <c r="B657" s="2830" t="s">
        <v>1163</v>
      </c>
      <c r="C657" s="2835" t="s">
        <v>278</v>
      </c>
      <c r="D657" s="2757" t="s">
        <v>2146</v>
      </c>
      <c r="E657" s="2755" t="s">
        <v>2147</v>
      </c>
      <c r="F657" s="2753" t="s">
        <v>2147</v>
      </c>
      <c r="G657" s="2754" t="s">
        <v>2147</v>
      </c>
      <c r="H657" s="2765" t="s">
        <v>2146</v>
      </c>
      <c r="I657" s="2758" t="s">
        <v>2146</v>
      </c>
      <c r="J657" s="2759" t="s">
        <v>2146</v>
      </c>
    </row>
    <row r="658" spans="2:10" ht="18" hidden="1" customHeight="1" outlineLevel="2" x14ac:dyDescent="0.2">
      <c r="B658" s="2830" t="s">
        <v>1164</v>
      </c>
      <c r="C658" s="2828"/>
      <c r="D658" s="2754" t="s">
        <v>2147</v>
      </c>
      <c r="E658" s="2755" t="s">
        <v>2147</v>
      </c>
      <c r="F658" s="2753" t="s">
        <v>2147</v>
      </c>
      <c r="G658" s="2754" t="s">
        <v>2147</v>
      </c>
      <c r="H658" s="2756" t="s">
        <v>2147</v>
      </c>
      <c r="I658" s="2753" t="s">
        <v>2147</v>
      </c>
      <c r="J658" s="2754" t="s">
        <v>2147</v>
      </c>
    </row>
    <row r="659" spans="2:10" ht="18" hidden="1" customHeight="1" outlineLevel="2" x14ac:dyDescent="0.2">
      <c r="B659" s="2834" t="s">
        <v>2147</v>
      </c>
      <c r="C659" s="2835" t="s">
        <v>2147</v>
      </c>
      <c r="D659" s="2757" t="s">
        <v>2147</v>
      </c>
      <c r="E659" s="2755" t="s">
        <v>2147</v>
      </c>
      <c r="F659" s="2753" t="s">
        <v>2147</v>
      </c>
      <c r="G659" s="2754" t="s">
        <v>2147</v>
      </c>
      <c r="H659" s="2794" t="s">
        <v>2147</v>
      </c>
      <c r="I659" s="2758" t="s">
        <v>2147</v>
      </c>
      <c r="J659" s="2759" t="s">
        <v>2147</v>
      </c>
    </row>
    <row r="660" spans="2:10" ht="18" hidden="1" customHeight="1" outlineLevel="1" collapsed="1" x14ac:dyDescent="0.2">
      <c r="B660" s="2836" t="s">
        <v>1217</v>
      </c>
      <c r="C660" s="2837"/>
      <c r="D660" s="2808"/>
      <c r="E660" s="2809"/>
      <c r="F660" s="2810"/>
      <c r="G660" s="2811"/>
      <c r="H660" s="2819" t="s">
        <v>2146</v>
      </c>
      <c r="I660" s="2815" t="s">
        <v>2146</v>
      </c>
      <c r="J660" s="2816" t="s">
        <v>2146</v>
      </c>
    </row>
    <row r="661" spans="2:10" ht="18" hidden="1" customHeight="1" outlineLevel="2" x14ac:dyDescent="0.2">
      <c r="B661" s="2827" t="s">
        <v>1158</v>
      </c>
      <c r="C661" s="2828"/>
      <c r="D661" s="2790" t="s">
        <v>2146</v>
      </c>
      <c r="E661" s="2820" t="s">
        <v>2147</v>
      </c>
      <c r="F661" s="2798" t="s">
        <v>2147</v>
      </c>
      <c r="G661" s="2790" t="s">
        <v>2147</v>
      </c>
      <c r="H661" s="2791" t="s">
        <v>2146</v>
      </c>
      <c r="I661" s="2753" t="s">
        <v>2146</v>
      </c>
      <c r="J661" s="2754" t="s">
        <v>2146</v>
      </c>
    </row>
    <row r="662" spans="2:10" ht="18" hidden="1" customHeight="1" outlineLevel="2" x14ac:dyDescent="0.2">
      <c r="B662" s="2829" t="s">
        <v>200</v>
      </c>
      <c r="C662" s="2833"/>
      <c r="D662" s="2766"/>
      <c r="E662" s="2766"/>
      <c r="F662" s="2766"/>
      <c r="G662" s="2766"/>
      <c r="H662" s="2766"/>
      <c r="I662" s="2766"/>
      <c r="J662" s="2779"/>
    </row>
    <row r="663" spans="2:10" ht="18" hidden="1" customHeight="1" outlineLevel="2" x14ac:dyDescent="0.2">
      <c r="B663" s="2830" t="s">
        <v>1159</v>
      </c>
      <c r="C663" s="2831" t="s">
        <v>278</v>
      </c>
      <c r="D663" s="2793" t="s">
        <v>2146</v>
      </c>
      <c r="E663" s="2755" t="s">
        <v>2147</v>
      </c>
      <c r="F663" s="2798" t="s">
        <v>2147</v>
      </c>
      <c r="G663" s="2790" t="s">
        <v>2147</v>
      </c>
      <c r="H663" s="2794" t="s">
        <v>2146</v>
      </c>
      <c r="I663" s="2795" t="s">
        <v>2146</v>
      </c>
      <c r="J663" s="2796" t="s">
        <v>2146</v>
      </c>
    </row>
    <row r="664" spans="2:10" ht="18" hidden="1" customHeight="1" outlineLevel="2" x14ac:dyDescent="0.2">
      <c r="B664" s="2830" t="s">
        <v>1160</v>
      </c>
      <c r="C664" s="2832" t="s">
        <v>278</v>
      </c>
      <c r="D664" s="2793" t="s">
        <v>2146</v>
      </c>
      <c r="E664" s="2755" t="s">
        <v>2147</v>
      </c>
      <c r="F664" s="2798" t="s">
        <v>2147</v>
      </c>
      <c r="G664" s="2790" t="s">
        <v>2147</v>
      </c>
      <c r="H664" s="2794" t="s">
        <v>2146</v>
      </c>
      <c r="I664" s="2795" t="s">
        <v>2146</v>
      </c>
      <c r="J664" s="2796" t="s">
        <v>2146</v>
      </c>
    </row>
    <row r="665" spans="2:10" ht="18" hidden="1" customHeight="1" outlineLevel="2" x14ac:dyDescent="0.2">
      <c r="B665" s="2830" t="s">
        <v>1161</v>
      </c>
      <c r="C665" s="2833"/>
      <c r="D665" s="2754" t="s">
        <v>2147</v>
      </c>
      <c r="E665" s="2755" t="s">
        <v>2147</v>
      </c>
      <c r="F665" s="2753" t="s">
        <v>2147</v>
      </c>
      <c r="G665" s="2754" t="s">
        <v>2147</v>
      </c>
      <c r="H665" s="2756" t="s">
        <v>2147</v>
      </c>
      <c r="I665" s="2753" t="s">
        <v>2147</v>
      </c>
      <c r="J665" s="2754" t="s">
        <v>2147</v>
      </c>
    </row>
    <row r="666" spans="2:10" ht="18" hidden="1" customHeight="1" outlineLevel="2" x14ac:dyDescent="0.2">
      <c r="B666" s="2834" t="s">
        <v>2147</v>
      </c>
      <c r="C666" s="2835" t="s">
        <v>2147</v>
      </c>
      <c r="D666" s="2757" t="s">
        <v>2147</v>
      </c>
      <c r="E666" s="2755" t="s">
        <v>2147</v>
      </c>
      <c r="F666" s="2753" t="s">
        <v>2147</v>
      </c>
      <c r="G666" s="2754" t="s">
        <v>2147</v>
      </c>
      <c r="H666" s="2794" t="s">
        <v>2147</v>
      </c>
      <c r="I666" s="2758" t="s">
        <v>2147</v>
      </c>
      <c r="J666" s="2759" t="s">
        <v>2147</v>
      </c>
    </row>
    <row r="667" spans="2:10" ht="18" hidden="1" customHeight="1" outlineLevel="2" x14ac:dyDescent="0.2">
      <c r="B667" s="2827" t="s">
        <v>1162</v>
      </c>
      <c r="C667" s="2828"/>
      <c r="D667" s="2797" t="s">
        <v>2146</v>
      </c>
      <c r="E667" s="2755" t="s">
        <v>2147</v>
      </c>
      <c r="F667" s="2798" t="s">
        <v>2147</v>
      </c>
      <c r="G667" s="2790" t="s">
        <v>2147</v>
      </c>
      <c r="H667" s="2791" t="s">
        <v>2146</v>
      </c>
      <c r="I667" s="2753" t="s">
        <v>2146</v>
      </c>
      <c r="J667" s="2754" t="s">
        <v>2146</v>
      </c>
    </row>
    <row r="668" spans="2:10" ht="18" hidden="1" customHeight="1" outlineLevel="2" x14ac:dyDescent="0.2">
      <c r="B668" s="2829" t="s">
        <v>200</v>
      </c>
      <c r="C668" s="2833"/>
      <c r="D668" s="2766"/>
      <c r="E668" s="2766"/>
      <c r="F668" s="2766"/>
      <c r="G668" s="2766"/>
      <c r="H668" s="2766"/>
      <c r="I668" s="2766"/>
      <c r="J668" s="2779"/>
    </row>
    <row r="669" spans="2:10" ht="18" hidden="1" customHeight="1" outlineLevel="2" x14ac:dyDescent="0.2">
      <c r="B669" s="2830" t="s">
        <v>1163</v>
      </c>
      <c r="C669" s="2835" t="s">
        <v>278</v>
      </c>
      <c r="D669" s="2757" t="s">
        <v>2146</v>
      </c>
      <c r="E669" s="2755" t="s">
        <v>2147</v>
      </c>
      <c r="F669" s="2753" t="s">
        <v>2147</v>
      </c>
      <c r="G669" s="2754" t="s">
        <v>2147</v>
      </c>
      <c r="H669" s="2765" t="s">
        <v>2146</v>
      </c>
      <c r="I669" s="2758" t="s">
        <v>2146</v>
      </c>
      <c r="J669" s="2759" t="s">
        <v>2146</v>
      </c>
    </row>
    <row r="670" spans="2:10" ht="18" hidden="1" customHeight="1" outlineLevel="2" x14ac:dyDescent="0.2">
      <c r="B670" s="2830" t="s">
        <v>1164</v>
      </c>
      <c r="C670" s="2828"/>
      <c r="D670" s="2754" t="s">
        <v>2147</v>
      </c>
      <c r="E670" s="2755" t="s">
        <v>2147</v>
      </c>
      <c r="F670" s="2753" t="s">
        <v>2147</v>
      </c>
      <c r="G670" s="2754" t="s">
        <v>2147</v>
      </c>
      <c r="H670" s="2756" t="s">
        <v>2147</v>
      </c>
      <c r="I670" s="2753" t="s">
        <v>2147</v>
      </c>
      <c r="J670" s="2754" t="s">
        <v>2147</v>
      </c>
    </row>
    <row r="671" spans="2:10" ht="18" hidden="1" customHeight="1" outlineLevel="2" x14ac:dyDescent="0.2">
      <c r="B671" s="2834" t="s">
        <v>2147</v>
      </c>
      <c r="C671" s="2835" t="s">
        <v>2147</v>
      </c>
      <c r="D671" s="2757" t="s">
        <v>2147</v>
      </c>
      <c r="E671" s="2755" t="s">
        <v>2147</v>
      </c>
      <c r="F671" s="2753" t="s">
        <v>2147</v>
      </c>
      <c r="G671" s="2754" t="s">
        <v>2147</v>
      </c>
      <c r="H671" s="2794" t="s">
        <v>2147</v>
      </c>
      <c r="I671" s="2758" t="s">
        <v>2147</v>
      </c>
      <c r="J671" s="2759" t="s">
        <v>2147</v>
      </c>
    </row>
    <row r="672" spans="2:10" ht="18" hidden="1" customHeight="1" outlineLevel="1" collapsed="1" x14ac:dyDescent="0.2">
      <c r="B672" s="2836" t="s">
        <v>2241</v>
      </c>
      <c r="C672" s="2837"/>
      <c r="D672" s="2808"/>
      <c r="E672" s="2809"/>
      <c r="F672" s="2810"/>
      <c r="G672" s="2811"/>
      <c r="H672" s="2819" t="s">
        <v>2146</v>
      </c>
      <c r="I672" s="2815" t="s">
        <v>2146</v>
      </c>
      <c r="J672" s="2816" t="s">
        <v>2146</v>
      </c>
    </row>
    <row r="673" spans="2:10" ht="18" hidden="1" customHeight="1" outlineLevel="2" x14ac:dyDescent="0.2">
      <c r="B673" s="2827" t="s">
        <v>1158</v>
      </c>
      <c r="C673" s="2828"/>
      <c r="D673" s="2790" t="s">
        <v>2146</v>
      </c>
      <c r="E673" s="2820" t="s">
        <v>2147</v>
      </c>
      <c r="F673" s="2798" t="s">
        <v>2147</v>
      </c>
      <c r="G673" s="2790" t="s">
        <v>2147</v>
      </c>
      <c r="H673" s="2791" t="s">
        <v>2146</v>
      </c>
      <c r="I673" s="2753" t="s">
        <v>2146</v>
      </c>
      <c r="J673" s="2754" t="s">
        <v>2146</v>
      </c>
    </row>
    <row r="674" spans="2:10" ht="18" hidden="1" customHeight="1" outlineLevel="2" x14ac:dyDescent="0.2">
      <c r="B674" s="2829" t="s">
        <v>200</v>
      </c>
      <c r="C674" s="2833"/>
      <c r="D674" s="2766"/>
      <c r="E674" s="2766"/>
      <c r="F674" s="2766"/>
      <c r="G674" s="2766"/>
      <c r="H674" s="2766"/>
      <c r="I674" s="2766"/>
      <c r="J674" s="2779"/>
    </row>
    <row r="675" spans="2:10" ht="18" hidden="1" customHeight="1" outlineLevel="2" x14ac:dyDescent="0.2">
      <c r="B675" s="2830" t="s">
        <v>1159</v>
      </c>
      <c r="C675" s="2831" t="s">
        <v>278</v>
      </c>
      <c r="D675" s="2793" t="s">
        <v>2146</v>
      </c>
      <c r="E675" s="2755" t="s">
        <v>2147</v>
      </c>
      <c r="F675" s="2798" t="s">
        <v>2147</v>
      </c>
      <c r="G675" s="2790" t="s">
        <v>2147</v>
      </c>
      <c r="H675" s="2794" t="s">
        <v>2146</v>
      </c>
      <c r="I675" s="2795" t="s">
        <v>2146</v>
      </c>
      <c r="J675" s="2796" t="s">
        <v>2146</v>
      </c>
    </row>
    <row r="676" spans="2:10" ht="18" hidden="1" customHeight="1" outlineLevel="2" x14ac:dyDescent="0.2">
      <c r="B676" s="2830" t="s">
        <v>1160</v>
      </c>
      <c r="C676" s="2832" t="s">
        <v>278</v>
      </c>
      <c r="D676" s="2793" t="s">
        <v>2146</v>
      </c>
      <c r="E676" s="2755" t="s">
        <v>2147</v>
      </c>
      <c r="F676" s="2798" t="s">
        <v>2147</v>
      </c>
      <c r="G676" s="2790" t="s">
        <v>2147</v>
      </c>
      <c r="H676" s="2794" t="s">
        <v>2146</v>
      </c>
      <c r="I676" s="2795" t="s">
        <v>2146</v>
      </c>
      <c r="J676" s="2796" t="s">
        <v>2146</v>
      </c>
    </row>
    <row r="677" spans="2:10" ht="18" hidden="1" customHeight="1" outlineLevel="2" x14ac:dyDescent="0.2">
      <c r="B677" s="2830" t="s">
        <v>1161</v>
      </c>
      <c r="C677" s="2833"/>
      <c r="D677" s="2754" t="s">
        <v>2147</v>
      </c>
      <c r="E677" s="2755" t="s">
        <v>2147</v>
      </c>
      <c r="F677" s="2753" t="s">
        <v>2147</v>
      </c>
      <c r="G677" s="2754" t="s">
        <v>2147</v>
      </c>
      <c r="H677" s="2756" t="s">
        <v>2147</v>
      </c>
      <c r="I677" s="2753" t="s">
        <v>2147</v>
      </c>
      <c r="J677" s="2754" t="s">
        <v>2147</v>
      </c>
    </row>
    <row r="678" spans="2:10" ht="18" hidden="1" customHeight="1" outlineLevel="2" x14ac:dyDescent="0.2">
      <c r="B678" s="2834" t="s">
        <v>2147</v>
      </c>
      <c r="C678" s="2835" t="s">
        <v>2147</v>
      </c>
      <c r="D678" s="2757" t="s">
        <v>2147</v>
      </c>
      <c r="E678" s="2755" t="s">
        <v>2147</v>
      </c>
      <c r="F678" s="2753" t="s">
        <v>2147</v>
      </c>
      <c r="G678" s="2754" t="s">
        <v>2147</v>
      </c>
      <c r="H678" s="2794" t="s">
        <v>2147</v>
      </c>
      <c r="I678" s="2758" t="s">
        <v>2147</v>
      </c>
      <c r="J678" s="2759" t="s">
        <v>2147</v>
      </c>
    </row>
    <row r="679" spans="2:10" ht="18" hidden="1" customHeight="1" outlineLevel="2" x14ac:dyDescent="0.2">
      <c r="B679" s="2827" t="s">
        <v>1162</v>
      </c>
      <c r="C679" s="2828"/>
      <c r="D679" s="2797" t="s">
        <v>2146</v>
      </c>
      <c r="E679" s="2755" t="s">
        <v>2147</v>
      </c>
      <c r="F679" s="2798" t="s">
        <v>2147</v>
      </c>
      <c r="G679" s="2790" t="s">
        <v>2147</v>
      </c>
      <c r="H679" s="2791" t="s">
        <v>2146</v>
      </c>
      <c r="I679" s="2753" t="s">
        <v>2146</v>
      </c>
      <c r="J679" s="2754" t="s">
        <v>2146</v>
      </c>
    </row>
    <row r="680" spans="2:10" ht="18" hidden="1" customHeight="1" outlineLevel="2" x14ac:dyDescent="0.2">
      <c r="B680" s="2829" t="s">
        <v>200</v>
      </c>
      <c r="C680" s="2833"/>
      <c r="D680" s="2766"/>
      <c r="E680" s="2766"/>
      <c r="F680" s="2766"/>
      <c r="G680" s="2766"/>
      <c r="H680" s="2766"/>
      <c r="I680" s="2766"/>
      <c r="J680" s="2779"/>
    </row>
    <row r="681" spans="2:10" ht="18" hidden="1" customHeight="1" outlineLevel="2" x14ac:dyDescent="0.2">
      <c r="B681" s="2830" t="s">
        <v>1163</v>
      </c>
      <c r="C681" s="2835" t="s">
        <v>278</v>
      </c>
      <c r="D681" s="2757" t="s">
        <v>2146</v>
      </c>
      <c r="E681" s="2755" t="s">
        <v>2147</v>
      </c>
      <c r="F681" s="2753" t="s">
        <v>2147</v>
      </c>
      <c r="G681" s="2754" t="s">
        <v>2147</v>
      </c>
      <c r="H681" s="2765" t="s">
        <v>2146</v>
      </c>
      <c r="I681" s="2758" t="s">
        <v>2146</v>
      </c>
      <c r="J681" s="2759" t="s">
        <v>2146</v>
      </c>
    </row>
    <row r="682" spans="2:10" ht="18" hidden="1" customHeight="1" outlineLevel="2" x14ac:dyDescent="0.2">
      <c r="B682" s="2830" t="s">
        <v>1164</v>
      </c>
      <c r="C682" s="2828"/>
      <c r="D682" s="2754" t="s">
        <v>2147</v>
      </c>
      <c r="E682" s="2755" t="s">
        <v>2147</v>
      </c>
      <c r="F682" s="2753" t="s">
        <v>2147</v>
      </c>
      <c r="G682" s="2754" t="s">
        <v>2147</v>
      </c>
      <c r="H682" s="2756" t="s">
        <v>2147</v>
      </c>
      <c r="I682" s="2753" t="s">
        <v>2147</v>
      </c>
      <c r="J682" s="2754" t="s">
        <v>2147</v>
      </c>
    </row>
    <row r="683" spans="2:10" ht="18" hidden="1" customHeight="1" outlineLevel="2" x14ac:dyDescent="0.2">
      <c r="B683" s="2834" t="s">
        <v>2147</v>
      </c>
      <c r="C683" s="2835" t="s">
        <v>2147</v>
      </c>
      <c r="D683" s="2757" t="s">
        <v>2147</v>
      </c>
      <c r="E683" s="2755" t="s">
        <v>2147</v>
      </c>
      <c r="F683" s="2753" t="s">
        <v>2147</v>
      </c>
      <c r="G683" s="2754" t="s">
        <v>2147</v>
      </c>
      <c r="H683" s="2794" t="s">
        <v>2147</v>
      </c>
      <c r="I683" s="2758" t="s">
        <v>2147</v>
      </c>
      <c r="J683" s="2759" t="s">
        <v>2147</v>
      </c>
    </row>
    <row r="684" spans="2:10" ht="18" hidden="1" customHeight="1" outlineLevel="1" collapsed="1" x14ac:dyDescent="0.2">
      <c r="B684" s="2836" t="s">
        <v>2242</v>
      </c>
      <c r="C684" s="2837"/>
      <c r="D684" s="2808"/>
      <c r="E684" s="2809"/>
      <c r="F684" s="2810"/>
      <c r="G684" s="2811"/>
      <c r="H684" s="2819" t="s">
        <v>2146</v>
      </c>
      <c r="I684" s="2815" t="s">
        <v>2146</v>
      </c>
      <c r="J684" s="2816" t="s">
        <v>2146</v>
      </c>
    </row>
    <row r="685" spans="2:10" ht="18" hidden="1" customHeight="1" outlineLevel="2" x14ac:dyDescent="0.2">
      <c r="B685" s="2827" t="s">
        <v>1158</v>
      </c>
      <c r="C685" s="2828"/>
      <c r="D685" s="2790" t="s">
        <v>2146</v>
      </c>
      <c r="E685" s="2820" t="s">
        <v>2147</v>
      </c>
      <c r="F685" s="2798" t="s">
        <v>2147</v>
      </c>
      <c r="G685" s="2790" t="s">
        <v>2147</v>
      </c>
      <c r="H685" s="2791" t="s">
        <v>2146</v>
      </c>
      <c r="I685" s="2753" t="s">
        <v>2146</v>
      </c>
      <c r="J685" s="2754" t="s">
        <v>2146</v>
      </c>
    </row>
    <row r="686" spans="2:10" ht="18" hidden="1" customHeight="1" outlineLevel="2" x14ac:dyDescent="0.2">
      <c r="B686" s="2829" t="s">
        <v>200</v>
      </c>
      <c r="C686" s="2833"/>
      <c r="D686" s="2766"/>
      <c r="E686" s="2766"/>
      <c r="F686" s="2766"/>
      <c r="G686" s="2766"/>
      <c r="H686" s="2766"/>
      <c r="I686" s="2766"/>
      <c r="J686" s="2779"/>
    </row>
    <row r="687" spans="2:10" ht="18" hidden="1" customHeight="1" outlineLevel="2" x14ac:dyDescent="0.2">
      <c r="B687" s="2830" t="s">
        <v>1159</v>
      </c>
      <c r="C687" s="2831" t="s">
        <v>278</v>
      </c>
      <c r="D687" s="2793" t="s">
        <v>2146</v>
      </c>
      <c r="E687" s="2755" t="s">
        <v>2147</v>
      </c>
      <c r="F687" s="2798" t="s">
        <v>2147</v>
      </c>
      <c r="G687" s="2790" t="s">
        <v>2147</v>
      </c>
      <c r="H687" s="2794" t="s">
        <v>2146</v>
      </c>
      <c r="I687" s="2795" t="s">
        <v>2146</v>
      </c>
      <c r="J687" s="2796" t="s">
        <v>2146</v>
      </c>
    </row>
    <row r="688" spans="2:10" ht="18" hidden="1" customHeight="1" outlineLevel="2" x14ac:dyDescent="0.2">
      <c r="B688" s="2830" t="s">
        <v>1160</v>
      </c>
      <c r="C688" s="2832" t="s">
        <v>278</v>
      </c>
      <c r="D688" s="2793" t="s">
        <v>2146</v>
      </c>
      <c r="E688" s="2755" t="s">
        <v>2147</v>
      </c>
      <c r="F688" s="2798" t="s">
        <v>2147</v>
      </c>
      <c r="G688" s="2790" t="s">
        <v>2147</v>
      </c>
      <c r="H688" s="2794" t="s">
        <v>2146</v>
      </c>
      <c r="I688" s="2795" t="s">
        <v>2146</v>
      </c>
      <c r="J688" s="2796" t="s">
        <v>2146</v>
      </c>
    </row>
    <row r="689" spans="2:10" ht="18" hidden="1" customHeight="1" outlineLevel="2" x14ac:dyDescent="0.2">
      <c r="B689" s="2830" t="s">
        <v>1161</v>
      </c>
      <c r="C689" s="2833"/>
      <c r="D689" s="2754" t="s">
        <v>2147</v>
      </c>
      <c r="E689" s="2755" t="s">
        <v>2147</v>
      </c>
      <c r="F689" s="2753" t="s">
        <v>2147</v>
      </c>
      <c r="G689" s="2754" t="s">
        <v>2147</v>
      </c>
      <c r="H689" s="2756" t="s">
        <v>2147</v>
      </c>
      <c r="I689" s="2753" t="s">
        <v>2147</v>
      </c>
      <c r="J689" s="2754" t="s">
        <v>2147</v>
      </c>
    </row>
    <row r="690" spans="2:10" ht="18" hidden="1" customHeight="1" outlineLevel="2" x14ac:dyDescent="0.2">
      <c r="B690" s="2834" t="s">
        <v>2147</v>
      </c>
      <c r="C690" s="2835" t="s">
        <v>2147</v>
      </c>
      <c r="D690" s="2757" t="s">
        <v>2147</v>
      </c>
      <c r="E690" s="2755" t="s">
        <v>2147</v>
      </c>
      <c r="F690" s="2753" t="s">
        <v>2147</v>
      </c>
      <c r="G690" s="2754" t="s">
        <v>2147</v>
      </c>
      <c r="H690" s="2794" t="s">
        <v>2147</v>
      </c>
      <c r="I690" s="2758" t="s">
        <v>2147</v>
      </c>
      <c r="J690" s="2759" t="s">
        <v>2147</v>
      </c>
    </row>
    <row r="691" spans="2:10" ht="18" hidden="1" customHeight="1" outlineLevel="2" x14ac:dyDescent="0.2">
      <c r="B691" s="2827" t="s">
        <v>1162</v>
      </c>
      <c r="C691" s="2828"/>
      <c r="D691" s="2797" t="s">
        <v>2146</v>
      </c>
      <c r="E691" s="2755" t="s">
        <v>2147</v>
      </c>
      <c r="F691" s="2798" t="s">
        <v>2147</v>
      </c>
      <c r="G691" s="2790" t="s">
        <v>2147</v>
      </c>
      <c r="H691" s="2791" t="s">
        <v>2146</v>
      </c>
      <c r="I691" s="2753" t="s">
        <v>2146</v>
      </c>
      <c r="J691" s="2754" t="s">
        <v>2146</v>
      </c>
    </row>
    <row r="692" spans="2:10" ht="18" hidden="1" customHeight="1" outlineLevel="2" x14ac:dyDescent="0.2">
      <c r="B692" s="2829" t="s">
        <v>200</v>
      </c>
      <c r="C692" s="2833"/>
      <c r="D692" s="2766"/>
      <c r="E692" s="2766"/>
      <c r="F692" s="2766"/>
      <c r="G692" s="2766"/>
      <c r="H692" s="2766"/>
      <c r="I692" s="2766"/>
      <c r="J692" s="2779"/>
    </row>
    <row r="693" spans="2:10" ht="18" hidden="1" customHeight="1" outlineLevel="2" x14ac:dyDescent="0.2">
      <c r="B693" s="2830" t="s">
        <v>1163</v>
      </c>
      <c r="C693" s="2835" t="s">
        <v>278</v>
      </c>
      <c r="D693" s="2757" t="s">
        <v>2146</v>
      </c>
      <c r="E693" s="2755" t="s">
        <v>2147</v>
      </c>
      <c r="F693" s="2753" t="s">
        <v>2147</v>
      </c>
      <c r="G693" s="2754" t="s">
        <v>2147</v>
      </c>
      <c r="H693" s="2765" t="s">
        <v>2146</v>
      </c>
      <c r="I693" s="2758" t="s">
        <v>2146</v>
      </c>
      <c r="J693" s="2759" t="s">
        <v>2146</v>
      </c>
    </row>
    <row r="694" spans="2:10" ht="18" hidden="1" customHeight="1" outlineLevel="2" x14ac:dyDescent="0.2">
      <c r="B694" s="2830" t="s">
        <v>1164</v>
      </c>
      <c r="C694" s="2828"/>
      <c r="D694" s="2754" t="s">
        <v>2147</v>
      </c>
      <c r="E694" s="2755" t="s">
        <v>2147</v>
      </c>
      <c r="F694" s="2753" t="s">
        <v>2147</v>
      </c>
      <c r="G694" s="2754" t="s">
        <v>2147</v>
      </c>
      <c r="H694" s="2756" t="s">
        <v>2147</v>
      </c>
      <c r="I694" s="2753" t="s">
        <v>2147</v>
      </c>
      <c r="J694" s="2754" t="s">
        <v>2147</v>
      </c>
    </row>
    <row r="695" spans="2:10" ht="18" hidden="1" customHeight="1" outlineLevel="2" x14ac:dyDescent="0.2">
      <c r="B695" s="2834" t="s">
        <v>2147</v>
      </c>
      <c r="C695" s="2835" t="s">
        <v>2147</v>
      </c>
      <c r="D695" s="2757" t="s">
        <v>2147</v>
      </c>
      <c r="E695" s="2755" t="s">
        <v>2147</v>
      </c>
      <c r="F695" s="2753" t="s">
        <v>2147</v>
      </c>
      <c r="G695" s="2754" t="s">
        <v>2147</v>
      </c>
      <c r="H695" s="2794" t="s">
        <v>2147</v>
      </c>
      <c r="I695" s="2758" t="s">
        <v>2147</v>
      </c>
      <c r="J695" s="2759" t="s">
        <v>2147</v>
      </c>
    </row>
    <row r="696" spans="2:10" ht="18" hidden="1" customHeight="1" outlineLevel="1" collapsed="1" thickBot="1" x14ac:dyDescent="0.25">
      <c r="B696" s="2836" t="s">
        <v>2243</v>
      </c>
      <c r="C696" s="2837"/>
      <c r="D696" s="2808"/>
      <c r="E696" s="2809"/>
      <c r="F696" s="2810"/>
      <c r="G696" s="2811"/>
      <c r="H696" s="2819" t="s">
        <v>2146</v>
      </c>
      <c r="I696" s="2815" t="s">
        <v>2146</v>
      </c>
      <c r="J696" s="2816" t="s">
        <v>2146</v>
      </c>
    </row>
    <row r="697" spans="2:10" ht="18" hidden="1" customHeight="1" outlineLevel="2" x14ac:dyDescent="0.2">
      <c r="B697" s="2827" t="s">
        <v>1158</v>
      </c>
      <c r="C697" s="2828"/>
      <c r="D697" s="2790" t="s">
        <v>2146</v>
      </c>
      <c r="E697" s="2820" t="s">
        <v>2147</v>
      </c>
      <c r="F697" s="2798" t="s">
        <v>2147</v>
      </c>
      <c r="G697" s="2790" t="s">
        <v>2147</v>
      </c>
      <c r="H697" s="2791" t="s">
        <v>2146</v>
      </c>
      <c r="I697" s="2753" t="s">
        <v>2146</v>
      </c>
      <c r="J697" s="2754" t="s">
        <v>2146</v>
      </c>
    </row>
    <row r="698" spans="2:10" ht="18" hidden="1" customHeight="1" outlineLevel="2" x14ac:dyDescent="0.2">
      <c r="B698" s="2829" t="s">
        <v>200</v>
      </c>
      <c r="C698" s="2833"/>
      <c r="D698" s="2766"/>
      <c r="E698" s="2766"/>
      <c r="F698" s="2766"/>
      <c r="G698" s="2766"/>
      <c r="H698" s="2766"/>
      <c r="I698" s="2766"/>
      <c r="J698" s="2779"/>
    </row>
    <row r="699" spans="2:10" ht="18" hidden="1" customHeight="1" outlineLevel="2" x14ac:dyDescent="0.2">
      <c r="B699" s="2830" t="s">
        <v>1159</v>
      </c>
      <c r="C699" s="2831" t="s">
        <v>278</v>
      </c>
      <c r="D699" s="2793" t="s">
        <v>2146</v>
      </c>
      <c r="E699" s="2755" t="s">
        <v>2147</v>
      </c>
      <c r="F699" s="2798" t="s">
        <v>2147</v>
      </c>
      <c r="G699" s="2790" t="s">
        <v>2147</v>
      </c>
      <c r="H699" s="2794" t="s">
        <v>2146</v>
      </c>
      <c r="I699" s="2795" t="s">
        <v>2146</v>
      </c>
      <c r="J699" s="2796" t="s">
        <v>2146</v>
      </c>
    </row>
    <row r="700" spans="2:10" ht="18" hidden="1" customHeight="1" outlineLevel="2" x14ac:dyDescent="0.2">
      <c r="B700" s="2830" t="s">
        <v>1160</v>
      </c>
      <c r="C700" s="2832" t="s">
        <v>278</v>
      </c>
      <c r="D700" s="2793" t="s">
        <v>2146</v>
      </c>
      <c r="E700" s="2755" t="s">
        <v>2147</v>
      </c>
      <c r="F700" s="2798" t="s">
        <v>2147</v>
      </c>
      <c r="G700" s="2790" t="s">
        <v>2147</v>
      </c>
      <c r="H700" s="2794" t="s">
        <v>2146</v>
      </c>
      <c r="I700" s="2795" t="s">
        <v>2146</v>
      </c>
      <c r="J700" s="2796" t="s">
        <v>2146</v>
      </c>
    </row>
    <row r="701" spans="2:10" ht="18" hidden="1" customHeight="1" outlineLevel="2" x14ac:dyDescent="0.2">
      <c r="B701" s="2830" t="s">
        <v>1161</v>
      </c>
      <c r="C701" s="2833"/>
      <c r="D701" s="2754" t="s">
        <v>2147</v>
      </c>
      <c r="E701" s="2755" t="s">
        <v>2147</v>
      </c>
      <c r="F701" s="2753" t="s">
        <v>2147</v>
      </c>
      <c r="G701" s="2754" t="s">
        <v>2147</v>
      </c>
      <c r="H701" s="2756" t="s">
        <v>2147</v>
      </c>
      <c r="I701" s="2753" t="s">
        <v>2147</v>
      </c>
      <c r="J701" s="2754" t="s">
        <v>2147</v>
      </c>
    </row>
    <row r="702" spans="2:10" ht="18" hidden="1" customHeight="1" outlineLevel="2" x14ac:dyDescent="0.2">
      <c r="B702" s="2834" t="s">
        <v>2147</v>
      </c>
      <c r="C702" s="2835" t="s">
        <v>2147</v>
      </c>
      <c r="D702" s="2757" t="s">
        <v>2147</v>
      </c>
      <c r="E702" s="2755" t="s">
        <v>2147</v>
      </c>
      <c r="F702" s="2753" t="s">
        <v>2147</v>
      </c>
      <c r="G702" s="2754" t="s">
        <v>2147</v>
      </c>
      <c r="H702" s="2794" t="s">
        <v>2147</v>
      </c>
      <c r="I702" s="2758" t="s">
        <v>2147</v>
      </c>
      <c r="J702" s="2759" t="s">
        <v>2147</v>
      </c>
    </row>
    <row r="703" spans="2:10" ht="18" hidden="1" customHeight="1" outlineLevel="2" x14ac:dyDescent="0.2">
      <c r="B703" s="2827" t="s">
        <v>1162</v>
      </c>
      <c r="C703" s="2828"/>
      <c r="D703" s="2797" t="s">
        <v>2146</v>
      </c>
      <c r="E703" s="2755" t="s">
        <v>2147</v>
      </c>
      <c r="F703" s="2798" t="s">
        <v>2147</v>
      </c>
      <c r="G703" s="2790" t="s">
        <v>2147</v>
      </c>
      <c r="H703" s="2791" t="s">
        <v>2146</v>
      </c>
      <c r="I703" s="2753" t="s">
        <v>2146</v>
      </c>
      <c r="J703" s="2754" t="s">
        <v>2146</v>
      </c>
    </row>
    <row r="704" spans="2:10" ht="18" hidden="1" customHeight="1" outlineLevel="2" x14ac:dyDescent="0.2">
      <c r="B704" s="2829" t="s">
        <v>200</v>
      </c>
      <c r="C704" s="2833"/>
      <c r="D704" s="2766"/>
      <c r="E704" s="2766"/>
      <c r="F704" s="2766"/>
      <c r="G704" s="2766"/>
      <c r="H704" s="2766"/>
      <c r="I704" s="2766"/>
      <c r="J704" s="2779"/>
    </row>
    <row r="705" spans="2:10" ht="18" hidden="1" customHeight="1" outlineLevel="2" x14ac:dyDescent="0.2">
      <c r="B705" s="2830" t="s">
        <v>1163</v>
      </c>
      <c r="C705" s="2835" t="s">
        <v>278</v>
      </c>
      <c r="D705" s="2757" t="s">
        <v>2146</v>
      </c>
      <c r="E705" s="2755" t="s">
        <v>2147</v>
      </c>
      <c r="F705" s="2753" t="s">
        <v>2147</v>
      </c>
      <c r="G705" s="2754" t="s">
        <v>2147</v>
      </c>
      <c r="H705" s="2765" t="s">
        <v>2146</v>
      </c>
      <c r="I705" s="2758" t="s">
        <v>2146</v>
      </c>
      <c r="J705" s="2759" t="s">
        <v>2146</v>
      </c>
    </row>
    <row r="706" spans="2:10" ht="18" hidden="1" customHeight="1" outlineLevel="2" x14ac:dyDescent="0.2">
      <c r="B706" s="2830" t="s">
        <v>1164</v>
      </c>
      <c r="C706" s="2828"/>
      <c r="D706" s="2754" t="s">
        <v>2147</v>
      </c>
      <c r="E706" s="2755" t="s">
        <v>2147</v>
      </c>
      <c r="F706" s="2753" t="s">
        <v>2147</v>
      </c>
      <c r="G706" s="2754" t="s">
        <v>2147</v>
      </c>
      <c r="H706" s="2756" t="s">
        <v>2147</v>
      </c>
      <c r="I706" s="2753" t="s">
        <v>2147</v>
      </c>
      <c r="J706" s="2754" t="s">
        <v>2147</v>
      </c>
    </row>
    <row r="707" spans="2:10" ht="18" hidden="1" customHeight="1" outlineLevel="2" thickBot="1" x14ac:dyDescent="0.25">
      <c r="B707" s="2834" t="s">
        <v>2147</v>
      </c>
      <c r="C707" s="2835" t="s">
        <v>2147</v>
      </c>
      <c r="D707" s="2757" t="s">
        <v>2147</v>
      </c>
      <c r="E707" s="2755" t="s">
        <v>2147</v>
      </c>
      <c r="F707" s="2753" t="s">
        <v>2147</v>
      </c>
      <c r="G707" s="2754" t="s">
        <v>2147</v>
      </c>
      <c r="H707" s="2794" t="s">
        <v>2147</v>
      </c>
      <c r="I707" s="2758" t="s">
        <v>2147</v>
      </c>
      <c r="J707" s="2759" t="s">
        <v>2147</v>
      </c>
    </row>
    <row r="708" spans="2:10" ht="18" customHeight="1" collapsed="1" thickBot="1" x14ac:dyDescent="0.25">
      <c r="B708" s="1440" t="s">
        <v>1981</v>
      </c>
      <c r="C708" s="2840"/>
      <c r="D708" s="2804"/>
      <c r="E708" s="2805"/>
      <c r="F708" s="2812"/>
      <c r="G708" s="2804"/>
      <c r="H708" s="2818" t="s">
        <v>2146</v>
      </c>
      <c r="I708" s="2813" t="s">
        <v>2146</v>
      </c>
      <c r="J708" s="2814" t="s">
        <v>2146</v>
      </c>
    </row>
    <row r="709" spans="2:10" ht="18" hidden="1" customHeight="1" outlineLevel="1" x14ac:dyDescent="0.2">
      <c r="B709" s="2834" t="s">
        <v>2147</v>
      </c>
      <c r="C709" s="2826"/>
      <c r="D709" s="2787"/>
      <c r="E709" s="2788"/>
      <c r="F709" s="2789"/>
      <c r="G709" s="2787"/>
      <c r="H709" s="2819" t="s">
        <v>2146</v>
      </c>
      <c r="I709" s="2815" t="s">
        <v>2146</v>
      </c>
      <c r="J709" s="2816" t="s">
        <v>2146</v>
      </c>
    </row>
    <row r="710" spans="2:10" ht="18" hidden="1" customHeight="1" outlineLevel="1" x14ac:dyDescent="0.2">
      <c r="B710" s="2827" t="s">
        <v>1158</v>
      </c>
      <c r="C710" s="2841"/>
      <c r="D710" s="2775" t="s">
        <v>2146</v>
      </c>
      <c r="E710" s="2776" t="s">
        <v>2147</v>
      </c>
      <c r="F710" s="2777" t="s">
        <v>2147</v>
      </c>
      <c r="G710" s="2775" t="s">
        <v>2147</v>
      </c>
      <c r="H710" s="2778" t="s">
        <v>2146</v>
      </c>
      <c r="I710" s="2777" t="s">
        <v>2146</v>
      </c>
      <c r="J710" s="2775" t="s">
        <v>2146</v>
      </c>
    </row>
    <row r="711" spans="2:10" ht="18" hidden="1" customHeight="1" outlineLevel="1" x14ac:dyDescent="0.2">
      <c r="B711" s="2829" t="s">
        <v>200</v>
      </c>
      <c r="C711" s="2833"/>
      <c r="D711" s="2766"/>
      <c r="E711" s="2766"/>
      <c r="F711" s="2766"/>
      <c r="G711" s="2766"/>
      <c r="H711" s="2766"/>
      <c r="I711" s="2766"/>
      <c r="J711" s="2779"/>
    </row>
    <row r="712" spans="2:10" ht="18" hidden="1" customHeight="1" outlineLevel="1" x14ac:dyDescent="0.2">
      <c r="B712" s="2830" t="s">
        <v>1159</v>
      </c>
      <c r="C712" s="2835" t="s">
        <v>278</v>
      </c>
      <c r="D712" s="2757" t="s">
        <v>2146</v>
      </c>
      <c r="E712" s="2755" t="s">
        <v>2147</v>
      </c>
      <c r="F712" s="2777" t="s">
        <v>2147</v>
      </c>
      <c r="G712" s="2775" t="s">
        <v>2147</v>
      </c>
      <c r="H712" s="2780" t="s">
        <v>2146</v>
      </c>
      <c r="I712" s="2781" t="s">
        <v>2146</v>
      </c>
      <c r="J712" s="2757" t="s">
        <v>2146</v>
      </c>
    </row>
    <row r="713" spans="2:10" ht="18" hidden="1" customHeight="1" outlineLevel="1" x14ac:dyDescent="0.2">
      <c r="B713" s="2830" t="s">
        <v>1160</v>
      </c>
      <c r="C713" s="2835" t="s">
        <v>278</v>
      </c>
      <c r="D713" s="2757" t="s">
        <v>2146</v>
      </c>
      <c r="E713" s="2755" t="s">
        <v>2147</v>
      </c>
      <c r="F713" s="2777" t="s">
        <v>2147</v>
      </c>
      <c r="G713" s="2775" t="s">
        <v>2147</v>
      </c>
      <c r="H713" s="2780" t="s">
        <v>2146</v>
      </c>
      <c r="I713" s="2781" t="s">
        <v>2146</v>
      </c>
      <c r="J713" s="2757" t="s">
        <v>2146</v>
      </c>
    </row>
    <row r="714" spans="2:10" ht="18" hidden="1" customHeight="1" outlineLevel="1" x14ac:dyDescent="0.2">
      <c r="B714" s="2830" t="s">
        <v>1161</v>
      </c>
      <c r="C714" s="2833"/>
      <c r="D714" s="2754" t="s">
        <v>2147</v>
      </c>
      <c r="E714" s="2755" t="s">
        <v>2147</v>
      </c>
      <c r="F714" s="2753" t="s">
        <v>2147</v>
      </c>
      <c r="G714" s="2754" t="s">
        <v>2147</v>
      </c>
      <c r="H714" s="2756" t="s">
        <v>2147</v>
      </c>
      <c r="I714" s="2753" t="s">
        <v>2147</v>
      </c>
      <c r="J714" s="2754" t="s">
        <v>2147</v>
      </c>
    </row>
    <row r="715" spans="2:10" ht="18" hidden="1" customHeight="1" outlineLevel="1" x14ac:dyDescent="0.2">
      <c r="B715" s="2834" t="s">
        <v>2147</v>
      </c>
      <c r="C715" s="2835" t="s">
        <v>2147</v>
      </c>
      <c r="D715" s="2757" t="s">
        <v>2147</v>
      </c>
      <c r="E715" s="2755" t="s">
        <v>2147</v>
      </c>
      <c r="F715" s="2753" t="s">
        <v>2147</v>
      </c>
      <c r="G715" s="2754" t="s">
        <v>2147</v>
      </c>
      <c r="H715" s="2780" t="s">
        <v>2147</v>
      </c>
      <c r="I715" s="2758" t="s">
        <v>2147</v>
      </c>
      <c r="J715" s="2759" t="s">
        <v>2147</v>
      </c>
    </row>
    <row r="716" spans="2:10" ht="18" hidden="1" customHeight="1" outlineLevel="1" x14ac:dyDescent="0.2">
      <c r="B716" s="2827" t="s">
        <v>1162</v>
      </c>
      <c r="C716" s="2841"/>
      <c r="D716" s="2775" t="s">
        <v>2146</v>
      </c>
      <c r="E716" s="2776" t="s">
        <v>2147</v>
      </c>
      <c r="F716" s="2777" t="s">
        <v>2147</v>
      </c>
      <c r="G716" s="2775" t="s">
        <v>2147</v>
      </c>
      <c r="H716" s="2778" t="s">
        <v>2146</v>
      </c>
      <c r="I716" s="2777" t="s">
        <v>2146</v>
      </c>
      <c r="J716" s="2775" t="s">
        <v>2146</v>
      </c>
    </row>
    <row r="717" spans="2:10" ht="18" hidden="1" customHeight="1" outlineLevel="1" x14ac:dyDescent="0.2">
      <c r="B717" s="2829" t="s">
        <v>200</v>
      </c>
      <c r="C717" s="2833"/>
      <c r="D717" s="2766"/>
      <c r="E717" s="2766"/>
      <c r="F717" s="2766"/>
      <c r="G717" s="2766"/>
      <c r="H717" s="2766"/>
      <c r="I717" s="2766"/>
      <c r="J717" s="2779"/>
    </row>
    <row r="718" spans="2:10" ht="18" hidden="1" customHeight="1" outlineLevel="1" x14ac:dyDescent="0.2">
      <c r="B718" s="2830" t="s">
        <v>1163</v>
      </c>
      <c r="C718" s="2835" t="s">
        <v>278</v>
      </c>
      <c r="D718" s="2757" t="s">
        <v>2146</v>
      </c>
      <c r="E718" s="2755" t="s">
        <v>2147</v>
      </c>
      <c r="F718" s="2777" t="s">
        <v>2147</v>
      </c>
      <c r="G718" s="2775" t="s">
        <v>2147</v>
      </c>
      <c r="H718" s="2780" t="s">
        <v>2146</v>
      </c>
      <c r="I718" s="2781" t="s">
        <v>2146</v>
      </c>
      <c r="J718" s="2757" t="s">
        <v>2146</v>
      </c>
    </row>
    <row r="719" spans="2:10" ht="18" hidden="1" customHeight="1" outlineLevel="1" x14ac:dyDescent="0.2">
      <c r="B719" s="2830" t="s">
        <v>1164</v>
      </c>
      <c r="C719" s="2833"/>
      <c r="D719" s="2754" t="s">
        <v>2147</v>
      </c>
      <c r="E719" s="2755" t="s">
        <v>2147</v>
      </c>
      <c r="F719" s="2753" t="s">
        <v>2147</v>
      </c>
      <c r="G719" s="2754" t="s">
        <v>2147</v>
      </c>
      <c r="H719" s="2756" t="s">
        <v>2147</v>
      </c>
      <c r="I719" s="2753" t="s">
        <v>2147</v>
      </c>
      <c r="J719" s="2754" t="s">
        <v>2147</v>
      </c>
    </row>
    <row r="720" spans="2:10" ht="18" hidden="1" customHeight="1" outlineLevel="1" thickBot="1" x14ac:dyDescent="0.25">
      <c r="B720" s="2834" t="s">
        <v>2147</v>
      </c>
      <c r="C720" s="2835" t="s">
        <v>2147</v>
      </c>
      <c r="D720" s="2757" t="s">
        <v>2147</v>
      </c>
      <c r="E720" s="2755" t="s">
        <v>2147</v>
      </c>
      <c r="F720" s="2753" t="s">
        <v>2147</v>
      </c>
      <c r="G720" s="2754" t="s">
        <v>2147</v>
      </c>
      <c r="H720" s="2780" t="s">
        <v>2147</v>
      </c>
      <c r="I720" s="2758" t="s">
        <v>2147</v>
      </c>
      <c r="J720" s="2759" t="s">
        <v>2147</v>
      </c>
    </row>
    <row r="721" spans="2:10" x14ac:dyDescent="0.2">
      <c r="B721" s="85"/>
      <c r="C721" s="85"/>
      <c r="D721" s="85"/>
      <c r="E721" s="85"/>
      <c r="F721" s="85"/>
      <c r="G721" s="85"/>
      <c r="H721" s="85"/>
      <c r="I721" s="85"/>
      <c r="J721" s="85"/>
    </row>
    <row r="722" spans="2:10" ht="13.5" x14ac:dyDescent="0.2">
      <c r="B722" s="787"/>
      <c r="C722" s="787"/>
      <c r="D722" s="787"/>
      <c r="E722" s="787"/>
      <c r="F722" s="787"/>
      <c r="G722" s="514"/>
      <c r="H722" s="514"/>
      <c r="I722" s="514"/>
      <c r="J722" s="514"/>
    </row>
    <row r="723" spans="2:10" ht="13.5" x14ac:dyDescent="0.2">
      <c r="B723" s="788"/>
      <c r="C723" s="788"/>
      <c r="D723" s="788"/>
      <c r="E723" s="788"/>
      <c r="F723" s="788"/>
      <c r="G723" s="788"/>
      <c r="H723" s="788"/>
      <c r="I723" s="788"/>
      <c r="J723" s="788"/>
    </row>
    <row r="724" spans="2:10" ht="13.5" x14ac:dyDescent="0.2">
      <c r="B724" s="911"/>
      <c r="C724" s="788"/>
      <c r="D724" s="788"/>
      <c r="E724" s="788"/>
      <c r="F724" s="788"/>
      <c r="G724" s="788"/>
      <c r="H724" s="788"/>
      <c r="I724" s="788"/>
      <c r="J724" s="788"/>
    </row>
    <row r="725" spans="2:10" ht="13.5" x14ac:dyDescent="0.2">
      <c r="B725" s="787"/>
      <c r="C725" s="787"/>
      <c r="D725" s="787"/>
      <c r="E725" s="787"/>
      <c r="F725" s="514"/>
      <c r="G725" s="514"/>
      <c r="H725" s="514"/>
      <c r="I725" s="514"/>
      <c r="J725" s="514"/>
    </row>
    <row r="726" spans="2:10" ht="13.5" x14ac:dyDescent="0.2">
      <c r="B726" s="787"/>
      <c r="C726"/>
      <c r="D726"/>
      <c r="E726"/>
      <c r="F726"/>
      <c r="G726"/>
      <c r="H726"/>
      <c r="I726" s="514"/>
      <c r="J726" s="514"/>
    </row>
    <row r="727" spans="2:10" ht="13.5" x14ac:dyDescent="0.2">
      <c r="B727" s="787"/>
      <c r="C727"/>
      <c r="D727"/>
      <c r="E727"/>
      <c r="F727"/>
      <c r="G727"/>
      <c r="H727"/>
      <c r="I727" s="514"/>
      <c r="J727" s="514"/>
    </row>
    <row r="728" spans="2:10" x14ac:dyDescent="0.2">
      <c r="B728" s="911"/>
      <c r="C728"/>
      <c r="D728"/>
      <c r="E728"/>
      <c r="F728"/>
      <c r="G728"/>
      <c r="H728"/>
      <c r="I728" s="514"/>
      <c r="J728" s="514"/>
    </row>
    <row r="729" spans="2:10" x14ac:dyDescent="0.2">
      <c r="B729" s="911"/>
      <c r="C729"/>
      <c r="D729"/>
      <c r="E729"/>
      <c r="F729"/>
      <c r="G729"/>
      <c r="H729"/>
      <c r="I729" s="514"/>
      <c r="J729" s="514"/>
    </row>
    <row r="730" spans="2:10" ht="13.5" x14ac:dyDescent="0.2">
      <c r="B730" s="787"/>
      <c r="C730" s="787"/>
      <c r="D730" s="787"/>
      <c r="E730"/>
      <c r="F730"/>
      <c r="G730"/>
      <c r="H730"/>
      <c r="I730"/>
      <c r="J730"/>
    </row>
    <row r="731" spans="2:10" ht="13.5" thickBot="1" x14ac:dyDescent="0.25">
      <c r="B731" s="84"/>
      <c r="C731" s="84"/>
      <c r="D731" s="84"/>
      <c r="E731" s="84"/>
      <c r="F731" s="84"/>
      <c r="G731" s="84"/>
      <c r="H731" s="84"/>
      <c r="I731" s="84"/>
      <c r="J731" s="84"/>
    </row>
    <row r="732" spans="2:10" x14ac:dyDescent="0.2">
      <c r="B732" s="849" t="s">
        <v>390</v>
      </c>
      <c r="C732" s="900"/>
      <c r="D732" s="900"/>
      <c r="E732" s="900"/>
      <c r="F732" s="901"/>
      <c r="G732" s="901"/>
      <c r="H732" s="901"/>
      <c r="I732" s="901"/>
      <c r="J732" s="902"/>
    </row>
    <row r="733" spans="2:10" x14ac:dyDescent="0.2">
      <c r="B733" s="1329"/>
      <c r="C733" s="1342"/>
      <c r="D733" s="1342"/>
      <c r="E733" s="1342"/>
      <c r="F733" s="1347"/>
      <c r="G733" s="1347"/>
      <c r="H733" s="1347"/>
      <c r="I733" s="1347"/>
      <c r="J733" s="1348"/>
    </row>
    <row r="734" spans="2:10" x14ac:dyDescent="0.2">
      <c r="B734" s="1329"/>
      <c r="C734" s="1342"/>
      <c r="D734" s="1342"/>
      <c r="E734" s="1342"/>
      <c r="F734" s="1347"/>
      <c r="G734" s="1347"/>
      <c r="H734" s="1347"/>
      <c r="I734" s="1347"/>
      <c r="J734" s="1348"/>
    </row>
    <row r="735" spans="2:10" x14ac:dyDescent="0.2">
      <c r="B735" s="1344"/>
      <c r="C735" s="1345"/>
      <c r="D735" s="1345"/>
      <c r="E735" s="1345"/>
      <c r="F735" s="1345"/>
      <c r="G735" s="1345"/>
      <c r="H735" s="1345"/>
      <c r="I735" s="1345"/>
      <c r="J735" s="1346"/>
    </row>
    <row r="736" spans="2:10" ht="26.45" customHeight="1" thickBot="1" x14ac:dyDescent="0.25">
      <c r="B736" s="4477" t="s">
        <v>2293</v>
      </c>
      <c r="C736" s="4478"/>
      <c r="D736" s="4478"/>
      <c r="E736" s="4478"/>
      <c r="F736" s="4478"/>
      <c r="G736" s="4478"/>
      <c r="H736" s="4478"/>
      <c r="I736" s="4478"/>
      <c r="J736" s="4479"/>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1218</v>
      </c>
      <c r="H1" s="226"/>
      <c r="I1" s="14" t="s">
        <v>2521</v>
      </c>
      <c r="J1" s="2"/>
    </row>
    <row r="2" spans="2:10" ht="17.25" x14ac:dyDescent="0.2">
      <c r="B2" s="917" t="s">
        <v>1219</v>
      </c>
      <c r="C2" s="896"/>
      <c r="D2" s="896"/>
      <c r="E2" s="896"/>
      <c r="F2" s="896"/>
      <c r="H2" s="226"/>
      <c r="I2" s="14" t="s">
        <v>2522</v>
      </c>
      <c r="J2" s="2"/>
    </row>
    <row r="3" spans="2:10" ht="18.75" x14ac:dyDescent="0.2">
      <c r="B3" s="525" t="s">
        <v>1220</v>
      </c>
      <c r="C3" s="896"/>
      <c r="D3" s="896"/>
      <c r="E3" s="896"/>
      <c r="F3" s="896"/>
      <c r="H3" s="226"/>
      <c r="I3" s="14" t="s">
        <v>2144</v>
      </c>
      <c r="J3" s="2"/>
    </row>
    <row r="4" spans="2:10" ht="15.75" hidden="1" x14ac:dyDescent="0.2">
      <c r="B4" s="525"/>
      <c r="C4" s="896"/>
      <c r="D4" s="896"/>
      <c r="E4" s="896"/>
      <c r="F4" s="896"/>
      <c r="H4" s="226"/>
      <c r="I4" s="226"/>
      <c r="J4" s="2"/>
    </row>
    <row r="5" spans="2:10" hidden="1" x14ac:dyDescent="0.2">
      <c r="B5" s="2234"/>
      <c r="H5" s="226"/>
      <c r="I5" s="226"/>
      <c r="J5" s="2"/>
    </row>
    <row r="6" spans="2:10" ht="13.5" thickBot="1" x14ac:dyDescent="0.25">
      <c r="B6" s="2446" t="s">
        <v>64</v>
      </c>
    </row>
    <row r="7" spans="2:10" ht="24" customHeight="1" x14ac:dyDescent="0.2">
      <c r="B7" s="527" t="s">
        <v>65</v>
      </c>
      <c r="C7" s="1486" t="s">
        <v>727</v>
      </c>
      <c r="D7" s="1487"/>
      <c r="E7" s="1486" t="s">
        <v>123</v>
      </c>
      <c r="F7" s="1487"/>
      <c r="G7" s="1803" t="s">
        <v>1119</v>
      </c>
      <c r="H7" s="1804"/>
      <c r="I7" s="1805"/>
    </row>
    <row r="8" spans="2:10" ht="56.25" customHeight="1" x14ac:dyDescent="0.2">
      <c r="B8" s="807" t="s">
        <v>1124</v>
      </c>
      <c r="C8" s="1485" t="s">
        <v>1221</v>
      </c>
      <c r="D8" s="879" t="s">
        <v>1222</v>
      </c>
      <c r="E8" s="881" t="s">
        <v>1223</v>
      </c>
      <c r="F8" s="801" t="s">
        <v>1130</v>
      </c>
      <c r="G8" s="1489" t="s">
        <v>1120</v>
      </c>
      <c r="H8" s="81" t="s">
        <v>1982</v>
      </c>
      <c r="I8" s="172" t="s">
        <v>1224</v>
      </c>
    </row>
    <row r="9" spans="2:10" ht="14.25" thickBot="1" x14ac:dyDescent="0.25">
      <c r="B9" s="808"/>
      <c r="C9" s="1474" t="s">
        <v>1036</v>
      </c>
      <c r="D9" s="401" t="s">
        <v>1225</v>
      </c>
      <c r="E9" s="863" t="s">
        <v>1226</v>
      </c>
      <c r="F9" s="401" t="s">
        <v>1227</v>
      </c>
      <c r="G9" s="1482" t="s">
        <v>73</v>
      </c>
      <c r="H9" s="1483"/>
      <c r="I9" s="1484"/>
    </row>
    <row r="10" spans="2:10" ht="18" customHeight="1" thickTop="1" thickBot="1" x14ac:dyDescent="0.25">
      <c r="B10" s="2848" t="s">
        <v>2084</v>
      </c>
      <c r="C10" s="4331">
        <f>IF(SUM(C11,C20,C28,C37,C46,C55)=0,"NO",SUM(C11,C20,C28,C37,C46,C55))</f>
        <v>657068.05050778901</v>
      </c>
      <c r="D10" s="4332">
        <f>IF(SUM(D11,D20,D28,D37,D46,D55)=0,"NO",SUM(D11,D20,D28,D37,D46,D55))</f>
        <v>58455.482338301932</v>
      </c>
      <c r="E10" s="4333">
        <f t="shared" ref="E10:E12" si="0">IF(SUM(C10)=0,"NA",G10/C10*1000/(44/28))</f>
        <v>1.5614907191153677E-3</v>
      </c>
      <c r="F10" s="4332">
        <f t="shared" ref="F10:F11" si="1">IF(SUM(D10)=0,"NA",H10/D10*1000/(44/28))</f>
        <v>7.5000000000000006E-3</v>
      </c>
      <c r="G10" s="4331">
        <f>IF(SUM(G11,G20,G28,G37,G46,G55)=0,"NO",SUM(G11,G20,G28,G37,G46,G55))</f>
        <v>1.6122946128066487</v>
      </c>
      <c r="H10" s="4334">
        <f>IF(SUM(H11,H20,H28,H37,H46,H55)=0,"NO",SUM(H11,H20,H28,H37,H46,H55))</f>
        <v>0.68893961327284425</v>
      </c>
      <c r="I10" s="4335">
        <f t="shared" ref="I10:I11" si="2">IF(SUM(G10:H10)=0,"NO",SUM(G10:H10))</f>
        <v>2.3012342260794929</v>
      </c>
    </row>
    <row r="11" spans="2:10" ht="18" customHeight="1" x14ac:dyDescent="0.2">
      <c r="B11" s="2848" t="s">
        <v>1901</v>
      </c>
      <c r="C11" s="4336">
        <f>IF(SUM(C12:C13)=0,"NO",SUM(C12:C13))</f>
        <v>131288.60225821118</v>
      </c>
      <c r="D11" s="4337">
        <f>IF(SUM(D12:D13)=0,"NO",SUM(D12:D13))</f>
        <v>20508.752588478321</v>
      </c>
      <c r="E11" s="4336">
        <f t="shared" si="0"/>
        <v>2.1019645343378786E-3</v>
      </c>
      <c r="F11" s="4337">
        <f t="shared" si="1"/>
        <v>7.4999999999999997E-3</v>
      </c>
      <c r="G11" s="4336">
        <f>IF(SUM(G12:G13)=0,"NO",SUM(G12:G13))</f>
        <v>0.4336576918292957</v>
      </c>
      <c r="H11" s="4338">
        <f>IF(SUM(H12:H13)=0,"NO",SUM(H12:H13))</f>
        <v>0.24171029836420876</v>
      </c>
      <c r="I11" s="4337">
        <f t="shared" si="2"/>
        <v>0.67536799019350446</v>
      </c>
    </row>
    <row r="12" spans="2:10" ht="18" customHeight="1" x14ac:dyDescent="0.2">
      <c r="B12" s="914" t="s">
        <v>1228</v>
      </c>
      <c r="C12" s="4339">
        <f>Table4.A!E11</f>
        <v>122745.48861107499</v>
      </c>
      <c r="D12" s="4340">
        <f>H12/F12*1000/(44/28)</f>
        <v>7588.7854954048607</v>
      </c>
      <c r="E12" s="4341">
        <f t="shared" si="0"/>
        <v>5.6040665351273704E-4</v>
      </c>
      <c r="F12" s="4342">
        <v>7.4999999999999997E-3</v>
      </c>
      <c r="G12" s="4339">
        <v>0.10809446765278592</v>
      </c>
      <c r="H12" s="4343">
        <v>8.9439257624414431E-2</v>
      </c>
      <c r="I12" s="4344">
        <f>IF(SUM(G12:H12)=0,"NO",SUM(G12:H12))</f>
        <v>0.19753372527720037</v>
      </c>
    </row>
    <row r="13" spans="2:10" ht="18" customHeight="1" x14ac:dyDescent="0.2">
      <c r="B13" s="914" t="s">
        <v>1902</v>
      </c>
      <c r="C13" s="4345">
        <f>IF(SUM(C15:C19)=0,"NO",SUM(C15:C19))</f>
        <v>8543.1136471361679</v>
      </c>
      <c r="D13" s="4344">
        <f>IF(SUM(D15:D19)=0,"NO",SUM(D15:D19))</f>
        <v>12919.967093073459</v>
      </c>
      <c r="E13" s="4345">
        <f>IF(SUM(C13)=0,"NA",G13/C13*1000/(44/28))</f>
        <v>2.4250713002358745E-2</v>
      </c>
      <c r="F13" s="4344">
        <f>IF(SUM(D13)=0,"NA",H13/D13*1000/(44/28))</f>
        <v>7.4999999999999997E-3</v>
      </c>
      <c r="G13" s="4345">
        <f>IF(SUM(G15:G19)=0,"NO",SUM(G15:G19))</f>
        <v>0.32556322417650979</v>
      </c>
      <c r="H13" s="4346">
        <f>IF(SUM(H15:H19)=0,"NO",SUM(H15:H19))</f>
        <v>0.15227104073979433</v>
      </c>
      <c r="I13" s="4344">
        <f>IF(SUM(G13:H13)=0,"NO",SUM(G13:H13))</f>
        <v>0.4778342649163041</v>
      </c>
    </row>
    <row r="14" spans="2:10" ht="18" customHeight="1" x14ac:dyDescent="0.2">
      <c r="B14" s="1488" t="s">
        <v>345</v>
      </c>
      <c r="C14" s="4347"/>
      <c r="D14" s="4348"/>
      <c r="E14" s="4348"/>
      <c r="F14" s="4348"/>
      <c r="G14" s="4348"/>
      <c r="H14" s="4348"/>
      <c r="I14" s="4349"/>
    </row>
    <row r="15" spans="2:10" ht="18" customHeight="1" x14ac:dyDescent="0.2">
      <c r="B15" s="528" t="s">
        <v>1229</v>
      </c>
      <c r="C15" s="4350">
        <f>Table4.A!E17</f>
        <v>56.06</v>
      </c>
      <c r="D15" s="4340">
        <f>H15/F15*1000/(44/28)</f>
        <v>85.95858156056515</v>
      </c>
      <c r="E15" s="4345">
        <f>IF(SUM(C15)=0,"NA",G15/C15*1000/(44/28))</f>
        <v>3.6344392912355805E-2</v>
      </c>
      <c r="F15" s="4342">
        <v>7.4999999999999997E-3</v>
      </c>
      <c r="G15" s="4350">
        <v>3.2017333333333332E-3</v>
      </c>
      <c r="H15" s="4351">
        <v>1.0130832826780892E-3</v>
      </c>
      <c r="I15" s="4344">
        <f>IF(SUM(G15:H15)=0,"NO",SUM(G15:H15))</f>
        <v>4.2148166160114221E-3</v>
      </c>
    </row>
    <row r="16" spans="2:10" ht="18" customHeight="1" x14ac:dyDescent="0.2">
      <c r="B16" s="528" t="s">
        <v>1230</v>
      </c>
      <c r="C16" s="4350">
        <f>Table4.A!E19</f>
        <v>8441.3406471361686</v>
      </c>
      <c r="D16" s="4340">
        <f>H16/F16*1000/(44/28)</f>
        <v>12708.749332413452</v>
      </c>
      <c r="E16" s="4345">
        <f t="shared" ref="E16:E21" si="3">IF(SUM(C16)=0,"NA",G16/C16*1000/(44/28))</f>
        <v>2.3937184741516015E-2</v>
      </c>
      <c r="F16" s="4342">
        <v>7.4999999999999997E-3</v>
      </c>
      <c r="G16" s="4350">
        <v>0.31752589084317645</v>
      </c>
      <c r="H16" s="4351">
        <v>0.1497816885605871</v>
      </c>
      <c r="I16" s="4344">
        <f t="shared" ref="I16:I21" si="4">IF(SUM(G16:H16)=0,"NO",SUM(G16:H16))</f>
        <v>0.46730757940376355</v>
      </c>
    </row>
    <row r="17" spans="2:9" ht="18" customHeight="1" x14ac:dyDescent="0.2">
      <c r="B17" s="528" t="s">
        <v>1231</v>
      </c>
      <c r="C17" s="4350" t="s">
        <v>2146</v>
      </c>
      <c r="D17" s="4352" t="s">
        <v>2146</v>
      </c>
      <c r="E17" s="4345" t="str">
        <f t="shared" si="3"/>
        <v>NA</v>
      </c>
      <c r="F17" s="4344" t="str">
        <f t="shared" ref="F17:F21" si="5">IF(SUM(D17)=0,"NA",H17/D17*1000/(44/28))</f>
        <v>NA</v>
      </c>
      <c r="G17" s="4350" t="s">
        <v>2146</v>
      </c>
      <c r="H17" s="4351" t="s">
        <v>2146</v>
      </c>
      <c r="I17" s="4344" t="str">
        <f t="shared" si="4"/>
        <v>NO</v>
      </c>
    </row>
    <row r="18" spans="2:9" ht="18" customHeight="1" x14ac:dyDescent="0.2">
      <c r="B18" s="528" t="s">
        <v>1232</v>
      </c>
      <c r="C18" s="4350">
        <f>Table4.A!E25</f>
        <v>45.713000000000001</v>
      </c>
      <c r="D18" s="4340">
        <f>H18/F18*1000/(44/28)</f>
        <v>125.25917909944124</v>
      </c>
      <c r="E18" s="4345">
        <f t="shared" si="3"/>
        <v>6.7315643252466459E-2</v>
      </c>
      <c r="F18" s="4342">
        <v>7.4999999999999997E-3</v>
      </c>
      <c r="G18" s="4350">
        <v>4.8355999999999989E-3</v>
      </c>
      <c r="H18" s="4351">
        <v>1.4762688965291289E-3</v>
      </c>
      <c r="I18" s="4344">
        <f t="shared" si="4"/>
        <v>6.3118688965291278E-3</v>
      </c>
    </row>
    <row r="19" spans="2:9" ht="18" customHeight="1" thickBot="1" x14ac:dyDescent="0.25">
      <c r="B19" s="529" t="s">
        <v>1233</v>
      </c>
      <c r="C19" s="4353" t="s">
        <v>2146</v>
      </c>
      <c r="D19" s="4354" t="s">
        <v>2146</v>
      </c>
      <c r="E19" s="4355" t="str">
        <f t="shared" si="3"/>
        <v>NA</v>
      </c>
      <c r="F19" s="4356" t="str">
        <f t="shared" si="5"/>
        <v>NA</v>
      </c>
      <c r="G19" s="4353" t="s">
        <v>2146</v>
      </c>
      <c r="H19" s="4357" t="s">
        <v>2146</v>
      </c>
      <c r="I19" s="4358" t="str">
        <f t="shared" si="4"/>
        <v>NO</v>
      </c>
    </row>
    <row r="20" spans="2:9" ht="18" customHeight="1" x14ac:dyDescent="0.2">
      <c r="B20" s="544" t="s">
        <v>1903</v>
      </c>
      <c r="C20" s="4359">
        <f>C21</f>
        <v>2264.366</v>
      </c>
      <c r="D20" s="4360">
        <f>D21</f>
        <v>1277.1532579267348</v>
      </c>
      <c r="E20" s="4359">
        <f t="shared" si="3"/>
        <v>1.2665922087389288E-2</v>
      </c>
      <c r="F20" s="4360">
        <f t="shared" si="5"/>
        <v>7.4999999999999997E-3</v>
      </c>
      <c r="G20" s="4359">
        <f>G21</f>
        <v>4.5069016666666663E-2</v>
      </c>
      <c r="H20" s="4361">
        <f>H21</f>
        <v>1.5052163396993659E-2</v>
      </c>
      <c r="I20" s="4360">
        <f t="shared" si="4"/>
        <v>6.0121180063660323E-2</v>
      </c>
    </row>
    <row r="21" spans="2:9" ht="18" customHeight="1" x14ac:dyDescent="0.2">
      <c r="B21" s="914" t="s">
        <v>1904</v>
      </c>
      <c r="C21" s="4345">
        <f>IF(SUM(C23:C27)=0,"NO",SUM(C23:C27))</f>
        <v>2264.366</v>
      </c>
      <c r="D21" s="4344">
        <f>IF(SUM(D23:D27)=0,"NO",SUM(D23:D27))</f>
        <v>1277.1532579267348</v>
      </c>
      <c r="E21" s="4345">
        <f t="shared" si="3"/>
        <v>1.2665922087389288E-2</v>
      </c>
      <c r="F21" s="4344">
        <f t="shared" si="5"/>
        <v>7.4999999999999997E-3</v>
      </c>
      <c r="G21" s="4345">
        <f>IF(SUM(G23:G27)=0,"NO",SUM(G23:G27))</f>
        <v>4.5069016666666663E-2</v>
      </c>
      <c r="H21" s="4346">
        <f>IF(SUM(H23:H27)=0,"NO",SUM(H23:H27))</f>
        <v>1.5052163396993659E-2</v>
      </c>
      <c r="I21" s="4344">
        <f t="shared" si="4"/>
        <v>6.0121180063660323E-2</v>
      </c>
    </row>
    <row r="22" spans="2:9" ht="18" customHeight="1" x14ac:dyDescent="0.2">
      <c r="B22" s="1488" t="s">
        <v>345</v>
      </c>
      <c r="C22" s="4347"/>
      <c r="D22" s="4348"/>
      <c r="E22" s="4348"/>
      <c r="F22" s="4348"/>
      <c r="G22" s="4348"/>
      <c r="H22" s="4348"/>
      <c r="I22" s="4349"/>
    </row>
    <row r="23" spans="2:9" ht="18" customHeight="1" x14ac:dyDescent="0.2">
      <c r="B23" s="528" t="s">
        <v>1234</v>
      </c>
      <c r="C23" s="4350">
        <f>Table4.B!E14</f>
        <v>2264.366</v>
      </c>
      <c r="D23" s="4340">
        <f>H23/F23*1000/(44/28)</f>
        <v>1277.1532579267348</v>
      </c>
      <c r="E23" s="4345">
        <f>IF(SUM(C23)=0,"NA",G23/C23*1000/(44/28))</f>
        <v>1.2665922087389288E-2</v>
      </c>
      <c r="F23" s="4342">
        <v>7.4999999999999997E-3</v>
      </c>
      <c r="G23" s="4350">
        <v>4.5069016666666663E-2</v>
      </c>
      <c r="H23" s="4351">
        <v>1.5052163396993659E-2</v>
      </c>
      <c r="I23" s="4344">
        <f>IF(SUM(G23:H23)=0,"NO",SUM(G23:H23))</f>
        <v>6.0121180063660323E-2</v>
      </c>
    </row>
    <row r="24" spans="2:9" ht="18" customHeight="1" x14ac:dyDescent="0.2">
      <c r="B24" s="528" t="s">
        <v>1235</v>
      </c>
      <c r="C24" s="4350" t="s">
        <v>2153</v>
      </c>
      <c r="D24" s="4352" t="s">
        <v>2153</v>
      </c>
      <c r="E24" s="4345" t="str">
        <f t="shared" ref="E24:E29" si="6">IF(SUM(C24)=0,"NA",G24/C24*1000/(44/28))</f>
        <v>NA</v>
      </c>
      <c r="F24" s="4344" t="str">
        <f t="shared" ref="F24:F28" si="7">IF(SUM(D24)=0,"NA",H24/D24*1000/(44/28))</f>
        <v>NA</v>
      </c>
      <c r="G24" s="4350" t="s">
        <v>2153</v>
      </c>
      <c r="H24" s="4351" t="s">
        <v>2153</v>
      </c>
      <c r="I24" s="4344" t="str">
        <f t="shared" ref="I24:I62" si="8">IF(SUM(G24:H24)=0,"NO",SUM(G24:H24))</f>
        <v>NO</v>
      </c>
    </row>
    <row r="25" spans="2:9" ht="18" customHeight="1" x14ac:dyDescent="0.2">
      <c r="B25" s="528" t="s">
        <v>1236</v>
      </c>
      <c r="C25" s="4350" t="s">
        <v>2146</v>
      </c>
      <c r="D25" s="4352" t="s">
        <v>2146</v>
      </c>
      <c r="E25" s="4345" t="str">
        <f t="shared" si="6"/>
        <v>NA</v>
      </c>
      <c r="F25" s="4344" t="str">
        <f t="shared" si="7"/>
        <v>NA</v>
      </c>
      <c r="G25" s="4350" t="s">
        <v>2146</v>
      </c>
      <c r="H25" s="4351" t="s">
        <v>2146</v>
      </c>
      <c r="I25" s="4344" t="str">
        <f t="shared" si="8"/>
        <v>NO</v>
      </c>
    </row>
    <row r="26" spans="2:9" ht="18" customHeight="1" x14ac:dyDescent="0.2">
      <c r="B26" s="528" t="s">
        <v>1237</v>
      </c>
      <c r="C26" s="4350" t="s">
        <v>2146</v>
      </c>
      <c r="D26" s="4352" t="s">
        <v>2146</v>
      </c>
      <c r="E26" s="4345" t="str">
        <f t="shared" si="6"/>
        <v>NA</v>
      </c>
      <c r="F26" s="4344" t="str">
        <f t="shared" si="7"/>
        <v>NA</v>
      </c>
      <c r="G26" s="4350" t="s">
        <v>2146</v>
      </c>
      <c r="H26" s="4351" t="s">
        <v>2146</v>
      </c>
      <c r="I26" s="4344" t="str">
        <f t="shared" si="8"/>
        <v>NO</v>
      </c>
    </row>
    <row r="27" spans="2:9" ht="18" customHeight="1" thickBot="1" x14ac:dyDescent="0.25">
      <c r="B27" s="529" t="s">
        <v>1238</v>
      </c>
      <c r="C27" s="4353" t="s">
        <v>2146</v>
      </c>
      <c r="D27" s="4354" t="s">
        <v>2146</v>
      </c>
      <c r="E27" s="4355" t="str">
        <f t="shared" si="6"/>
        <v>NA</v>
      </c>
      <c r="F27" s="4356" t="str">
        <f t="shared" si="7"/>
        <v>NA</v>
      </c>
      <c r="G27" s="4353" t="s">
        <v>2146</v>
      </c>
      <c r="H27" s="4357" t="s">
        <v>2146</v>
      </c>
      <c r="I27" s="4358" t="str">
        <f t="shared" si="8"/>
        <v>NO</v>
      </c>
    </row>
    <row r="28" spans="2:9" ht="18" customHeight="1" x14ac:dyDescent="0.2">
      <c r="B28" s="544" t="s">
        <v>1905</v>
      </c>
      <c r="C28" s="4336">
        <f>IF(SUM(C29:C30)=0,"NO",SUM(C29:C30))</f>
        <v>522164.63895993086</v>
      </c>
      <c r="D28" s="4337">
        <f>IF(SUM(D29:D30)=0,"NO",SUM(D29:D30))</f>
        <v>36040.729370538895</v>
      </c>
      <c r="E28" s="4336">
        <f t="shared" si="6"/>
        <v>1.3537512011799462E-3</v>
      </c>
      <c r="F28" s="4337">
        <f t="shared" si="7"/>
        <v>7.4999999999999997E-3</v>
      </c>
      <c r="G28" s="4336">
        <f>IF(SUM(G29:G30)=0,"NO",SUM(G29:G30))</f>
        <v>1.1108130113232417</v>
      </c>
      <c r="H28" s="4338">
        <f>IF(SUM(H29:H30)=0,"NO",SUM(H29:H30))</f>
        <v>0.4247657390099227</v>
      </c>
      <c r="I28" s="4360">
        <f t="shared" si="8"/>
        <v>1.5355787503331644</v>
      </c>
    </row>
    <row r="29" spans="2:9" ht="18" customHeight="1" x14ac:dyDescent="0.2">
      <c r="B29" s="914" t="s">
        <v>1239</v>
      </c>
      <c r="C29" s="4339">
        <f>Table4.C!E11</f>
        <v>509014.39757102099</v>
      </c>
      <c r="D29" s="4340">
        <f>H29/F29*1000/(44/28)</f>
        <v>27554.229883307937</v>
      </c>
      <c r="E29" s="4341">
        <f t="shared" si="6"/>
        <v>9.2842760663069534E-4</v>
      </c>
      <c r="F29" s="4342">
        <v>7.4999999999999997E-3</v>
      </c>
      <c r="G29" s="4339">
        <v>0.74263045823595863</v>
      </c>
      <c r="H29" s="4343">
        <v>0.32474628076755785</v>
      </c>
      <c r="I29" s="4344">
        <f t="shared" si="8"/>
        <v>1.0673767390035165</v>
      </c>
    </row>
    <row r="30" spans="2:9" ht="18" customHeight="1" x14ac:dyDescent="0.2">
      <c r="B30" s="914" t="s">
        <v>1906</v>
      </c>
      <c r="C30" s="4345">
        <f>IF(SUM(C32:C36)=0,"NO",SUM(C32:C36))</f>
        <v>13150.241388909877</v>
      </c>
      <c r="D30" s="4344">
        <f>IF(SUM(D32:D36)=0,"NO",SUM(D32:D36))</f>
        <v>8486.4994872309599</v>
      </c>
      <c r="E30" s="4345">
        <f>IF(SUM(C30)=0,"NA",G30/C30*1000/(44/28))</f>
        <v>1.7817010456238767E-2</v>
      </c>
      <c r="F30" s="4344">
        <f>IF(SUM(D30)=0,"NA",H30/D30*1000/(44/28))</f>
        <v>7.4999999999999997E-3</v>
      </c>
      <c r="G30" s="4345">
        <f>IF(SUM(G32:G36)=0,"NO",SUM(G32:G36))</f>
        <v>0.36818255308728309</v>
      </c>
      <c r="H30" s="4346">
        <f>IF(SUM(H32:H36)=0,"NO",SUM(H32:H36))</f>
        <v>0.10001945824236487</v>
      </c>
      <c r="I30" s="4344">
        <f t="shared" si="8"/>
        <v>0.46820201132964795</v>
      </c>
    </row>
    <row r="31" spans="2:9" ht="18" customHeight="1" x14ac:dyDescent="0.2">
      <c r="B31" s="1488" t="s">
        <v>345</v>
      </c>
      <c r="C31" s="4347"/>
      <c r="D31" s="4348"/>
      <c r="E31" s="4348"/>
      <c r="F31" s="4348"/>
      <c r="G31" s="4348"/>
      <c r="H31" s="4348"/>
      <c r="I31" s="4349"/>
    </row>
    <row r="32" spans="2:9" ht="18" customHeight="1" x14ac:dyDescent="0.2">
      <c r="B32" s="528" t="s">
        <v>1240</v>
      </c>
      <c r="C32" s="4350">
        <f>Table4.C!E16</f>
        <v>13150.241388909877</v>
      </c>
      <c r="D32" s="4340">
        <f>H32/F32*1000/(44/28)</f>
        <v>8486.4994872309599</v>
      </c>
      <c r="E32" s="4345">
        <f>IF(SUM(C32)=0,"NA",G32/C32*1000/(44/28))</f>
        <v>1.7817010456238767E-2</v>
      </c>
      <c r="F32" s="4342">
        <v>7.4999999999999997E-3</v>
      </c>
      <c r="G32" s="4350">
        <v>0.36818255308728309</v>
      </c>
      <c r="H32" s="4351">
        <v>0.10001945824236487</v>
      </c>
      <c r="I32" s="4344">
        <f t="shared" si="8"/>
        <v>0.46820201132964795</v>
      </c>
    </row>
    <row r="33" spans="2:9" ht="18" customHeight="1" x14ac:dyDescent="0.2">
      <c r="B33" s="528" t="s">
        <v>1241</v>
      </c>
      <c r="C33" s="4350" t="s">
        <v>2153</v>
      </c>
      <c r="D33" s="4352" t="s">
        <v>2153</v>
      </c>
      <c r="E33" s="4345" t="str">
        <f t="shared" ref="E33:E38" si="9">IF(SUM(C33)=0,"NA",G33/C33*1000/(44/28))</f>
        <v>NA</v>
      </c>
      <c r="F33" s="4344" t="str">
        <f t="shared" ref="F33:F38" si="10">IF(SUM(D33)=0,"NA",H33/D33*1000/(44/28))</f>
        <v>NA</v>
      </c>
      <c r="G33" s="4350" t="s">
        <v>2153</v>
      </c>
      <c r="H33" s="4351" t="s">
        <v>2153</v>
      </c>
      <c r="I33" s="4344" t="str">
        <f t="shared" si="8"/>
        <v>NO</v>
      </c>
    </row>
    <row r="34" spans="2:9" ht="18" customHeight="1" x14ac:dyDescent="0.2">
      <c r="B34" s="528" t="s">
        <v>1242</v>
      </c>
      <c r="C34" s="4350" t="s">
        <v>2146</v>
      </c>
      <c r="D34" s="4352" t="s">
        <v>2146</v>
      </c>
      <c r="E34" s="4345" t="str">
        <f t="shared" si="9"/>
        <v>NA</v>
      </c>
      <c r="F34" s="4344" t="str">
        <f t="shared" si="10"/>
        <v>NA</v>
      </c>
      <c r="G34" s="4350" t="s">
        <v>2146</v>
      </c>
      <c r="H34" s="4351" t="s">
        <v>2146</v>
      </c>
      <c r="I34" s="4344" t="str">
        <f t="shared" si="8"/>
        <v>NO</v>
      </c>
    </row>
    <row r="35" spans="2:9" ht="18" customHeight="1" x14ac:dyDescent="0.2">
      <c r="B35" s="528" t="s">
        <v>1243</v>
      </c>
      <c r="C35" s="4350" t="s">
        <v>2146</v>
      </c>
      <c r="D35" s="4352" t="s">
        <v>2146</v>
      </c>
      <c r="E35" s="4345" t="str">
        <f t="shared" si="9"/>
        <v>NA</v>
      </c>
      <c r="F35" s="4344" t="str">
        <f t="shared" si="10"/>
        <v>NA</v>
      </c>
      <c r="G35" s="4350" t="s">
        <v>2146</v>
      </c>
      <c r="H35" s="4351" t="s">
        <v>2146</v>
      </c>
      <c r="I35" s="4344" t="str">
        <f t="shared" si="8"/>
        <v>NO</v>
      </c>
    </row>
    <row r="36" spans="2:9" ht="18" customHeight="1" thickBot="1" x14ac:dyDescent="0.25">
      <c r="B36" s="529" t="s">
        <v>1244</v>
      </c>
      <c r="C36" s="4353" t="s">
        <v>2146</v>
      </c>
      <c r="D36" s="4354" t="s">
        <v>2146</v>
      </c>
      <c r="E36" s="4355" t="str">
        <f t="shared" si="9"/>
        <v>NA</v>
      </c>
      <c r="F36" s="4356" t="str">
        <f t="shared" si="10"/>
        <v>NA</v>
      </c>
      <c r="G36" s="4353" t="s">
        <v>2146</v>
      </c>
      <c r="H36" s="4357" t="s">
        <v>2146</v>
      </c>
      <c r="I36" s="4358" t="str">
        <f t="shared" si="8"/>
        <v>NO</v>
      </c>
    </row>
    <row r="37" spans="2:9" ht="18" customHeight="1" x14ac:dyDescent="0.2">
      <c r="B37" s="544" t="s">
        <v>1907</v>
      </c>
      <c r="C37" s="4336" t="str">
        <f>IF(SUM(C38:C39)=0,"NO",SUM(C38:C39))</f>
        <v>NO</v>
      </c>
      <c r="D37" s="4337" t="str">
        <f>IF(SUM(D38:D39)=0,"NO",SUM(D38:D39))</f>
        <v>NO</v>
      </c>
      <c r="E37" s="4336" t="str">
        <f t="shared" si="9"/>
        <v>NA</v>
      </c>
      <c r="F37" s="4337" t="str">
        <f t="shared" si="10"/>
        <v>NA</v>
      </c>
      <c r="G37" s="4336" t="str">
        <f>IF(SUM(G38:G39)=0,"NO",SUM(G38:G39))</f>
        <v>NO</v>
      </c>
      <c r="H37" s="4338" t="str">
        <f>IF(SUM(H38:H39)=0,"NO",SUM(H38:H39))</f>
        <v>NO</v>
      </c>
      <c r="I37" s="4337" t="str">
        <f t="shared" si="8"/>
        <v>NO</v>
      </c>
    </row>
    <row r="38" spans="2:9" ht="18" customHeight="1" x14ac:dyDescent="0.2">
      <c r="B38" s="914" t="s">
        <v>1245</v>
      </c>
      <c r="C38" s="4339" t="s">
        <v>2146</v>
      </c>
      <c r="D38" s="4340" t="s">
        <v>2146</v>
      </c>
      <c r="E38" s="4341" t="str">
        <f t="shared" si="9"/>
        <v>NA</v>
      </c>
      <c r="F38" s="4342" t="str">
        <f t="shared" si="10"/>
        <v>NA</v>
      </c>
      <c r="G38" s="4339" t="s">
        <v>2146</v>
      </c>
      <c r="H38" s="4343" t="s">
        <v>2146</v>
      </c>
      <c r="I38" s="4344" t="str">
        <f t="shared" si="8"/>
        <v>NO</v>
      </c>
    </row>
    <row r="39" spans="2:9" ht="18" customHeight="1" x14ac:dyDescent="0.2">
      <c r="B39" s="914" t="s">
        <v>1908</v>
      </c>
      <c r="C39" s="4345" t="str">
        <f>IF(SUM(C41:C45)=0,"NO",SUM(C41:C45))</f>
        <v>NO</v>
      </c>
      <c r="D39" s="4344" t="str">
        <f>IF(SUM(D41:D45)=0,"NO",SUM(D41:D45))</f>
        <v>NO</v>
      </c>
      <c r="E39" s="4345" t="str">
        <f>IF(SUM(C39)=0,"NA",G39/C39*1000/(44/28))</f>
        <v>NA</v>
      </c>
      <c r="F39" s="4344" t="str">
        <f>IF(SUM(D39)=0,"NA",H39/D39*1000/(44/28))</f>
        <v>NA</v>
      </c>
      <c r="G39" s="4345" t="str">
        <f>IF(SUM(G41:G45)=0,"NO",SUM(G41:G45))</f>
        <v>NO</v>
      </c>
      <c r="H39" s="4346" t="str">
        <f>IF(SUM(H41:H45)=0,"NO",SUM(H41:H45))</f>
        <v>NO</v>
      </c>
      <c r="I39" s="4344" t="str">
        <f t="shared" si="8"/>
        <v>NO</v>
      </c>
    </row>
    <row r="40" spans="2:9" ht="18" customHeight="1" x14ac:dyDescent="0.2">
      <c r="B40" s="1488" t="s">
        <v>345</v>
      </c>
      <c r="C40" s="4347"/>
      <c r="D40" s="4348"/>
      <c r="E40" s="4348"/>
      <c r="F40" s="4348"/>
      <c r="G40" s="4348"/>
      <c r="H40" s="4348"/>
      <c r="I40" s="4349"/>
    </row>
    <row r="41" spans="2:9" ht="18" customHeight="1" x14ac:dyDescent="0.2">
      <c r="B41" s="528" t="s">
        <v>1246</v>
      </c>
      <c r="C41" s="4350" t="s">
        <v>2146</v>
      </c>
      <c r="D41" s="4352" t="s">
        <v>2146</v>
      </c>
      <c r="E41" s="4345" t="str">
        <f>IF(SUM(C41)=0,"NA",G41/C41*1000/(44/28))</f>
        <v>NA</v>
      </c>
      <c r="F41" s="4344" t="str">
        <f>IF(SUM(D41)=0,"NA",H41/D41*1000/(44/28))</f>
        <v>NA</v>
      </c>
      <c r="G41" s="4350" t="s">
        <v>2146</v>
      </c>
      <c r="H41" s="4351" t="s">
        <v>2146</v>
      </c>
      <c r="I41" s="4344" t="str">
        <f t="shared" si="8"/>
        <v>NO</v>
      </c>
    </row>
    <row r="42" spans="2:9" ht="18" customHeight="1" x14ac:dyDescent="0.2">
      <c r="B42" s="528" t="s">
        <v>1247</v>
      </c>
      <c r="C42" s="4350" t="s">
        <v>2146</v>
      </c>
      <c r="D42" s="4352" t="s">
        <v>2146</v>
      </c>
      <c r="E42" s="4345" t="str">
        <f t="shared" ref="E42:E47" si="11">IF(SUM(C42)=0,"NA",G42/C42*1000/(44/28))</f>
        <v>NA</v>
      </c>
      <c r="F42" s="4344" t="str">
        <f t="shared" ref="F42:F46" si="12">IF(SUM(D42)=0,"NA",H42/D42*1000/(44/28))</f>
        <v>NA</v>
      </c>
      <c r="G42" s="4350" t="s">
        <v>2146</v>
      </c>
      <c r="H42" s="4351" t="s">
        <v>2146</v>
      </c>
      <c r="I42" s="4344" t="str">
        <f t="shared" si="8"/>
        <v>NO</v>
      </c>
    </row>
    <row r="43" spans="2:9" ht="18" customHeight="1" x14ac:dyDescent="0.2">
      <c r="B43" s="528" t="s">
        <v>1248</v>
      </c>
      <c r="C43" s="4350" t="s">
        <v>2146</v>
      </c>
      <c r="D43" s="4352" t="s">
        <v>2146</v>
      </c>
      <c r="E43" s="4345" t="str">
        <f t="shared" si="11"/>
        <v>NA</v>
      </c>
      <c r="F43" s="4344" t="str">
        <f t="shared" si="12"/>
        <v>NA</v>
      </c>
      <c r="G43" s="4350" t="s">
        <v>2146</v>
      </c>
      <c r="H43" s="4351" t="s">
        <v>2146</v>
      </c>
      <c r="I43" s="4344" t="str">
        <f t="shared" si="8"/>
        <v>NO</v>
      </c>
    </row>
    <row r="44" spans="2:9" ht="18" customHeight="1" x14ac:dyDescent="0.2">
      <c r="B44" s="528" t="s">
        <v>1249</v>
      </c>
      <c r="C44" s="4350" t="s">
        <v>2146</v>
      </c>
      <c r="D44" s="4352" t="s">
        <v>2146</v>
      </c>
      <c r="E44" s="4345" t="str">
        <f t="shared" si="11"/>
        <v>NA</v>
      </c>
      <c r="F44" s="4344" t="str">
        <f t="shared" si="12"/>
        <v>NA</v>
      </c>
      <c r="G44" s="4350" t="s">
        <v>2146</v>
      </c>
      <c r="H44" s="4351" t="s">
        <v>2146</v>
      </c>
      <c r="I44" s="4344" t="str">
        <f t="shared" si="8"/>
        <v>NO</v>
      </c>
    </row>
    <row r="45" spans="2:9" ht="18" customHeight="1" thickBot="1" x14ac:dyDescent="0.25">
      <c r="B45" s="529" t="s">
        <v>1250</v>
      </c>
      <c r="C45" s="4353" t="s">
        <v>2146</v>
      </c>
      <c r="D45" s="4354" t="s">
        <v>2146</v>
      </c>
      <c r="E45" s="4355" t="str">
        <f t="shared" si="11"/>
        <v>NA</v>
      </c>
      <c r="F45" s="4356" t="str">
        <f t="shared" si="12"/>
        <v>NA</v>
      </c>
      <c r="G45" s="4353" t="s">
        <v>2146</v>
      </c>
      <c r="H45" s="4357" t="s">
        <v>2146</v>
      </c>
      <c r="I45" s="4358" t="str">
        <f t="shared" si="8"/>
        <v>NO</v>
      </c>
    </row>
    <row r="46" spans="2:9" ht="18" customHeight="1" x14ac:dyDescent="0.2">
      <c r="B46" s="915" t="s">
        <v>1909</v>
      </c>
      <c r="C46" s="4336">
        <f>IF(SUM(C47:C48)=0,"NO",SUM(C47:C48))</f>
        <v>1350.443289647</v>
      </c>
      <c r="D46" s="4337">
        <f>IF(SUM(D47:D48)=0,"NO",SUM(D47:D48))</f>
        <v>628.84712135798429</v>
      </c>
      <c r="E46" s="4336">
        <f t="shared" si="11"/>
        <v>1.0722691250767536E-2</v>
      </c>
      <c r="F46" s="4337">
        <f t="shared" si="12"/>
        <v>7.4999999999999997E-3</v>
      </c>
      <c r="G46" s="4336">
        <f>IF(SUM(G47:G48)=0,"NO",SUM(G47:G48))</f>
        <v>2.2754892987444542E-2</v>
      </c>
      <c r="H46" s="4338">
        <f>IF(SUM(H47:H48)=0,"NO",SUM(H47:H48))</f>
        <v>7.4114125017191003E-3</v>
      </c>
      <c r="I46" s="4337">
        <f t="shared" si="8"/>
        <v>3.0166305489163641E-2</v>
      </c>
    </row>
    <row r="47" spans="2:9" ht="18" customHeight="1" x14ac:dyDescent="0.2">
      <c r="B47" s="914" t="s">
        <v>1251</v>
      </c>
      <c r="C47" s="4339">
        <f>Table4.E!E11</f>
        <v>982.34128964700005</v>
      </c>
      <c r="D47" s="4340">
        <f>H47/F47*1000/(44/28)</f>
        <v>31.142203850214926</v>
      </c>
      <c r="E47" s="4341">
        <f t="shared" si="11"/>
        <v>4.3700336235472559E-4</v>
      </c>
      <c r="F47" s="4342">
        <v>7.4999999999999997E-3</v>
      </c>
      <c r="G47" s="4339">
        <v>6.745929874445401E-4</v>
      </c>
      <c r="H47" s="4343">
        <v>3.6703311680610446E-4</v>
      </c>
      <c r="I47" s="4344">
        <f t="shared" si="8"/>
        <v>1.0416261042506445E-3</v>
      </c>
    </row>
    <row r="48" spans="2:9" ht="18" customHeight="1" x14ac:dyDescent="0.2">
      <c r="B48" s="914" t="s">
        <v>1910</v>
      </c>
      <c r="C48" s="4345">
        <f>IF(SUM(C50:C54)=0,"NO",SUM(C50:C54))</f>
        <v>368.10199999999998</v>
      </c>
      <c r="D48" s="4344">
        <f>IF(SUM(D50:D54)=0,"NO",SUM(D50:D54))</f>
        <v>597.70491750776932</v>
      </c>
      <c r="E48" s="4345">
        <f>IF(SUM(C48)=0,"NA",G48/C48*1000/(44/28))</f>
        <v>3.8171756741338006E-2</v>
      </c>
      <c r="F48" s="4344">
        <f>IF(SUM(D48)=0,"NA",H48/D48*1000/(44/28))</f>
        <v>7.4999999999999997E-3</v>
      </c>
      <c r="G48" s="4345">
        <f>IF(SUM(G50:G54)=0,"NO",SUM(G50:G54))</f>
        <v>2.2080300000000001E-2</v>
      </c>
      <c r="H48" s="4346">
        <f>IF(SUM(H50:H54)=0,"NO",SUM(H50:H54))</f>
        <v>7.0443793849129955E-3</v>
      </c>
      <c r="I48" s="4344">
        <f t="shared" si="8"/>
        <v>2.9124679384912998E-2</v>
      </c>
    </row>
    <row r="49" spans="2:9" ht="18" customHeight="1" x14ac:dyDescent="0.2">
      <c r="B49" s="1488" t="s">
        <v>345</v>
      </c>
      <c r="C49" s="4347"/>
      <c r="D49" s="4348"/>
      <c r="E49" s="4348"/>
      <c r="F49" s="4348"/>
      <c r="G49" s="4348"/>
      <c r="H49" s="4348"/>
      <c r="I49" s="4349"/>
    </row>
    <row r="50" spans="2:9" ht="18" customHeight="1" x14ac:dyDescent="0.2">
      <c r="B50" s="528" t="s">
        <v>1252</v>
      </c>
      <c r="C50" s="4350">
        <f>Table4.E!E14</f>
        <v>368.10199999999998</v>
      </c>
      <c r="D50" s="4340">
        <f>H50/F50*1000/(44/28)</f>
        <v>597.70491750776932</v>
      </c>
      <c r="E50" s="4345">
        <f>IF(SUM(C50)=0,"NA",G50/C50*1000/(44/28))</f>
        <v>3.8171756741338006E-2</v>
      </c>
      <c r="F50" s="4342">
        <v>7.4999999999999997E-3</v>
      </c>
      <c r="G50" s="4350">
        <v>2.2080300000000001E-2</v>
      </c>
      <c r="H50" s="4351">
        <v>7.0443793849129955E-3</v>
      </c>
      <c r="I50" s="4344">
        <f t="shared" si="8"/>
        <v>2.9124679384912998E-2</v>
      </c>
    </row>
    <row r="51" spans="2:9" ht="18" customHeight="1" x14ac:dyDescent="0.2">
      <c r="B51" s="528" t="s">
        <v>1253</v>
      </c>
      <c r="C51" s="4350" t="s">
        <v>2153</v>
      </c>
      <c r="D51" s="4352" t="s">
        <v>2153</v>
      </c>
      <c r="E51" s="4345" t="str">
        <f t="shared" ref="E51:E56" si="13">IF(SUM(C51)=0,"NA",G51/C51*1000/(44/28))</f>
        <v>NA</v>
      </c>
      <c r="F51" s="4344" t="str">
        <f t="shared" ref="F51:F56" si="14">IF(SUM(D51)=0,"NA",H51/D51*1000/(44/28))</f>
        <v>NA</v>
      </c>
      <c r="G51" s="4350" t="s">
        <v>2153</v>
      </c>
      <c r="H51" s="4351" t="s">
        <v>2153</v>
      </c>
      <c r="I51" s="4344" t="s">
        <v>2153</v>
      </c>
    </row>
    <row r="52" spans="2:9" ht="18" customHeight="1" x14ac:dyDescent="0.2">
      <c r="B52" s="528" t="s">
        <v>1254</v>
      </c>
      <c r="C52" s="4350" t="s">
        <v>2153</v>
      </c>
      <c r="D52" s="4352" t="s">
        <v>2153</v>
      </c>
      <c r="E52" s="4345" t="str">
        <f t="shared" si="13"/>
        <v>NA</v>
      </c>
      <c r="F52" s="4344" t="str">
        <f t="shared" si="14"/>
        <v>NA</v>
      </c>
      <c r="G52" s="4350" t="s">
        <v>2153</v>
      </c>
      <c r="H52" s="4351" t="s">
        <v>2153</v>
      </c>
      <c r="I52" s="4344" t="s">
        <v>2153</v>
      </c>
    </row>
    <row r="53" spans="2:9" ht="18" customHeight="1" x14ac:dyDescent="0.2">
      <c r="B53" s="528" t="s">
        <v>1255</v>
      </c>
      <c r="C53" s="4350" t="s">
        <v>2146</v>
      </c>
      <c r="D53" s="4352" t="s">
        <v>2146</v>
      </c>
      <c r="E53" s="4345" t="str">
        <f t="shared" si="13"/>
        <v>NA</v>
      </c>
      <c r="F53" s="4344" t="str">
        <f t="shared" si="14"/>
        <v>NA</v>
      </c>
      <c r="G53" s="4350" t="s">
        <v>2146</v>
      </c>
      <c r="H53" s="4351" t="s">
        <v>2146</v>
      </c>
      <c r="I53" s="4344" t="str">
        <f t="shared" si="8"/>
        <v>NO</v>
      </c>
    </row>
    <row r="54" spans="2:9" ht="18" customHeight="1" thickBot="1" x14ac:dyDescent="0.25">
      <c r="B54" s="529" t="s">
        <v>1256</v>
      </c>
      <c r="C54" s="4353" t="s">
        <v>2146</v>
      </c>
      <c r="D54" s="4354" t="s">
        <v>2146</v>
      </c>
      <c r="E54" s="4355" t="str">
        <f t="shared" si="13"/>
        <v>NA</v>
      </c>
      <c r="F54" s="4356" t="str">
        <f t="shared" si="14"/>
        <v>NA</v>
      </c>
      <c r="G54" s="4353" t="s">
        <v>2146</v>
      </c>
      <c r="H54" s="4357" t="s">
        <v>2146</v>
      </c>
      <c r="I54" s="4358" t="str">
        <f t="shared" si="8"/>
        <v>NO</v>
      </c>
    </row>
    <row r="55" spans="2:9" ht="18" customHeight="1" x14ac:dyDescent="0.2">
      <c r="B55" s="916" t="s">
        <v>1983</v>
      </c>
      <c r="C55" s="4359" t="str">
        <f>C56</f>
        <v>NO</v>
      </c>
      <c r="D55" s="4360" t="str">
        <f>D56</f>
        <v>NO</v>
      </c>
      <c r="E55" s="4359" t="str">
        <f t="shared" si="13"/>
        <v>NA</v>
      </c>
      <c r="F55" s="4360" t="str">
        <f t="shared" si="14"/>
        <v>NA</v>
      </c>
      <c r="G55" s="4359" t="str">
        <f>G56</f>
        <v>NO</v>
      </c>
      <c r="H55" s="4361" t="str">
        <f>H56</f>
        <v>NO</v>
      </c>
      <c r="I55" s="4337" t="str">
        <f t="shared" si="8"/>
        <v>NO</v>
      </c>
    </row>
    <row r="56" spans="2:9" ht="18" customHeight="1" x14ac:dyDescent="0.2">
      <c r="B56" s="914" t="s">
        <v>1911</v>
      </c>
      <c r="C56" s="4345" t="str">
        <f>IF(SUM(C58:C62)=0,"NO",SUM(C58:C62))</f>
        <v>NO</v>
      </c>
      <c r="D56" s="4344" t="str">
        <f>IF(SUM(D58:D62)=0,"NO",SUM(D58:D62))</f>
        <v>NO</v>
      </c>
      <c r="E56" s="4345" t="str">
        <f t="shared" si="13"/>
        <v>NA</v>
      </c>
      <c r="F56" s="4344" t="str">
        <f t="shared" si="14"/>
        <v>NA</v>
      </c>
      <c r="G56" s="4345" t="str">
        <f>IF(SUM(G58:G62)=0,"NO",SUM(G58:G62))</f>
        <v>NO</v>
      </c>
      <c r="H56" s="4346" t="str">
        <f>IF(SUM(H58:H62)=0,"NO",SUM(H58:H62))</f>
        <v>NO</v>
      </c>
      <c r="I56" s="4344" t="str">
        <f t="shared" si="8"/>
        <v>NO</v>
      </c>
    </row>
    <row r="57" spans="2:9" ht="18" customHeight="1" x14ac:dyDescent="0.2">
      <c r="B57" s="1488" t="s">
        <v>345</v>
      </c>
      <c r="C57" s="4347"/>
      <c r="D57" s="4348"/>
      <c r="E57" s="4348"/>
      <c r="F57" s="4348"/>
      <c r="G57" s="4348"/>
      <c r="H57" s="4348"/>
      <c r="I57" s="4349"/>
    </row>
    <row r="58" spans="2:9" ht="18" customHeight="1" x14ac:dyDescent="0.2">
      <c r="B58" s="528" t="s">
        <v>1257</v>
      </c>
      <c r="C58" s="4350" t="s">
        <v>2146</v>
      </c>
      <c r="D58" s="4352" t="s">
        <v>2146</v>
      </c>
      <c r="E58" s="4345" t="str">
        <f>IF(SUM(C58)=0,"NA",G58/C58*1000/(44/28))</f>
        <v>NA</v>
      </c>
      <c r="F58" s="4344" t="str">
        <f>IF(SUM(D58)=0,"NA",H58/D58*1000/(44/28))</f>
        <v>NA</v>
      </c>
      <c r="G58" s="4350" t="s">
        <v>2146</v>
      </c>
      <c r="H58" s="4351" t="s">
        <v>2146</v>
      </c>
      <c r="I58" s="4344" t="str">
        <f t="shared" si="8"/>
        <v>NO</v>
      </c>
    </row>
    <row r="59" spans="2:9" ht="18" customHeight="1" x14ac:dyDescent="0.2">
      <c r="B59" s="528" t="s">
        <v>1258</v>
      </c>
      <c r="C59" s="4350" t="s">
        <v>2146</v>
      </c>
      <c r="D59" s="4352" t="s">
        <v>2146</v>
      </c>
      <c r="E59" s="4345" t="str">
        <f t="shared" ref="E59:E62" si="15">IF(SUM(C59)=0,"NA",G59/C59*1000/(44/28))</f>
        <v>NA</v>
      </c>
      <c r="F59" s="4344" t="str">
        <f t="shared" ref="F59:F62" si="16">IF(SUM(D59)=0,"NA",H59/D59*1000/(44/28))</f>
        <v>NA</v>
      </c>
      <c r="G59" s="4350" t="s">
        <v>2146</v>
      </c>
      <c r="H59" s="4351" t="s">
        <v>2146</v>
      </c>
      <c r="I59" s="4344" t="str">
        <f t="shared" si="8"/>
        <v>NO</v>
      </c>
    </row>
    <row r="60" spans="2:9" ht="18" customHeight="1" x14ac:dyDescent="0.2">
      <c r="B60" s="528" t="s">
        <v>1259</v>
      </c>
      <c r="C60" s="4350" t="s">
        <v>2146</v>
      </c>
      <c r="D60" s="4352" t="s">
        <v>2146</v>
      </c>
      <c r="E60" s="4345" t="str">
        <f t="shared" si="15"/>
        <v>NA</v>
      </c>
      <c r="F60" s="4344" t="str">
        <f t="shared" si="16"/>
        <v>NA</v>
      </c>
      <c r="G60" s="4350" t="s">
        <v>2146</v>
      </c>
      <c r="H60" s="4351" t="s">
        <v>2146</v>
      </c>
      <c r="I60" s="4344" t="str">
        <f t="shared" si="8"/>
        <v>NO</v>
      </c>
    </row>
    <row r="61" spans="2:9" ht="18" customHeight="1" x14ac:dyDescent="0.2">
      <c r="B61" s="528" t="s">
        <v>1260</v>
      </c>
      <c r="C61" s="4350" t="s">
        <v>2146</v>
      </c>
      <c r="D61" s="4352" t="s">
        <v>2146</v>
      </c>
      <c r="E61" s="4345" t="str">
        <f t="shared" si="15"/>
        <v>NA</v>
      </c>
      <c r="F61" s="4344" t="str">
        <f t="shared" si="16"/>
        <v>NA</v>
      </c>
      <c r="G61" s="4350" t="s">
        <v>2146</v>
      </c>
      <c r="H61" s="4351" t="s">
        <v>2146</v>
      </c>
      <c r="I61" s="4344" t="str">
        <f t="shared" si="8"/>
        <v>NO</v>
      </c>
    </row>
    <row r="62" spans="2:9" ht="18" customHeight="1" thickBot="1" x14ac:dyDescent="0.25">
      <c r="B62" s="529" t="s">
        <v>1261</v>
      </c>
      <c r="C62" s="4362" t="s">
        <v>2146</v>
      </c>
      <c r="D62" s="4363" t="s">
        <v>2146</v>
      </c>
      <c r="E62" s="4364" t="str">
        <f t="shared" si="15"/>
        <v>NA</v>
      </c>
      <c r="F62" s="4365" t="str">
        <f t="shared" si="16"/>
        <v>NA</v>
      </c>
      <c r="G62" s="4362" t="s">
        <v>2146</v>
      </c>
      <c r="H62" s="4366" t="s">
        <v>2146</v>
      </c>
      <c r="I62" s="4358" t="str">
        <f t="shared" si="8"/>
        <v>NO</v>
      </c>
    </row>
    <row r="63" spans="2:9" ht="13.5" x14ac:dyDescent="0.2">
      <c r="B63" s="912"/>
      <c r="C63" s="913"/>
      <c r="D63" s="913"/>
      <c r="E63" s="913"/>
      <c r="F63" s="913"/>
      <c r="G63" s="913"/>
    </row>
    <row r="64" spans="2:9" ht="13.5" x14ac:dyDescent="0.2">
      <c r="B64" s="788"/>
      <c r="C64" s="84"/>
      <c r="D64" s="84"/>
      <c r="E64" s="84"/>
      <c r="F64" s="84"/>
      <c r="G64" s="84"/>
    </row>
    <row r="65" spans="2:9" x14ac:dyDescent="0.2">
      <c r="B65" s="861"/>
      <c r="C65" s="84"/>
      <c r="D65" s="84"/>
      <c r="E65" s="84"/>
      <c r="F65" s="84"/>
      <c r="G65" s="84"/>
    </row>
    <row r="66" spans="2:9" x14ac:dyDescent="0.2">
      <c r="B66" s="861"/>
      <c r="C66" s="84"/>
      <c r="D66" s="84"/>
      <c r="E66" s="84"/>
      <c r="F66" s="84"/>
      <c r="G66" s="84"/>
    </row>
    <row r="67" spans="2:9" x14ac:dyDescent="0.2">
      <c r="B67" s="530"/>
      <c r="C67" s="514"/>
      <c r="D67" s="514"/>
      <c r="E67" s="514"/>
      <c r="F67" s="514"/>
      <c r="G67" s="514"/>
    </row>
    <row r="68" spans="2:9" x14ac:dyDescent="0.2">
      <c r="B68" s="530"/>
      <c r="C68"/>
      <c r="D68"/>
      <c r="E68"/>
      <c r="F68"/>
      <c r="G68"/>
    </row>
    <row r="69" spans="2:9" x14ac:dyDescent="0.2">
      <c r="B69" s="530"/>
      <c r="C69"/>
      <c r="D69"/>
      <c r="E69"/>
      <c r="F69"/>
      <c r="G69"/>
    </row>
    <row r="70" spans="2:9" x14ac:dyDescent="0.2">
      <c r="B70" s="530"/>
      <c r="C70"/>
      <c r="D70"/>
      <c r="E70"/>
      <c r="F70"/>
      <c r="G70"/>
    </row>
    <row r="71" spans="2:9" x14ac:dyDescent="0.2">
      <c r="B71" s="530"/>
      <c r="C71"/>
      <c r="D71"/>
      <c r="E71"/>
      <c r="F71"/>
      <c r="G71"/>
    </row>
    <row r="72" spans="2:9" x14ac:dyDescent="0.2">
      <c r="B72" s="861"/>
      <c r="C72"/>
      <c r="D72"/>
      <c r="E72"/>
      <c r="F72"/>
      <c r="G72"/>
    </row>
    <row r="73" spans="2:9" ht="13.5" x14ac:dyDescent="0.2">
      <c r="B73" s="787"/>
      <c r="C73" s="787"/>
      <c r="D73" s="787"/>
      <c r="E73" s="514"/>
      <c r="F73" s="514"/>
      <c r="G73" s="514"/>
    </row>
    <row r="74" spans="2:9" ht="13.5" x14ac:dyDescent="0.2">
      <c r="B74" s="787"/>
      <c r="C74" s="787"/>
      <c r="D74" s="787"/>
      <c r="E74" s="514"/>
      <c r="F74" s="514"/>
      <c r="G74" s="514"/>
    </row>
    <row r="75" spans="2:9" ht="13.5" x14ac:dyDescent="0.2">
      <c r="B75" s="787"/>
      <c r="C75" s="787"/>
      <c r="D75" s="787"/>
      <c r="E75" s="514"/>
      <c r="F75" s="514"/>
      <c r="G75" s="514"/>
    </row>
    <row r="76" spans="2:9" ht="13.5" x14ac:dyDescent="0.2">
      <c r="B76" s="787"/>
      <c r="C76"/>
      <c r="D76"/>
      <c r="E76"/>
      <c r="F76"/>
      <c r="G76"/>
    </row>
    <row r="77" spans="2:9" ht="13.5" x14ac:dyDescent="0.2">
      <c r="B77" s="787"/>
      <c r="C77"/>
      <c r="D77"/>
      <c r="E77"/>
      <c r="F77"/>
      <c r="G77"/>
    </row>
    <row r="78" spans="2:9" ht="13.5" thickBot="1" x14ac:dyDescent="0.25">
      <c r="B78" s="861"/>
      <c r="C78"/>
      <c r="D78"/>
      <c r="E78"/>
      <c r="F78"/>
      <c r="G78"/>
    </row>
    <row r="79" spans="2:9" x14ac:dyDescent="0.2">
      <c r="B79" s="531" t="s">
        <v>390</v>
      </c>
      <c r="C79" s="532"/>
      <c r="D79" s="532"/>
      <c r="E79" s="532"/>
      <c r="F79" s="532"/>
      <c r="G79" s="532"/>
      <c r="H79" s="532"/>
      <c r="I79" s="533"/>
    </row>
    <row r="80" spans="2:9" x14ac:dyDescent="0.2">
      <c r="B80" s="1351"/>
      <c r="C80" s="1352"/>
      <c r="D80" s="1352"/>
      <c r="E80" s="1352"/>
      <c r="F80" s="1352"/>
      <c r="G80" s="1352"/>
      <c r="H80" s="1352"/>
      <c r="I80" s="1353"/>
    </row>
    <row r="81" spans="2:10" x14ac:dyDescent="0.2">
      <c r="B81" s="1351"/>
      <c r="C81" s="1352"/>
      <c r="D81" s="1352"/>
      <c r="E81" s="1352"/>
      <c r="F81" s="1352"/>
      <c r="G81" s="1352"/>
      <c r="H81" s="1352"/>
      <c r="I81" s="1353"/>
    </row>
    <row r="82" spans="2:10" x14ac:dyDescent="0.2">
      <c r="B82" s="1344"/>
      <c r="C82" s="1349"/>
      <c r="D82" s="1349"/>
      <c r="E82" s="1349"/>
      <c r="F82" s="1349"/>
      <c r="G82" s="1349"/>
      <c r="H82" s="1349"/>
      <c r="I82" s="1350"/>
      <c r="J82" s="534"/>
    </row>
    <row r="83" spans="2:10" ht="13.5" thickBot="1" x14ac:dyDescent="0.25">
      <c r="B83" s="4468"/>
      <c r="C83" s="4469"/>
      <c r="D83" s="4469"/>
      <c r="E83" s="4469"/>
      <c r="F83" s="4469"/>
      <c r="G83" s="4469"/>
      <c r="H83" s="4469"/>
      <c r="I83" s="4470"/>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3.42578125" customWidth="1"/>
    <col min="12" max="12" width="10.85546875" customWidth="1"/>
  </cols>
  <sheetData>
    <row r="1" spans="2:11" ht="16.350000000000001" customHeight="1" x14ac:dyDescent="0.25">
      <c r="B1" s="987" t="s">
        <v>119</v>
      </c>
      <c r="C1" s="987"/>
      <c r="J1" s="2183"/>
      <c r="K1" s="14" t="s">
        <v>2521</v>
      </c>
    </row>
    <row r="2" spans="2:11" ht="16.350000000000001" customHeight="1" x14ac:dyDescent="0.25">
      <c r="B2" s="1021" t="s">
        <v>120</v>
      </c>
      <c r="J2" s="2183"/>
      <c r="K2" s="14" t="s">
        <v>2522</v>
      </c>
    </row>
    <row r="3" spans="2:11" ht="16.350000000000001" customHeight="1" x14ac:dyDescent="0.25">
      <c r="B3" s="1022" t="s">
        <v>121</v>
      </c>
      <c r="I3" s="2183"/>
      <c r="J3" s="2183"/>
      <c r="K3" s="14" t="s">
        <v>2144</v>
      </c>
    </row>
    <row r="4" spans="2:11" ht="12" customHeight="1" x14ac:dyDescent="0.2">
      <c r="B4" s="2235"/>
      <c r="I4" s="2183"/>
      <c r="J4" s="2183"/>
    </row>
    <row r="5" spans="2:11" ht="12" customHeight="1" x14ac:dyDescent="0.2">
      <c r="B5" s="2551"/>
      <c r="I5" s="2183"/>
      <c r="J5" s="2183"/>
    </row>
    <row r="6" spans="2:11" ht="12" customHeight="1" thickBot="1" x14ac:dyDescent="0.25">
      <c r="B6" s="2448" t="s">
        <v>64</v>
      </c>
      <c r="I6" s="2183"/>
      <c r="J6" s="2183"/>
    </row>
    <row r="7" spans="2:11" ht="12" customHeight="1" x14ac:dyDescent="0.2">
      <c r="B7" s="1860" t="s">
        <v>65</v>
      </c>
      <c r="C7" s="177" t="s">
        <v>122</v>
      </c>
      <c r="D7" s="179"/>
      <c r="E7" s="177" t="s">
        <v>123</v>
      </c>
      <c r="F7" s="178"/>
      <c r="G7" s="179"/>
      <c r="H7" s="177" t="s">
        <v>124</v>
      </c>
      <c r="I7" s="178"/>
      <c r="J7" s="178"/>
      <c r="K7" s="2157" t="s">
        <v>2114</v>
      </c>
    </row>
    <row r="8" spans="2:11" ht="12" customHeight="1" x14ac:dyDescent="0.2">
      <c r="B8" s="1861"/>
      <c r="C8" s="1863" t="s">
        <v>125</v>
      </c>
      <c r="D8" s="1859"/>
      <c r="E8" s="1721" t="s">
        <v>126</v>
      </c>
      <c r="F8" s="1721" t="s">
        <v>67</v>
      </c>
      <c r="G8" s="1859" t="s">
        <v>68</v>
      </c>
      <c r="H8" s="1859" t="s">
        <v>2010</v>
      </c>
      <c r="I8" s="1721" t="s">
        <v>67</v>
      </c>
      <c r="J8" s="1721" t="s">
        <v>68</v>
      </c>
      <c r="K8" s="263" t="s">
        <v>66</v>
      </c>
    </row>
    <row r="9" spans="2:11" ht="19.5" customHeight="1" thickBot="1" x14ac:dyDescent="0.25">
      <c r="B9" s="1862"/>
      <c r="C9" s="1846" t="s">
        <v>127</v>
      </c>
      <c r="D9" s="1747" t="s">
        <v>128</v>
      </c>
      <c r="E9" s="1747" t="s">
        <v>129</v>
      </c>
      <c r="F9" s="1748" t="s">
        <v>130</v>
      </c>
      <c r="G9" s="1772"/>
      <c r="H9" s="1748" t="s">
        <v>73</v>
      </c>
      <c r="I9" s="344"/>
      <c r="J9" s="344"/>
      <c r="K9" s="345"/>
    </row>
    <row r="10" spans="2:11" ht="18" customHeight="1" thickTop="1" x14ac:dyDescent="0.2">
      <c r="B10" s="2181" t="s">
        <v>131</v>
      </c>
      <c r="C10" s="1913">
        <f>IF(SUM(C11:C16)=0,"NO",SUM(C11:C16))</f>
        <v>5051205.4065569285</v>
      </c>
      <c r="D10" s="3076" t="s">
        <v>1814</v>
      </c>
      <c r="E10" s="628"/>
      <c r="F10" s="628"/>
      <c r="G10" s="628"/>
      <c r="H10" s="1913">
        <f>IF(SUM(H11:H15)=0,"NO",SUM(H11:H15))</f>
        <v>360285.88298889197</v>
      </c>
      <c r="I10" s="1913">
        <f t="shared" ref="I10:K10" si="0">IF(SUM(I11:I16)=0,"NO",SUM(I11:I16))</f>
        <v>85.418449411312352</v>
      </c>
      <c r="J10" s="1913">
        <f t="shared" si="0"/>
        <v>12.523654224849876</v>
      </c>
      <c r="K10" s="3085" t="str">
        <f t="shared" si="0"/>
        <v>NO</v>
      </c>
    </row>
    <row r="11" spans="2:11" ht="18" customHeight="1" x14ac:dyDescent="0.2">
      <c r="B11" s="282" t="s">
        <v>132</v>
      </c>
      <c r="C11" s="3086">
        <f>IF(SUM(C18,'Table1.A(a)s2'!C11,'Table1.A(a)s3'!C11,'Table1.A(a)s4'!C11,'Table1.A(a)s4'!C94)=0,"NO",SUM(C18,'Table1.A(a)s2'!C11,'Table1.A(a)s3'!C11,'Table1.A(a)s4'!C11,'Table1.A(a)s4'!C94))</f>
        <v>1666602.6639465357</v>
      </c>
      <c r="D11" s="3077" t="s">
        <v>2145</v>
      </c>
      <c r="E11" s="1913">
        <f>IFERROR(H11*1000/$C11,"NA")</f>
        <v>68.103085962154296</v>
      </c>
      <c r="F11" s="1913">
        <f t="shared" ref="F11:G16" si="1">IFERROR(I11*1000000/$C11,"NA")</f>
        <v>13.948898003871419</v>
      </c>
      <c r="G11" s="1913">
        <f t="shared" si="1"/>
        <v>4.7213785200073026</v>
      </c>
      <c r="H11" s="1913">
        <f>IF(SUM(H18,'Table1.A(a)s2'!H11,'Table1.A(a)s3'!H11,'Table1.A(a)s4'!H11,'Table1.A(a)s4'!H94)=0,"NO",SUM(H18,'Table1.A(a)s2'!H11,'Table1.A(a)s3'!H11,'Table1.A(a)s4'!H11,'Table1.A(a)s4'!H94))</f>
        <v>113500.78448750627</v>
      </c>
      <c r="I11" s="1913">
        <f>IF(SUM(I18,'Table1.A(a)s2'!I11,'Table1.A(a)s3'!I11,'Table1.A(a)s4'!I11,'Table1.A(a)s4'!I94)=0,"NO",SUM(I18,'Table1.A(a)s2'!I11,'Table1.A(a)s3'!I11,'Table1.A(a)s4'!I11,'Table1.A(a)s4'!I94))</f>
        <v>23.247270572370617</v>
      </c>
      <c r="J11" s="1913">
        <f>IF(SUM(J18,'Table1.A(a)s2'!J11,'Table1.A(a)s3'!J11,'Table1.A(a)s4'!J11,'Table1.A(a)s4'!J94)=0,"NO",SUM(J18,'Table1.A(a)s2'!J11,'Table1.A(a)s3'!J11,'Table1.A(a)s4'!J11,'Table1.A(a)s4'!J94))</f>
        <v>7.8686620189441223</v>
      </c>
      <c r="K11" s="3065" t="str">
        <f>IF(SUM(K18,'Table1.A(a)s2'!K11,'Table1.A(a)s3'!K11,'Table1.A(a)s4'!K11,'Table1.A(a)s4'!K94)=0,"NO",SUM(K18,'Table1.A(a)s2'!K11,'Table1.A(a)s3'!K11,'Table1.A(a)s4'!K11,'Table1.A(a)s4'!K94))</f>
        <v>NO</v>
      </c>
    </row>
    <row r="12" spans="2:11" ht="18" customHeight="1" x14ac:dyDescent="0.2">
      <c r="B12" s="282" t="s">
        <v>133</v>
      </c>
      <c r="C12" s="3086">
        <f>IF(SUM(C19,'Table1.A(a)s2'!C12,'Table1.A(a)s3'!C12,'Table1.A(a)s4'!C12,'Table1.A(a)s4'!C95)=0,"NO",SUM(C19,'Table1.A(a)s2'!C12,'Table1.A(a)s3'!C12,'Table1.A(a)s4'!C12,'Table1.A(a)s4'!C95))</f>
        <v>2139353.1791013577</v>
      </c>
      <c r="D12" s="3077" t="s">
        <v>1814</v>
      </c>
      <c r="E12" s="1913">
        <f t="shared" ref="E12:E16" si="2">IFERROR(H12*1000/$C12,"NA")</f>
        <v>90.487284239399045</v>
      </c>
      <c r="F12" s="1913">
        <f t="shared" si="1"/>
        <v>0.68381769267738757</v>
      </c>
      <c r="G12" s="1913">
        <f t="shared" si="1"/>
        <v>1.2860654624126049</v>
      </c>
      <c r="H12" s="1913">
        <f>IF(SUM(H19,'Table1.A(a)s2'!H12,'Table1.A(a)s3'!H12,'Table1.A(a)s4'!H12,'Table1.A(a)s4'!H95)=0,"NO",SUM(H19,'Table1.A(a)s2'!H12,'Table1.A(a)s3'!H12,'Table1.A(a)s4'!H12,'Table1.A(a)s4'!H95))</f>
        <v>193584.25920580653</v>
      </c>
      <c r="I12" s="1913">
        <f>IF(SUM(I19,'Table1.A(a)s2'!I12,'Table1.A(a)s3'!I12,'Table1.A(a)s4'!I12,'Table1.A(a)s4'!I95)=0,"NO",SUM(I19,'Table1.A(a)s2'!I12,'Table1.A(a)s3'!I12,'Table1.A(a)s4'!I12,'Table1.A(a)s4'!I95))</f>
        <v>1.4629275547551244</v>
      </c>
      <c r="J12" s="1913">
        <f>IF(SUM(J19,'Table1.A(a)s2'!J12,'Table1.A(a)s3'!J12,'Table1.A(a)s4'!J12,'Table1.A(a)s4'!J95)=0,"NO",SUM(J19,'Table1.A(a)s2'!J12,'Table1.A(a)s3'!J12,'Table1.A(a)s4'!J12,'Table1.A(a)s4'!J95))</f>
        <v>2.7513482355448642</v>
      </c>
      <c r="K12" s="3065" t="str">
        <f>IF(SUM(K19,'Table1.A(a)s2'!K12,'Table1.A(a)s3'!K12,'Table1.A(a)s4'!K12,'Table1.A(a)s4'!K95)=0,"NO",SUM(K19,'Table1.A(a)s2'!K12,'Table1.A(a)s3'!K12,'Table1.A(a)s4'!K12,'Table1.A(a)s4'!K95))</f>
        <v>NO</v>
      </c>
    </row>
    <row r="13" spans="2:11" ht="18" customHeight="1" x14ac:dyDescent="0.2">
      <c r="B13" s="282" t="s">
        <v>134</v>
      </c>
      <c r="C13" s="3086">
        <f>IF(SUM(C20,'Table1.A(a)s2'!C13,'Table1.A(a)s3'!C13,'Table1.A(a)s4'!C13,'Table1.A(a)s4'!C96)=0,"NO",SUM(C20,'Table1.A(a)s2'!C13,'Table1.A(a)s3'!C13,'Table1.A(a)s4'!C13,'Table1.A(a)s4'!C96))</f>
        <v>1020799.0610064145</v>
      </c>
      <c r="D13" s="3077" t="s">
        <v>2145</v>
      </c>
      <c r="E13" s="1913">
        <f t="shared" si="2"/>
        <v>51.507169191524412</v>
      </c>
      <c r="F13" s="1913">
        <f t="shared" si="1"/>
        <v>9.7132447496446623</v>
      </c>
      <c r="G13" s="1913">
        <f t="shared" si="1"/>
        <v>0.89928890482718526</v>
      </c>
      <c r="H13" s="1913">
        <f>IF(SUM(H20,'Table1.A(a)s2'!H13,'Table1.A(a)s3'!H13,'Table1.A(a)s4'!H13,'Table1.A(a)s4'!H96)=0,"NO",SUM(H20,'Table1.A(a)s2'!H13,'Table1.A(a)s3'!H13,'Table1.A(a)s4'!H13,'Table1.A(a)s4'!H96))</f>
        <v>52578.469945806639</v>
      </c>
      <c r="I13" s="1913">
        <f>IF(SUM(I20,'Table1.A(a)s2'!I13,'Table1.A(a)s3'!I13,'Table1.A(a)s4'!I13,'Table1.A(a)s4'!I96)=0,"NO",SUM(I20,'Table1.A(a)s2'!I13,'Table1.A(a)s3'!I13,'Table1.A(a)s4'!I13,'Table1.A(a)s4'!I96))</f>
        <v>9.9152711197627568</v>
      </c>
      <c r="J13" s="1913">
        <f>IF(SUM(J20,'Table1.A(a)s2'!J13,'Table1.A(a)s3'!J13,'Table1.A(a)s4'!J13,'Table1.A(a)s4'!J96)=0,"NO",SUM(J20,'Table1.A(a)s2'!J13,'Table1.A(a)s3'!J13,'Table1.A(a)s4'!J13,'Table1.A(a)s4'!J96))</f>
        <v>0.91799326962107752</v>
      </c>
      <c r="K13" s="3065" t="str">
        <f>IF(SUM(K20,'Table1.A(a)s2'!K13,'Table1.A(a)s3'!K13,'Table1.A(a)s4'!K13,'Table1.A(a)s4'!K96)=0,"NO",SUM(K20,'Table1.A(a)s2'!K13,'Table1.A(a)s3'!K13,'Table1.A(a)s4'!K13,'Table1.A(a)s4'!K96))</f>
        <v>NO</v>
      </c>
    </row>
    <row r="14" spans="2:11" ht="18" customHeight="1" x14ac:dyDescent="0.2">
      <c r="B14" s="282" t="s">
        <v>135</v>
      </c>
      <c r="C14" s="3086">
        <f>IF(SUM(C21,'Table1.A(a)s2'!C14,'Table1.A(a)s3'!C14,'Table1.A(a)s4'!C14,'Table1.A(a)s4'!C97)=0,"NO",SUM(C21,'Table1.A(a)s2'!C14,'Table1.A(a)s3'!C14,'Table1.A(a)s4'!C14,'Table1.A(a)s4'!C97))</f>
        <v>6918.6814430088089</v>
      </c>
      <c r="D14" s="3077" t="s">
        <v>2145</v>
      </c>
      <c r="E14" s="1913">
        <f t="shared" si="2"/>
        <v>89.954907578732033</v>
      </c>
      <c r="F14" s="1913">
        <f t="shared" si="1"/>
        <v>31.913595360444599</v>
      </c>
      <c r="G14" s="1913">
        <f t="shared" si="1"/>
        <v>0.99729985501389373</v>
      </c>
      <c r="H14" s="1913">
        <f>IF(SUM(H21,'Table1.A(a)s2'!H14,'Table1.A(a)s3'!H14,'Table1.A(a)s4'!H14,'Table1.A(a)s4'!H97)=0,"NO",SUM(H21,'Table1.A(a)s2'!H14,'Table1.A(a)s3'!H14,'Table1.A(a)s4'!H14,'Table1.A(a)s4'!H97))</f>
        <v>622.36934977254577</v>
      </c>
      <c r="I14" s="1913">
        <f>IF(SUM(I21,'Table1.A(a)s2'!I14,'Table1.A(a)s3'!I14,'Table1.A(a)s4'!I14,'Table1.A(a)s4'!I97)=0,"NO",SUM(I21,'Table1.A(a)s2'!I14,'Table1.A(a)s3'!I14,'Table1.A(a)s4'!I14,'Table1.A(a)s4'!I97))</f>
        <v>0.22080000000000005</v>
      </c>
      <c r="J14" s="1913">
        <f>IF(SUM(J21,'Table1.A(a)s2'!J14,'Table1.A(a)s3'!J14,'Table1.A(a)s4'!J14,'Table1.A(a)s4'!J97)=0,"NO",SUM(J21,'Table1.A(a)s2'!J14,'Table1.A(a)s3'!J14,'Table1.A(a)s4'!J14,'Table1.A(a)s4'!J97))</f>
        <v>6.9000000000000016E-3</v>
      </c>
      <c r="K14" s="3065" t="str">
        <f>IF(SUM(K21,'Table1.A(a)s2'!K14,'Table1.A(a)s3'!K14,'Table1.A(a)s4'!K14,'Table1.A(a)s4'!K97)=0,"NO",SUM(K21,'Table1.A(a)s2'!K14,'Table1.A(a)s3'!K14,'Table1.A(a)s4'!K14,'Table1.A(a)s4'!K97))</f>
        <v>NO</v>
      </c>
    </row>
    <row r="15" spans="2:11" ht="18" customHeight="1" x14ac:dyDescent="0.2">
      <c r="B15" s="282" t="s">
        <v>136</v>
      </c>
      <c r="C15" s="3086" t="str">
        <f>IF(SUM(C22,'Table1.A(a)s2'!C15,'Table1.A(a)s4'!C15,'Table1.A(a)s4'!C98)=0,"NO",SUM(C22,'Table1.A(a)s2'!C15,'Table1.A(a)s4'!C15,'Table1.A(a)s4'!C98))</f>
        <v>NO</v>
      </c>
      <c r="D15" s="3077" t="s">
        <v>1814</v>
      </c>
      <c r="E15" s="3078" t="str">
        <f t="shared" si="2"/>
        <v>NA</v>
      </c>
      <c r="F15" s="1913" t="str">
        <f t="shared" si="1"/>
        <v>NA</v>
      </c>
      <c r="G15" s="1913" t="str">
        <f t="shared" si="1"/>
        <v>NA</v>
      </c>
      <c r="H15" s="1913" t="str">
        <f>IF(SUM(H22,'Table1.A(a)s2'!H15,'Table1.A(a)s4'!H15,'Table1.A(a)s4'!H98)=0,"NO",SUM(H22,'Table1.A(a)s2'!H15,'Table1.A(a)s4'!H15,'Table1.A(a)s4'!H98))</f>
        <v>NO</v>
      </c>
      <c r="I15" s="1913" t="str">
        <f>IF(SUM(I22,'Table1.A(a)s2'!I15,'Table1.A(a)s4'!I15,'Table1.A(a)s4'!I98)=0,"NO",SUM(I22,'Table1.A(a)s2'!I15,'Table1.A(a)s4'!I15,'Table1.A(a)s4'!I98))</f>
        <v>NO</v>
      </c>
      <c r="J15" s="1913" t="str">
        <f>IF(SUM(J22,'Table1.A(a)s2'!J15,'Table1.A(a)s4'!J15,'Table1.A(a)s4'!J98)=0,"NO",SUM(J22,'Table1.A(a)s2'!J15,'Table1.A(a)s4'!J15,'Table1.A(a)s4'!J98))</f>
        <v>NO</v>
      </c>
      <c r="K15" s="3065" t="str">
        <f>IF(SUM(K22,'Table1.A(a)s2'!K15,'Table1.A(a)s4'!K15,'Table1.A(a)s4'!K98)=0,"NO",SUM(K22,'Table1.A(a)s2'!K15,'Table1.A(a)s4'!K15,'Table1.A(a)s4'!K98))</f>
        <v>NO</v>
      </c>
    </row>
    <row r="16" spans="2:11" ht="18" customHeight="1" thickBot="1" x14ac:dyDescent="0.25">
      <c r="B16" s="282" t="s">
        <v>137</v>
      </c>
      <c r="C16" s="3086">
        <f>IF(SUM(C23,'Table1.A(a)s2'!C16,'Table1.A(a)s3'!C15,'Table1.A(a)s4'!C16,'Table1.A(a)s4'!C99)=0,"NO",SUM(C23,'Table1.A(a)s2'!C16,'Table1.A(a)s3'!C15,'Table1.A(a)s4'!C16,'Table1.A(a)s4'!C99))</f>
        <v>217531.82105961195</v>
      </c>
      <c r="D16" s="3079" t="s">
        <v>2145</v>
      </c>
      <c r="E16" s="2880">
        <f t="shared" si="2"/>
        <v>87.831315868464898</v>
      </c>
      <c r="F16" s="1913">
        <f t="shared" si="1"/>
        <v>232.48175792435057</v>
      </c>
      <c r="G16" s="1913">
        <f t="shared" si="1"/>
        <v>4.4993449508777728</v>
      </c>
      <c r="H16" s="2880">
        <f>IF(SUM(H23,'Table1.A(a)s2'!H16,'Table1.A(a)s3'!H15,'Table1.A(a)s4'!H16,'Table1.A(a)s4'!H99)=0,"NO",SUM(H23,'Table1.A(a)s2'!H16,'Table1.A(a)s3'!H15,'Table1.A(a)s4'!H16,'Table1.A(a)s4'!H99))</f>
        <v>19106.106086929161</v>
      </c>
      <c r="I16" s="2880">
        <f>IF(SUM(I23,'Table1.A(a)s2'!I16,'Table1.A(a)s3'!I15,'Table1.A(a)s4'!I16,'Table1.A(a)s4'!I99)=0,"NO",SUM(I23,'Table1.A(a)s2'!I16,'Table1.A(a)s3'!I15,'Table1.A(a)s4'!I16,'Table1.A(a)s4'!I99))</f>
        <v>50.572180164423855</v>
      </c>
      <c r="J16" s="2880">
        <f>IF(SUM(J23,'Table1.A(a)s2'!J16,'Table1.A(a)s3'!J15,'Table1.A(a)s4'!J16,'Table1.A(a)s4'!J99)=0,"NO",SUM(J23,'Table1.A(a)s2'!J16,'Table1.A(a)s3'!J15,'Table1.A(a)s4'!J16,'Table1.A(a)s4'!J99))</f>
        <v>0.97875070073981218</v>
      </c>
      <c r="K16" s="3066" t="str">
        <f>IF(SUM(K23,'Table1.A(a)s2'!K16,'Table1.A(a)s3'!K15,'Table1.A(a)s4'!K16,'Table1.A(a)s4'!K99)=0,"NO",SUM(K23,'Table1.A(a)s2'!K16,'Table1.A(a)s3'!K15,'Table1.A(a)s4'!K16,'Table1.A(a)s4'!K99))</f>
        <v>NO</v>
      </c>
    </row>
    <row r="17" spans="2:12" ht="18" customHeight="1" x14ac:dyDescent="0.2">
      <c r="B17" s="2184" t="s">
        <v>76</v>
      </c>
      <c r="C17" s="3067">
        <f>IF(SUM(C18:C23)=0,"NO",SUM(C18:C23))</f>
        <v>2697777.5150687522</v>
      </c>
      <c r="D17" s="3080" t="s">
        <v>1814</v>
      </c>
      <c r="E17" s="3081"/>
      <c r="F17" s="3081"/>
      <c r="G17" s="3081"/>
      <c r="H17" s="3067">
        <f>IF(SUM(H18:H22)=0,"NO",SUM(H18:H22))</f>
        <v>219705.33865122736</v>
      </c>
      <c r="I17" s="3067">
        <f t="shared" ref="I17" si="3">IF(SUM(I18:I23)=0,"NO",SUM(I18:I23))</f>
        <v>12.694811733811816</v>
      </c>
      <c r="J17" s="3067">
        <f t="shared" ref="J17" si="4">IF(SUM(J18:J23)=0,"NO",SUM(J18:J23))</f>
        <v>3.645083868973102</v>
      </c>
      <c r="K17" s="3068" t="str">
        <f t="shared" ref="K17" si="5">IF(SUM(K18:K23)=0,"NO",SUM(K18:K23))</f>
        <v>NO</v>
      </c>
    </row>
    <row r="18" spans="2:12" ht="18" customHeight="1" x14ac:dyDescent="0.2">
      <c r="B18" s="282" t="s">
        <v>132</v>
      </c>
      <c r="C18" s="3086">
        <f>IF(SUM(C25,C54,C61)=0,"NO",SUM(C25,C54,C61))</f>
        <v>166003.17341622832</v>
      </c>
      <c r="D18" s="3077" t="s">
        <v>1814</v>
      </c>
      <c r="E18" s="1913">
        <f>IFERROR(H18*1000/$C18,"NA")</f>
        <v>68.07381486199462</v>
      </c>
      <c r="F18" s="1913">
        <f t="shared" ref="F18:G23" si="6">IFERROR(I18*1000000/$C18,"NA")</f>
        <v>2.4903012516802154</v>
      </c>
      <c r="G18" s="1913">
        <f t="shared" si="6"/>
        <v>1.6950191900959259</v>
      </c>
      <c r="H18" s="3086">
        <f>IF(SUM(H25,H54,H61)=0,"NO",SUM(H25,H54,H61))</f>
        <v>11300.469293639915</v>
      </c>
      <c r="I18" s="3086">
        <f>IF(SUM(I25,I54,I61)=0,"NO",SUM(I25,I54,I61))</f>
        <v>0.41339791054132125</v>
      </c>
      <c r="J18" s="3086">
        <f>IF(SUM(J25,J54,J61)=0,"NO",SUM(J25,J54,J61))</f>
        <v>0.2813785645573289</v>
      </c>
      <c r="K18" s="3069" t="str">
        <f>IF(SUM(K25,K54,K61)=0,"NO",SUM(K25,K54,K61))</f>
        <v>NO</v>
      </c>
      <c r="L18" s="19"/>
    </row>
    <row r="19" spans="2:12" ht="18" customHeight="1" x14ac:dyDescent="0.2">
      <c r="B19" s="282" t="s">
        <v>133</v>
      </c>
      <c r="C19" s="3086">
        <f t="shared" ref="C19:C23" si="7">IF(SUM(C26,C55,C62)=0,"NO",SUM(C26,C55,C62))</f>
        <v>2003855.9028299106</v>
      </c>
      <c r="D19" s="3077" t="s">
        <v>1814</v>
      </c>
      <c r="E19" s="1913">
        <f t="shared" ref="E19:E23" si="8">IFERROR(H19*1000/$C19,"NA")</f>
        <v>91.122837118716504</v>
      </c>
      <c r="F19" s="1913">
        <f t="shared" si="6"/>
        <v>0.66579661737077467</v>
      </c>
      <c r="G19" s="1913">
        <f t="shared" si="6"/>
        <v>1.3257854505359075</v>
      </c>
      <c r="H19" s="3086">
        <f t="shared" ref="H19:K23" si="9">IF(SUM(H26,H55,H62)=0,"NO",SUM(H26,H55,H62))</f>
        <v>182597.03504294856</v>
      </c>
      <c r="I19" s="3086">
        <f t="shared" si="9"/>
        <v>1.3341604818026143</v>
      </c>
      <c r="J19" s="3086">
        <f t="shared" si="9"/>
        <v>2.6566830009423907</v>
      </c>
      <c r="K19" s="3069" t="str">
        <f t="shared" si="9"/>
        <v>NO</v>
      </c>
      <c r="L19" s="19"/>
    </row>
    <row r="20" spans="2:12" ht="18" customHeight="1" x14ac:dyDescent="0.2">
      <c r="B20" s="282" t="s">
        <v>134</v>
      </c>
      <c r="C20" s="3086">
        <f t="shared" si="7"/>
        <v>500950.05479201395</v>
      </c>
      <c r="D20" s="3077" t="s">
        <v>1814</v>
      </c>
      <c r="E20" s="1913">
        <f t="shared" si="8"/>
        <v>51.517779203265846</v>
      </c>
      <c r="F20" s="1913">
        <f t="shared" si="6"/>
        <v>18.209999157818043</v>
      </c>
      <c r="G20" s="1913">
        <f t="shared" si="6"/>
        <v>1.1487965719560815</v>
      </c>
      <c r="H20" s="3086">
        <f t="shared" si="9"/>
        <v>25807.834314638902</v>
      </c>
      <c r="I20" s="3086">
        <f t="shared" si="9"/>
        <v>9.1223000758714772</v>
      </c>
      <c r="J20" s="3086">
        <f t="shared" si="9"/>
        <v>0.57548970566627689</v>
      </c>
      <c r="K20" s="3069" t="str">
        <f t="shared" si="9"/>
        <v>NO</v>
      </c>
      <c r="L20" s="19"/>
    </row>
    <row r="21" spans="2:12" ht="18" customHeight="1" x14ac:dyDescent="0.2">
      <c r="B21" s="282" t="s">
        <v>135</v>
      </c>
      <c r="C21" s="3086" t="str">
        <f t="shared" si="7"/>
        <v>NO</v>
      </c>
      <c r="D21" s="3077" t="s">
        <v>1814</v>
      </c>
      <c r="E21" s="1913" t="str">
        <f t="shared" si="8"/>
        <v>NA</v>
      </c>
      <c r="F21" s="1913" t="str">
        <f t="shared" si="6"/>
        <v>NA</v>
      </c>
      <c r="G21" s="1913" t="str">
        <f t="shared" si="6"/>
        <v>NA</v>
      </c>
      <c r="H21" s="3086" t="str">
        <f t="shared" si="9"/>
        <v>NO</v>
      </c>
      <c r="I21" s="3086" t="str">
        <f t="shared" si="9"/>
        <v>NO</v>
      </c>
      <c r="J21" s="3086" t="str">
        <f t="shared" si="9"/>
        <v>NO</v>
      </c>
      <c r="K21" s="3069" t="str">
        <f t="shared" si="9"/>
        <v>NO</v>
      </c>
      <c r="L21" s="19"/>
    </row>
    <row r="22" spans="2:12" ht="18" customHeight="1" x14ac:dyDescent="0.2">
      <c r="B22" s="282" t="s">
        <v>136</v>
      </c>
      <c r="C22" s="3086" t="str">
        <f t="shared" si="7"/>
        <v>NO</v>
      </c>
      <c r="D22" s="3077" t="s">
        <v>1814</v>
      </c>
      <c r="E22" s="1913" t="str">
        <f t="shared" si="8"/>
        <v>NA</v>
      </c>
      <c r="F22" s="1913" t="str">
        <f t="shared" si="6"/>
        <v>NA</v>
      </c>
      <c r="G22" s="1913" t="str">
        <f t="shared" si="6"/>
        <v>NA</v>
      </c>
      <c r="H22" s="3086" t="str">
        <f t="shared" si="9"/>
        <v>NO</v>
      </c>
      <c r="I22" s="3086" t="str">
        <f t="shared" si="9"/>
        <v>NO</v>
      </c>
      <c r="J22" s="3086" t="str">
        <f t="shared" si="9"/>
        <v>NO</v>
      </c>
      <c r="K22" s="3069" t="str">
        <f t="shared" si="9"/>
        <v>NO</v>
      </c>
      <c r="L22" s="19"/>
    </row>
    <row r="23" spans="2:12" ht="18" customHeight="1" x14ac:dyDescent="0.2">
      <c r="B23" s="282" t="s">
        <v>137</v>
      </c>
      <c r="C23" s="3086">
        <f t="shared" si="7"/>
        <v>26968.384030599074</v>
      </c>
      <c r="D23" s="3077" t="s">
        <v>1814</v>
      </c>
      <c r="E23" s="1913">
        <f t="shared" si="8"/>
        <v>82.38105942578423</v>
      </c>
      <c r="F23" s="1913">
        <f t="shared" si="6"/>
        <v>67.670100793794759</v>
      </c>
      <c r="G23" s="1913">
        <f t="shared" si="6"/>
        <v>4.877288815594758</v>
      </c>
      <c r="H23" s="3086">
        <f t="shared" si="9"/>
        <v>2221.6840474421524</v>
      </c>
      <c r="I23" s="3086">
        <f t="shared" si="9"/>
        <v>1.8249532655964043</v>
      </c>
      <c r="J23" s="3086">
        <f t="shared" si="9"/>
        <v>0.13153259780710513</v>
      </c>
      <c r="K23" s="3069" t="str">
        <f t="shared" si="9"/>
        <v>NO</v>
      </c>
      <c r="L23" s="19"/>
    </row>
    <row r="24" spans="2:12" ht="18" customHeight="1" x14ac:dyDescent="0.2">
      <c r="B24" s="1237" t="s">
        <v>138</v>
      </c>
      <c r="C24" s="3086">
        <f>IF(SUM(C25:C30)=0,"NO",SUM(C25:C30))</f>
        <v>2369994.5182494768</v>
      </c>
      <c r="D24" s="3077" t="s">
        <v>1814</v>
      </c>
      <c r="E24" s="628"/>
      <c r="F24" s="628"/>
      <c r="G24" s="628"/>
      <c r="H24" s="3086">
        <f>IF(SUM(H25:H29)=0,"NO",SUM(H25:H29))</f>
        <v>200199.55586612341</v>
      </c>
      <c r="I24" s="3086">
        <f t="shared" ref="I24" si="10">IF(SUM(I25:I30)=0,"NO",SUM(I25:I30))</f>
        <v>6.2407310712073745</v>
      </c>
      <c r="J24" s="3086">
        <f t="shared" ref="J24" si="11">IF(SUM(J25:J30)=0,"NO",SUM(J25:J30))</f>
        <v>3.2132799383533142</v>
      </c>
      <c r="K24" s="3069" t="str">
        <f t="shared" ref="K24" si="12">IF(SUM(K25:K30)=0,"NO",SUM(K25:K30))</f>
        <v>NO</v>
      </c>
      <c r="L24" s="19"/>
    </row>
    <row r="25" spans="2:12" ht="18" customHeight="1" x14ac:dyDescent="0.2">
      <c r="B25" s="160" t="s">
        <v>132</v>
      </c>
      <c r="C25" s="3074">
        <f>IF(SUM(C33,C40,C47)=0,"NO",SUM(C33,C40,C47))</f>
        <v>38713.767679202356</v>
      </c>
      <c r="D25" s="3082" t="s">
        <v>1814</v>
      </c>
      <c r="E25" s="3086">
        <f>IFERROR(H25*1000/$C25,"NA")</f>
        <v>69.950623076914255</v>
      </c>
      <c r="F25" s="1913">
        <f t="shared" ref="F25:G30" si="13">IFERROR(I25*1000000/$C25,"NA")</f>
        <v>3.404788833866943</v>
      </c>
      <c r="G25" s="1913">
        <f t="shared" si="13"/>
        <v>0.36857268223546652</v>
      </c>
      <c r="H25" s="3086">
        <f>IF(SUM(H33,H40,H47)=0,"NO",SUM(H33,H40,H47))</f>
        <v>2708.0521708151091</v>
      </c>
      <c r="I25" s="3086">
        <f>IF(SUM(I33,I40,I47)=0,"NO",SUM(I33,I40,I47))</f>
        <v>0.13181220391106713</v>
      </c>
      <c r="J25" s="3086">
        <f>IF(SUM(J33,J40,J47)=0,"NO",SUM(J33,J40,J47))</f>
        <v>1.4268837192964323E-2</v>
      </c>
      <c r="K25" s="3069" t="str">
        <f>IF(SUM(K33,K40,K47)=0,"NO",SUM(K33,K40,K47))</f>
        <v>NO</v>
      </c>
      <c r="L25" s="19"/>
    </row>
    <row r="26" spans="2:12" ht="18" customHeight="1" x14ac:dyDescent="0.2">
      <c r="B26" s="160" t="s">
        <v>133</v>
      </c>
      <c r="C26" s="3086">
        <f t="shared" ref="C26:C30" si="14">IF(SUM(C34,C41,C48)=0,"NO",SUM(C34,C41,C48))</f>
        <v>1984384.0718105596</v>
      </c>
      <c r="D26" s="3082" t="s">
        <v>1814</v>
      </c>
      <c r="E26" s="3086">
        <f t="shared" ref="E26:E30" si="15">IFERROR(H26*1000/$C26,"NA")</f>
        <v>91.203336879741514</v>
      </c>
      <c r="F26" s="1913">
        <f t="shared" si="13"/>
        <v>0.66290670924153083</v>
      </c>
      <c r="G26" s="1913">
        <f t="shared" si="13"/>
        <v>1.3311816256455158</v>
      </c>
      <c r="H26" s="3086">
        <f t="shared" ref="H26:K30" si="16">IF(SUM(H34,H41,H48)=0,"NO",SUM(H34,H41,H48))</f>
        <v>180982.44900013163</v>
      </c>
      <c r="I26" s="3086">
        <f t="shared" si="16"/>
        <v>1.3154615149152478</v>
      </c>
      <c r="J26" s="3086">
        <f t="shared" si="16"/>
        <v>2.6415756146178486</v>
      </c>
      <c r="K26" s="3069" t="str">
        <f t="shared" si="16"/>
        <v>NO</v>
      </c>
      <c r="L26" s="19"/>
    </row>
    <row r="27" spans="2:12" ht="18" customHeight="1" x14ac:dyDescent="0.2">
      <c r="B27" s="160" t="s">
        <v>134</v>
      </c>
      <c r="C27" s="3086">
        <f t="shared" si="14"/>
        <v>320081.88414527767</v>
      </c>
      <c r="D27" s="3082" t="s">
        <v>1814</v>
      </c>
      <c r="E27" s="3086">
        <f t="shared" si="15"/>
        <v>51.577597836444795</v>
      </c>
      <c r="F27" s="1913">
        <f t="shared" si="13"/>
        <v>9.2759283927797771</v>
      </c>
      <c r="G27" s="1913">
        <f t="shared" si="13"/>
        <v>1.3323278168247621</v>
      </c>
      <c r="H27" s="3086">
        <f t="shared" si="16"/>
        <v>16509.054695176648</v>
      </c>
      <c r="I27" s="3086">
        <f t="shared" si="16"/>
        <v>2.9690566371576281</v>
      </c>
      <c r="J27" s="3086">
        <f t="shared" si="16"/>
        <v>0.42645399790843425</v>
      </c>
      <c r="K27" s="3069" t="str">
        <f t="shared" si="16"/>
        <v>NO</v>
      </c>
      <c r="L27" s="19"/>
    </row>
    <row r="28" spans="2:12" ht="18" customHeight="1" x14ac:dyDescent="0.2">
      <c r="B28" s="282" t="s">
        <v>135</v>
      </c>
      <c r="C28" s="3086" t="str">
        <f t="shared" si="14"/>
        <v>NO</v>
      </c>
      <c r="D28" s="3082" t="s">
        <v>1814</v>
      </c>
      <c r="E28" s="3086" t="str">
        <f t="shared" si="15"/>
        <v>NA</v>
      </c>
      <c r="F28" s="1913" t="str">
        <f t="shared" si="13"/>
        <v>NA</v>
      </c>
      <c r="G28" s="1913" t="str">
        <f t="shared" si="13"/>
        <v>NA</v>
      </c>
      <c r="H28" s="3086" t="str">
        <f t="shared" si="16"/>
        <v>NO</v>
      </c>
      <c r="I28" s="3086" t="str">
        <f t="shared" si="16"/>
        <v>NO</v>
      </c>
      <c r="J28" s="3086" t="str">
        <f t="shared" si="16"/>
        <v>NO</v>
      </c>
      <c r="K28" s="3069" t="str">
        <f t="shared" si="16"/>
        <v>NO</v>
      </c>
      <c r="L28" s="19"/>
    </row>
    <row r="29" spans="2:12" ht="18" customHeight="1" x14ac:dyDescent="0.2">
      <c r="B29" s="282" t="s">
        <v>136</v>
      </c>
      <c r="C29" s="3086" t="str">
        <f t="shared" si="14"/>
        <v>NO</v>
      </c>
      <c r="D29" s="3082" t="s">
        <v>1814</v>
      </c>
      <c r="E29" s="3086" t="str">
        <f t="shared" si="15"/>
        <v>NA</v>
      </c>
      <c r="F29" s="1913" t="str">
        <f t="shared" si="13"/>
        <v>NA</v>
      </c>
      <c r="G29" s="1913" t="str">
        <f t="shared" si="13"/>
        <v>NA</v>
      </c>
      <c r="H29" s="3086" t="str">
        <f t="shared" si="16"/>
        <v>NO</v>
      </c>
      <c r="I29" s="3086" t="str">
        <f t="shared" si="16"/>
        <v>NO</v>
      </c>
      <c r="J29" s="3086" t="str">
        <f t="shared" si="16"/>
        <v>NO</v>
      </c>
      <c r="K29" s="3069" t="str">
        <f t="shared" si="16"/>
        <v>NO</v>
      </c>
      <c r="L29" s="19"/>
    </row>
    <row r="30" spans="2:12" ht="18" customHeight="1" x14ac:dyDescent="0.2">
      <c r="B30" s="282" t="s">
        <v>137</v>
      </c>
      <c r="C30" s="3086">
        <f t="shared" si="14"/>
        <v>26814.794614436869</v>
      </c>
      <c r="D30" s="3082" t="s">
        <v>1814</v>
      </c>
      <c r="E30" s="3086">
        <f t="shared" si="15"/>
        <v>82.462802907007244</v>
      </c>
      <c r="F30" s="1913">
        <f t="shared" si="13"/>
        <v>68.03709450159981</v>
      </c>
      <c r="G30" s="1913">
        <f t="shared" si="13"/>
        <v>4.8846724547928355</v>
      </c>
      <c r="H30" s="3086">
        <f t="shared" si="16"/>
        <v>2211.2231232821869</v>
      </c>
      <c r="I30" s="3086">
        <f t="shared" si="16"/>
        <v>1.8244007152234309</v>
      </c>
      <c r="J30" s="3086">
        <f t="shared" si="16"/>
        <v>0.13098148863406703</v>
      </c>
      <c r="K30" s="3069" t="str">
        <f t="shared" si="16"/>
        <v>NO</v>
      </c>
      <c r="L30" s="19"/>
    </row>
    <row r="31" spans="2:12" ht="18" customHeight="1" x14ac:dyDescent="0.2">
      <c r="B31" s="1243" t="s">
        <v>139</v>
      </c>
      <c r="C31" s="3083"/>
      <c r="D31" s="3070"/>
      <c r="E31" s="3070"/>
      <c r="F31" s="3070"/>
      <c r="G31" s="3070"/>
      <c r="H31" s="3070"/>
      <c r="I31" s="3070"/>
      <c r="J31" s="3070"/>
      <c r="K31" s="3071"/>
      <c r="L31" s="19"/>
    </row>
    <row r="32" spans="2:12" ht="18" customHeight="1" x14ac:dyDescent="0.2">
      <c r="B32" s="1238" t="s">
        <v>140</v>
      </c>
      <c r="C32" s="3086">
        <f>IF(SUM(C33:C38)=0,"NO",SUM(C33:C38))</f>
        <v>2369994.5182494768</v>
      </c>
      <c r="D32" s="3077" t="s">
        <v>1814</v>
      </c>
      <c r="E32" s="1914"/>
      <c r="F32" s="1914"/>
      <c r="G32" s="1914"/>
      <c r="H32" s="3086">
        <f>IF(SUM(H33:H37)=0,"NO",SUM(H33:H37))</f>
        <v>200199.55586612341</v>
      </c>
      <c r="I32" s="3086">
        <f t="shared" ref="I32" si="17">IF(SUM(I33:I38)=0,"NO",SUM(I33:I38))</f>
        <v>6.2407310712073745</v>
      </c>
      <c r="J32" s="3086">
        <f t="shared" ref="J32" si="18">IF(SUM(J33:J38)=0,"NO",SUM(J33:J38))</f>
        <v>3.2132799383533142</v>
      </c>
      <c r="K32" s="3069" t="str">
        <f t="shared" ref="K32" si="19">IF(SUM(K33:K38)=0,"NO",SUM(K33:K38))</f>
        <v>NO</v>
      </c>
      <c r="L32" s="19"/>
    </row>
    <row r="33" spans="2:12" ht="18" customHeight="1" x14ac:dyDescent="0.2">
      <c r="B33" s="160" t="s">
        <v>132</v>
      </c>
      <c r="C33" s="3033">
        <v>38713.767679202356</v>
      </c>
      <c r="D33" s="3077" t="s">
        <v>1814</v>
      </c>
      <c r="E33" s="1913">
        <f>IFERROR(H33*1000/$C33,"NA")</f>
        <v>69.950623076914255</v>
      </c>
      <c r="F33" s="1913">
        <f t="shared" ref="F33:G38" si="20">IFERROR(I33*1000000/$C33,"NA")</f>
        <v>3.404788833866943</v>
      </c>
      <c r="G33" s="1913">
        <f t="shared" si="20"/>
        <v>0.36857268223546652</v>
      </c>
      <c r="H33" s="3033">
        <v>2708.0521708151091</v>
      </c>
      <c r="I33" s="3033">
        <v>0.13181220391106713</v>
      </c>
      <c r="J33" s="3033">
        <v>1.4268837192964323E-2</v>
      </c>
      <c r="K33" s="3072" t="s">
        <v>2146</v>
      </c>
      <c r="L33" s="19"/>
    </row>
    <row r="34" spans="2:12" ht="18" customHeight="1" x14ac:dyDescent="0.2">
      <c r="B34" s="160" t="s">
        <v>133</v>
      </c>
      <c r="C34" s="3033">
        <v>1984384.0718105596</v>
      </c>
      <c r="D34" s="3077" t="s">
        <v>1814</v>
      </c>
      <c r="E34" s="1913">
        <f t="shared" ref="E34:E38" si="21">IFERROR(H34*1000/$C34,"NA")</f>
        <v>91.203336879741514</v>
      </c>
      <c r="F34" s="1913">
        <f t="shared" si="20"/>
        <v>0.66290670924153083</v>
      </c>
      <c r="G34" s="1913">
        <f t="shared" si="20"/>
        <v>1.3311816256455158</v>
      </c>
      <c r="H34" s="3033">
        <v>180982.44900013163</v>
      </c>
      <c r="I34" s="3033">
        <v>1.3154615149152478</v>
      </c>
      <c r="J34" s="3033">
        <v>2.6415756146178486</v>
      </c>
      <c r="K34" s="3072" t="s">
        <v>2146</v>
      </c>
      <c r="L34" s="19"/>
    </row>
    <row r="35" spans="2:12" ht="18" customHeight="1" x14ac:dyDescent="0.2">
      <c r="B35" s="160" t="s">
        <v>134</v>
      </c>
      <c r="C35" s="3033">
        <v>320081.88414527767</v>
      </c>
      <c r="D35" s="3077" t="s">
        <v>1814</v>
      </c>
      <c r="E35" s="1913">
        <f t="shared" si="21"/>
        <v>51.577597836444795</v>
      </c>
      <c r="F35" s="1913">
        <f t="shared" si="20"/>
        <v>9.2759283927797771</v>
      </c>
      <c r="G35" s="1913">
        <f t="shared" si="20"/>
        <v>1.3323278168247621</v>
      </c>
      <c r="H35" s="3033">
        <v>16509.054695176648</v>
      </c>
      <c r="I35" s="3033">
        <v>2.9690566371576281</v>
      </c>
      <c r="J35" s="3033">
        <v>0.42645399790843425</v>
      </c>
      <c r="K35" s="3072" t="s">
        <v>2146</v>
      </c>
      <c r="L35" s="19"/>
    </row>
    <row r="36" spans="2:12" ht="18" customHeight="1" x14ac:dyDescent="0.2">
      <c r="B36" s="282" t="s">
        <v>135</v>
      </c>
      <c r="C36" s="3033" t="s">
        <v>2146</v>
      </c>
      <c r="D36" s="3077" t="s">
        <v>1814</v>
      </c>
      <c r="E36" s="1913" t="str">
        <f t="shared" si="21"/>
        <v>NA</v>
      </c>
      <c r="F36" s="1913" t="str">
        <f t="shared" si="20"/>
        <v>NA</v>
      </c>
      <c r="G36" s="1913" t="str">
        <f t="shared" si="20"/>
        <v>NA</v>
      </c>
      <c r="H36" s="3033" t="s">
        <v>2146</v>
      </c>
      <c r="I36" s="3033" t="s">
        <v>2146</v>
      </c>
      <c r="J36" s="3033" t="s">
        <v>2146</v>
      </c>
      <c r="K36" s="3072" t="s">
        <v>2146</v>
      </c>
      <c r="L36" s="19"/>
    </row>
    <row r="37" spans="2:12" ht="18" customHeight="1" x14ac:dyDescent="0.2">
      <c r="B37" s="282" t="s">
        <v>136</v>
      </c>
      <c r="C37" s="3033" t="s">
        <v>2146</v>
      </c>
      <c r="D37" s="3077" t="s">
        <v>1814</v>
      </c>
      <c r="E37" s="1913" t="str">
        <f t="shared" si="21"/>
        <v>NA</v>
      </c>
      <c r="F37" s="1913" t="str">
        <f t="shared" si="20"/>
        <v>NA</v>
      </c>
      <c r="G37" s="1913" t="str">
        <f t="shared" si="20"/>
        <v>NA</v>
      </c>
      <c r="H37" s="3033" t="s">
        <v>2146</v>
      </c>
      <c r="I37" s="3033" t="s">
        <v>2146</v>
      </c>
      <c r="J37" s="3033" t="s">
        <v>2146</v>
      </c>
      <c r="K37" s="3072" t="s">
        <v>2146</v>
      </c>
      <c r="L37" s="19"/>
    </row>
    <row r="38" spans="2:12" ht="18" customHeight="1" x14ac:dyDescent="0.2">
      <c r="B38" s="282" t="s">
        <v>137</v>
      </c>
      <c r="C38" s="3033">
        <v>26814.794614436869</v>
      </c>
      <c r="D38" s="3077" t="s">
        <v>1814</v>
      </c>
      <c r="E38" s="1913">
        <f t="shared" si="21"/>
        <v>82.462802907007244</v>
      </c>
      <c r="F38" s="1913">
        <f t="shared" si="20"/>
        <v>68.03709450159981</v>
      </c>
      <c r="G38" s="1913">
        <f t="shared" si="20"/>
        <v>4.8846724547928355</v>
      </c>
      <c r="H38" s="3033">
        <v>2211.2231232821869</v>
      </c>
      <c r="I38" s="3033">
        <v>1.8244007152234309</v>
      </c>
      <c r="J38" s="3033">
        <v>0.13098148863406703</v>
      </c>
      <c r="K38" s="3072" t="s">
        <v>2146</v>
      </c>
      <c r="L38" s="19"/>
    </row>
    <row r="39" spans="2:12" ht="18" customHeight="1" x14ac:dyDescent="0.2">
      <c r="B39" s="1239" t="s">
        <v>141</v>
      </c>
      <c r="C39" s="3086" t="s">
        <v>2146</v>
      </c>
      <c r="D39" s="3077" t="s">
        <v>2147</v>
      </c>
      <c r="E39" s="1914"/>
      <c r="F39" s="1914"/>
      <c r="G39" s="1914"/>
      <c r="H39" s="3086" t="str">
        <f>IF(SUM(H40:H44)=0,"NO",SUM(H40:H44))</f>
        <v>NO</v>
      </c>
      <c r="I39" s="3086" t="str">
        <f t="shared" ref="I39:K39" si="22">IF(SUM(I40:I45)=0,"NO",SUM(I40:I45))</f>
        <v>NO</v>
      </c>
      <c r="J39" s="3086" t="str">
        <f t="shared" si="22"/>
        <v>NO</v>
      </c>
      <c r="K39" s="3069" t="str">
        <f t="shared" si="22"/>
        <v>NO</v>
      </c>
      <c r="L39" s="19"/>
    </row>
    <row r="40" spans="2:12" ht="18" customHeight="1" x14ac:dyDescent="0.2">
      <c r="B40" s="160" t="s">
        <v>132</v>
      </c>
      <c r="C40" s="3087" t="s">
        <v>2146</v>
      </c>
      <c r="D40" s="3077" t="s">
        <v>2147</v>
      </c>
      <c r="E40" s="1913" t="str">
        <f>IFERROR(H40*1000/$C40,"NA")</f>
        <v>NA</v>
      </c>
      <c r="F40" s="1913" t="str">
        <f t="shared" ref="F40:G45" si="23">IFERROR(I40*1000000/$C40,"NA")</f>
        <v>NA</v>
      </c>
      <c r="G40" s="1913" t="str">
        <f t="shared" si="23"/>
        <v>NA</v>
      </c>
      <c r="H40" s="3087" t="s">
        <v>2146</v>
      </c>
      <c r="I40" s="3087" t="s">
        <v>2146</v>
      </c>
      <c r="J40" s="3087" t="s">
        <v>2146</v>
      </c>
      <c r="K40" s="3073" t="s">
        <v>2146</v>
      </c>
      <c r="L40" s="19"/>
    </row>
    <row r="41" spans="2:12" ht="18" customHeight="1" x14ac:dyDescent="0.2">
      <c r="B41" s="160" t="s">
        <v>133</v>
      </c>
      <c r="C41" s="3087" t="s">
        <v>2146</v>
      </c>
      <c r="D41" s="3077" t="s">
        <v>2147</v>
      </c>
      <c r="E41" s="1913" t="str">
        <f t="shared" ref="E41:E45" si="24">IFERROR(H41*1000/$C41,"NA")</f>
        <v>NA</v>
      </c>
      <c r="F41" s="1913" t="str">
        <f t="shared" si="23"/>
        <v>NA</v>
      </c>
      <c r="G41" s="1913" t="str">
        <f t="shared" si="23"/>
        <v>NA</v>
      </c>
      <c r="H41" s="3087" t="s">
        <v>2146</v>
      </c>
      <c r="I41" s="3087" t="s">
        <v>2146</v>
      </c>
      <c r="J41" s="3087" t="s">
        <v>2146</v>
      </c>
      <c r="K41" s="3073" t="s">
        <v>2146</v>
      </c>
      <c r="L41" s="19"/>
    </row>
    <row r="42" spans="2:12" ht="18" customHeight="1" x14ac:dyDescent="0.2">
      <c r="B42" s="160" t="s">
        <v>134</v>
      </c>
      <c r="C42" s="3087" t="s">
        <v>2146</v>
      </c>
      <c r="D42" s="3077" t="s">
        <v>2147</v>
      </c>
      <c r="E42" s="1913" t="str">
        <f t="shared" si="24"/>
        <v>NA</v>
      </c>
      <c r="F42" s="1913" t="str">
        <f t="shared" si="23"/>
        <v>NA</v>
      </c>
      <c r="G42" s="1913" t="str">
        <f t="shared" si="23"/>
        <v>NA</v>
      </c>
      <c r="H42" s="3087" t="s">
        <v>2146</v>
      </c>
      <c r="I42" s="3087" t="s">
        <v>2146</v>
      </c>
      <c r="J42" s="3087" t="s">
        <v>2146</v>
      </c>
      <c r="K42" s="3073" t="s">
        <v>2146</v>
      </c>
      <c r="L42" s="19"/>
    </row>
    <row r="43" spans="2:12" ht="18" customHeight="1" x14ac:dyDescent="0.2">
      <c r="B43" s="282" t="s">
        <v>135</v>
      </c>
      <c r="C43" s="3087" t="s">
        <v>2146</v>
      </c>
      <c r="D43" s="3077" t="s">
        <v>2147</v>
      </c>
      <c r="E43" s="1913" t="str">
        <f t="shared" si="24"/>
        <v>NA</v>
      </c>
      <c r="F43" s="1913" t="str">
        <f t="shared" si="23"/>
        <v>NA</v>
      </c>
      <c r="G43" s="1913" t="str">
        <f t="shared" si="23"/>
        <v>NA</v>
      </c>
      <c r="H43" s="3033" t="s">
        <v>2146</v>
      </c>
      <c r="I43" s="3087" t="s">
        <v>2146</v>
      </c>
      <c r="J43" s="3087" t="s">
        <v>2146</v>
      </c>
      <c r="K43" s="3073" t="s">
        <v>2146</v>
      </c>
      <c r="L43" s="19"/>
    </row>
    <row r="44" spans="2:12" ht="18" customHeight="1" x14ac:dyDescent="0.2">
      <c r="B44" s="282" t="s">
        <v>136</v>
      </c>
      <c r="C44" s="3087" t="s">
        <v>2146</v>
      </c>
      <c r="D44" s="3077" t="s">
        <v>2147</v>
      </c>
      <c r="E44" s="1913" t="str">
        <f t="shared" si="24"/>
        <v>NA</v>
      </c>
      <c r="F44" s="1913" t="str">
        <f t="shared" si="23"/>
        <v>NA</v>
      </c>
      <c r="G44" s="1913" t="str">
        <f t="shared" si="23"/>
        <v>NA</v>
      </c>
      <c r="H44" s="3033" t="s">
        <v>2146</v>
      </c>
      <c r="I44" s="3087" t="s">
        <v>2146</v>
      </c>
      <c r="J44" s="3087" t="s">
        <v>2146</v>
      </c>
      <c r="K44" s="3073" t="s">
        <v>2146</v>
      </c>
      <c r="L44" s="19"/>
    </row>
    <row r="45" spans="2:12" ht="18" customHeight="1" x14ac:dyDescent="0.2">
      <c r="B45" s="282" t="s">
        <v>137</v>
      </c>
      <c r="C45" s="3087" t="s">
        <v>2146</v>
      </c>
      <c r="D45" s="3077" t="s">
        <v>2147</v>
      </c>
      <c r="E45" s="1913" t="str">
        <f t="shared" si="24"/>
        <v>NA</v>
      </c>
      <c r="F45" s="1913" t="str">
        <f t="shared" si="23"/>
        <v>NA</v>
      </c>
      <c r="G45" s="1913" t="str">
        <f t="shared" si="23"/>
        <v>NA</v>
      </c>
      <c r="H45" s="3033" t="s">
        <v>2146</v>
      </c>
      <c r="I45" s="3087" t="s">
        <v>2146</v>
      </c>
      <c r="J45" s="3087" t="s">
        <v>2146</v>
      </c>
      <c r="K45" s="3073" t="s">
        <v>2146</v>
      </c>
      <c r="L45" s="19"/>
    </row>
    <row r="46" spans="2:12" ht="18" customHeight="1" x14ac:dyDescent="0.2">
      <c r="B46" s="1239" t="s">
        <v>142</v>
      </c>
      <c r="C46" s="3086" t="s">
        <v>2146</v>
      </c>
      <c r="D46" s="3077" t="s">
        <v>2147</v>
      </c>
      <c r="E46" s="1914"/>
      <c r="F46" s="1914"/>
      <c r="G46" s="1914"/>
      <c r="H46" s="3086" t="str">
        <f>IF(SUM(H47:H51)=0,"NO",SUM(H47:H51))</f>
        <v>NO</v>
      </c>
      <c r="I46" s="3086" t="str">
        <f t="shared" ref="I46:K46" si="25">IF(SUM(I47:I52)=0,"NO",SUM(I47:I52))</f>
        <v>NO</v>
      </c>
      <c r="J46" s="3086" t="str">
        <f t="shared" si="25"/>
        <v>NO</v>
      </c>
      <c r="K46" s="3069" t="str">
        <f t="shared" si="25"/>
        <v>NO</v>
      </c>
      <c r="L46" s="19"/>
    </row>
    <row r="47" spans="2:12" ht="18" customHeight="1" x14ac:dyDescent="0.2">
      <c r="B47" s="160" t="s">
        <v>132</v>
      </c>
      <c r="C47" s="3087" t="s">
        <v>2146</v>
      </c>
      <c r="D47" s="3077" t="s">
        <v>2147</v>
      </c>
      <c r="E47" s="1913" t="str">
        <f>IFERROR(H47*1000/$C47,"NA")</f>
        <v>NA</v>
      </c>
      <c r="F47" s="1913" t="str">
        <f t="shared" ref="F47:G52" si="26">IFERROR(I47*1000000/$C47,"NA")</f>
        <v>NA</v>
      </c>
      <c r="G47" s="1913" t="str">
        <f t="shared" si="26"/>
        <v>NA</v>
      </c>
      <c r="H47" s="3087" t="s">
        <v>2146</v>
      </c>
      <c r="I47" s="3087" t="s">
        <v>2146</v>
      </c>
      <c r="J47" s="3087" t="s">
        <v>2146</v>
      </c>
      <c r="K47" s="3073" t="s">
        <v>2146</v>
      </c>
    </row>
    <row r="48" spans="2:12" ht="18" customHeight="1" x14ac:dyDescent="0.2">
      <c r="B48" s="160" t="s">
        <v>133</v>
      </c>
      <c r="C48" s="3087" t="s">
        <v>2146</v>
      </c>
      <c r="D48" s="3077" t="s">
        <v>2147</v>
      </c>
      <c r="E48" s="1913" t="str">
        <f t="shared" ref="E48:E52" si="27">IFERROR(H48*1000/$C48,"NA")</f>
        <v>NA</v>
      </c>
      <c r="F48" s="1913" t="str">
        <f t="shared" si="26"/>
        <v>NA</v>
      </c>
      <c r="G48" s="1913" t="str">
        <f t="shared" si="26"/>
        <v>NA</v>
      </c>
      <c r="H48" s="3087" t="s">
        <v>2146</v>
      </c>
      <c r="I48" s="3087" t="s">
        <v>2146</v>
      </c>
      <c r="J48" s="3087" t="s">
        <v>2146</v>
      </c>
      <c r="K48" s="3073" t="s">
        <v>2146</v>
      </c>
    </row>
    <row r="49" spans="2:12" ht="18" customHeight="1" x14ac:dyDescent="0.2">
      <c r="B49" s="160" t="s">
        <v>134</v>
      </c>
      <c r="C49" s="3087" t="s">
        <v>2146</v>
      </c>
      <c r="D49" s="3077" t="s">
        <v>2147</v>
      </c>
      <c r="E49" s="1913" t="str">
        <f t="shared" si="27"/>
        <v>NA</v>
      </c>
      <c r="F49" s="1913" t="str">
        <f t="shared" si="26"/>
        <v>NA</v>
      </c>
      <c r="G49" s="1913" t="str">
        <f t="shared" si="26"/>
        <v>NA</v>
      </c>
      <c r="H49" s="3087" t="s">
        <v>2146</v>
      </c>
      <c r="I49" s="3087" t="s">
        <v>2146</v>
      </c>
      <c r="J49" s="3087" t="s">
        <v>2146</v>
      </c>
      <c r="K49" s="3073" t="s">
        <v>2146</v>
      </c>
    </row>
    <row r="50" spans="2:12" ht="18" customHeight="1" x14ac:dyDescent="0.2">
      <c r="B50" s="282" t="s">
        <v>135</v>
      </c>
      <c r="C50" s="3087" t="s">
        <v>2146</v>
      </c>
      <c r="D50" s="3077" t="s">
        <v>2147</v>
      </c>
      <c r="E50" s="1913" t="str">
        <f t="shared" si="27"/>
        <v>NA</v>
      </c>
      <c r="F50" s="1913" t="str">
        <f t="shared" si="26"/>
        <v>NA</v>
      </c>
      <c r="G50" s="1913" t="str">
        <f t="shared" si="26"/>
        <v>NA</v>
      </c>
      <c r="H50" s="3033" t="s">
        <v>2146</v>
      </c>
      <c r="I50" s="3087" t="s">
        <v>2146</v>
      </c>
      <c r="J50" s="3087" t="s">
        <v>2146</v>
      </c>
      <c r="K50" s="3073" t="s">
        <v>2146</v>
      </c>
    </row>
    <row r="51" spans="2:12" ht="18" customHeight="1" x14ac:dyDescent="0.2">
      <c r="B51" s="282" t="s">
        <v>136</v>
      </c>
      <c r="C51" s="3087" t="s">
        <v>2146</v>
      </c>
      <c r="D51" s="3077" t="s">
        <v>2147</v>
      </c>
      <c r="E51" s="1913" t="str">
        <f t="shared" si="27"/>
        <v>NA</v>
      </c>
      <c r="F51" s="1913" t="str">
        <f t="shared" si="26"/>
        <v>NA</v>
      </c>
      <c r="G51" s="1913" t="str">
        <f t="shared" si="26"/>
        <v>NA</v>
      </c>
      <c r="H51" s="3033" t="s">
        <v>2146</v>
      </c>
      <c r="I51" s="3087" t="s">
        <v>2146</v>
      </c>
      <c r="J51" s="3087" t="s">
        <v>2146</v>
      </c>
      <c r="K51" s="3073" t="s">
        <v>2146</v>
      </c>
    </row>
    <row r="52" spans="2:12" ht="18" customHeight="1" x14ac:dyDescent="0.2">
      <c r="B52" s="282" t="s">
        <v>137</v>
      </c>
      <c r="C52" s="3087" t="s">
        <v>2146</v>
      </c>
      <c r="D52" s="3077" t="s">
        <v>2147</v>
      </c>
      <c r="E52" s="1913" t="str">
        <f t="shared" si="27"/>
        <v>NA</v>
      </c>
      <c r="F52" s="1913" t="str">
        <f t="shared" si="26"/>
        <v>NA</v>
      </c>
      <c r="G52" s="1913" t="str">
        <f t="shared" si="26"/>
        <v>NA</v>
      </c>
      <c r="H52" s="3033" t="s">
        <v>2146</v>
      </c>
      <c r="I52" s="3087" t="s">
        <v>2146</v>
      </c>
      <c r="J52" s="3087" t="s">
        <v>2146</v>
      </c>
      <c r="K52" s="3073" t="s">
        <v>2146</v>
      </c>
    </row>
    <row r="53" spans="2:12" ht="18" customHeight="1" x14ac:dyDescent="0.2">
      <c r="B53" s="1237" t="s">
        <v>78</v>
      </c>
      <c r="C53" s="3086">
        <f>IF(SUM(C54:C59)=0,"NO",SUM(C54:C59))</f>
        <v>80745.699160462056</v>
      </c>
      <c r="D53" s="3077" t="s">
        <v>1814</v>
      </c>
      <c r="E53" s="628"/>
      <c r="F53" s="628"/>
      <c r="G53" s="628"/>
      <c r="H53" s="3086">
        <f>IF(SUM(H54:H58)=0,"NO",SUM(H54:H58))</f>
        <v>4907.4504676359275</v>
      </c>
      <c r="I53" s="3086">
        <f t="shared" ref="I53:K53" si="28">IF(SUM(I54:I59)=0,"NO",SUM(I54:I59))</f>
        <v>6.2566134699094902E-2</v>
      </c>
      <c r="J53" s="3086">
        <f t="shared" si="28"/>
        <v>4.0743923730934307E-2</v>
      </c>
      <c r="K53" s="3069" t="str">
        <f t="shared" si="28"/>
        <v>NO</v>
      </c>
      <c r="L53" s="19"/>
    </row>
    <row r="54" spans="2:12" ht="18" customHeight="1" x14ac:dyDescent="0.2">
      <c r="B54" s="160" t="s">
        <v>132</v>
      </c>
      <c r="C54" s="3033">
        <v>56145.699160462071</v>
      </c>
      <c r="D54" s="3077" t="s">
        <v>1814</v>
      </c>
      <c r="E54" s="1913">
        <f>IFERROR(H54*1000/$C54,"NA")</f>
        <v>64.879720636825198</v>
      </c>
      <c r="F54" s="1913">
        <f t="shared" ref="F54:G59" si="29">IFERROR(I54*1000000/$C54,"NA")</f>
        <v>0.66385961042711239</v>
      </c>
      <c r="G54" s="1913">
        <f t="shared" si="29"/>
        <v>0.53962938637365121</v>
      </c>
      <c r="H54" s="3033">
        <v>3642.7172764900097</v>
      </c>
      <c r="I54" s="3033">
        <v>3.7272861971822203E-2</v>
      </c>
      <c r="J54" s="3033">
        <v>3.0297869185479772E-2</v>
      </c>
      <c r="K54" s="3072" t="s">
        <v>2146</v>
      </c>
    </row>
    <row r="55" spans="2:12" ht="18" customHeight="1" x14ac:dyDescent="0.2">
      <c r="B55" s="160" t="s">
        <v>133</v>
      </c>
      <c r="C55" s="3033" t="s">
        <v>2146</v>
      </c>
      <c r="D55" s="3077" t="s">
        <v>1814</v>
      </c>
      <c r="E55" s="1913" t="str">
        <f t="shared" ref="E55:E59" si="30">IFERROR(H55*1000/$C55,"NA")</f>
        <v>NA</v>
      </c>
      <c r="F55" s="1913" t="str">
        <f t="shared" si="29"/>
        <v>NA</v>
      </c>
      <c r="G55" s="1913" t="str">
        <f t="shared" si="29"/>
        <v>NA</v>
      </c>
      <c r="H55" s="3033" t="s">
        <v>2146</v>
      </c>
      <c r="I55" s="3033" t="s">
        <v>2146</v>
      </c>
      <c r="J55" s="3033" t="s">
        <v>2146</v>
      </c>
      <c r="K55" s="3072" t="s">
        <v>2146</v>
      </c>
    </row>
    <row r="56" spans="2:12" ht="18" customHeight="1" x14ac:dyDescent="0.2">
      <c r="B56" s="160" t="s">
        <v>134</v>
      </c>
      <c r="C56" s="3033">
        <v>24599.999999999982</v>
      </c>
      <c r="D56" s="3077" t="s">
        <v>1814</v>
      </c>
      <c r="E56" s="1913">
        <f t="shared" si="30"/>
        <v>51.411918339264993</v>
      </c>
      <c r="F56" s="1913">
        <f t="shared" si="29"/>
        <v>1.0281818181818179</v>
      </c>
      <c r="G56" s="1913">
        <f t="shared" si="29"/>
        <v>0.42463636363636353</v>
      </c>
      <c r="H56" s="3033">
        <v>1264.7331911459178</v>
      </c>
      <c r="I56" s="3033">
        <v>2.5293272727272702E-2</v>
      </c>
      <c r="J56" s="3033">
        <v>1.0446054545454535E-2</v>
      </c>
      <c r="K56" s="3072" t="s">
        <v>2146</v>
      </c>
    </row>
    <row r="57" spans="2:12" ht="18" customHeight="1" x14ac:dyDescent="0.2">
      <c r="B57" s="282" t="s">
        <v>135</v>
      </c>
      <c r="C57" s="3033" t="s">
        <v>2146</v>
      </c>
      <c r="D57" s="3077" t="s">
        <v>1814</v>
      </c>
      <c r="E57" s="1913" t="str">
        <f t="shared" si="30"/>
        <v>NA</v>
      </c>
      <c r="F57" s="1913" t="str">
        <f t="shared" si="29"/>
        <v>NA</v>
      </c>
      <c r="G57" s="1913" t="str">
        <f t="shared" si="29"/>
        <v>NA</v>
      </c>
      <c r="H57" s="3033" t="s">
        <v>2146</v>
      </c>
      <c r="I57" s="3033" t="s">
        <v>2146</v>
      </c>
      <c r="J57" s="3033" t="s">
        <v>2146</v>
      </c>
      <c r="K57" s="3072" t="s">
        <v>2146</v>
      </c>
    </row>
    <row r="58" spans="2:12" ht="18" customHeight="1" x14ac:dyDescent="0.2">
      <c r="B58" s="282" t="s">
        <v>136</v>
      </c>
      <c r="C58" s="3033" t="s">
        <v>2146</v>
      </c>
      <c r="D58" s="3077" t="s">
        <v>1814</v>
      </c>
      <c r="E58" s="1913" t="str">
        <f t="shared" si="30"/>
        <v>NA</v>
      </c>
      <c r="F58" s="1913" t="str">
        <f t="shared" si="29"/>
        <v>NA</v>
      </c>
      <c r="G58" s="1913" t="str">
        <f t="shared" si="29"/>
        <v>NA</v>
      </c>
      <c r="H58" s="3033" t="s">
        <v>2146</v>
      </c>
      <c r="I58" s="3033" t="s">
        <v>2146</v>
      </c>
      <c r="J58" s="3033" t="s">
        <v>2146</v>
      </c>
      <c r="K58" s="3072" t="s">
        <v>2146</v>
      </c>
    </row>
    <row r="59" spans="2:12" ht="18" customHeight="1" x14ac:dyDescent="0.2">
      <c r="B59" s="282" t="s">
        <v>137</v>
      </c>
      <c r="C59" s="3033" t="s">
        <v>2146</v>
      </c>
      <c r="D59" s="3077" t="s">
        <v>1814</v>
      </c>
      <c r="E59" s="1913" t="str">
        <f t="shared" si="30"/>
        <v>NA</v>
      </c>
      <c r="F59" s="1913" t="str">
        <f t="shared" si="29"/>
        <v>NA</v>
      </c>
      <c r="G59" s="1913" t="str">
        <f t="shared" si="29"/>
        <v>NA</v>
      </c>
      <c r="H59" s="3033" t="s">
        <v>2146</v>
      </c>
      <c r="I59" s="3033" t="s">
        <v>2146</v>
      </c>
      <c r="J59" s="3033" t="s">
        <v>2146</v>
      </c>
      <c r="K59" s="3072" t="s">
        <v>2146</v>
      </c>
    </row>
    <row r="60" spans="2:12" ht="18" customHeight="1" x14ac:dyDescent="0.2">
      <c r="B60" s="1237" t="s">
        <v>143</v>
      </c>
      <c r="C60" s="3086">
        <f>IF(SUM(C61:C66)=0,"NO",SUM(C61:C66))</f>
        <v>247037.29765881351</v>
      </c>
      <c r="D60" s="3077" t="s">
        <v>1814</v>
      </c>
      <c r="E60" s="628"/>
      <c r="F60" s="628"/>
      <c r="G60" s="628"/>
      <c r="H60" s="3086">
        <f>IF(SUM(H61:H65)=0,"NO",SUM(H61:H65))</f>
        <v>14598.332317468044</v>
      </c>
      <c r="I60" s="3086">
        <f t="shared" ref="I60:K60" si="31">IF(SUM(I61:I66)=0,"NO",SUM(I61:I66))</f>
        <v>6.3915145279053469</v>
      </c>
      <c r="J60" s="3086">
        <f t="shared" si="31"/>
        <v>0.39106000688885328</v>
      </c>
      <c r="K60" s="3069" t="str">
        <f t="shared" si="31"/>
        <v>NO</v>
      </c>
      <c r="L60" s="19"/>
    </row>
    <row r="61" spans="2:12" ht="18" customHeight="1" x14ac:dyDescent="0.2">
      <c r="B61" s="160" t="s">
        <v>132</v>
      </c>
      <c r="C61" s="3074">
        <f>IF(SUM(C69,C76,C83)=0,"NO",SUM(C69,C76,C83))</f>
        <v>71143.706576563913</v>
      </c>
      <c r="D61" s="3077" t="s">
        <v>1814</v>
      </c>
      <c r="E61" s="1913">
        <f>IFERROR(H61*1000/$C61,"NA")</f>
        <v>69.57326353256552</v>
      </c>
      <c r="F61" s="1913">
        <f t="shared" ref="F61:G66" si="32">IFERROR(I61*1000000/$C61,"NA")</f>
        <v>3.434075288100229</v>
      </c>
      <c r="G61" s="1913">
        <f t="shared" si="32"/>
        <v>3.3286409940425448</v>
      </c>
      <c r="H61" s="3074">
        <f>IF(SUM(H69,H76,H83)=0,"NO",SUM(H69,H76,H83))</f>
        <v>4949.6998463347954</v>
      </c>
      <c r="I61" s="3074">
        <f>IF(SUM(I69,I76,I83)=0,"NO",SUM(I69,I76,I83))</f>
        <v>0.24431284465843189</v>
      </c>
      <c r="J61" s="3074">
        <f>IF(SUM(J69,J76,J83)=0,"NO",SUM(J69,J76,J83))</f>
        <v>0.23681185817888484</v>
      </c>
      <c r="K61" s="3088" t="str">
        <f>IF(SUM(K69,K76,K83)=0,"NO",SUM(K69,K76,K83))</f>
        <v>NO</v>
      </c>
    </row>
    <row r="62" spans="2:12" ht="18" customHeight="1" x14ac:dyDescent="0.2">
      <c r="B62" s="160" t="s">
        <v>133</v>
      </c>
      <c r="C62" s="3074">
        <f t="shared" ref="C62:C66" si="33">IF(SUM(C70,C77,C84)=0,"NO",SUM(C70,C77,C84))</f>
        <v>19471.831019351084</v>
      </c>
      <c r="D62" s="3077" t="s">
        <v>1814</v>
      </c>
      <c r="E62" s="1913">
        <f t="shared" ref="E62:E66" si="34">IFERROR(H62*1000/$C62,"NA")</f>
        <v>82.919066070999648</v>
      </c>
      <c r="F62" s="1913">
        <f t="shared" si="32"/>
        <v>0.96030860522482642</v>
      </c>
      <c r="G62" s="1913">
        <f t="shared" si="32"/>
        <v>0.77585853685401307</v>
      </c>
      <c r="H62" s="3074">
        <f t="shared" ref="H62:K66" si="35">IF(SUM(H70,H77,H84)=0,"NO",SUM(H70,H77,H84))</f>
        <v>1614.5860428169131</v>
      </c>
      <c r="I62" s="3074">
        <f t="shared" si="35"/>
        <v>1.8698966887366549E-2</v>
      </c>
      <c r="J62" s="3074">
        <f t="shared" si="35"/>
        <v>1.5107386324542319E-2</v>
      </c>
      <c r="K62" s="3088" t="str">
        <f t="shared" si="35"/>
        <v>NO</v>
      </c>
    </row>
    <row r="63" spans="2:12" ht="18" customHeight="1" x14ac:dyDescent="0.2">
      <c r="B63" s="160" t="s">
        <v>134</v>
      </c>
      <c r="C63" s="3074">
        <f t="shared" si="33"/>
        <v>156268.17064673631</v>
      </c>
      <c r="D63" s="3077" t="s">
        <v>1814</v>
      </c>
      <c r="E63" s="1913">
        <f t="shared" si="34"/>
        <v>51.411918339265007</v>
      </c>
      <c r="F63" s="1913">
        <f t="shared" si="32"/>
        <v>39.2143207450708</v>
      </c>
      <c r="G63" s="1913">
        <f t="shared" si="32"/>
        <v>0.88687064447492137</v>
      </c>
      <c r="H63" s="3074">
        <f t="shared" si="35"/>
        <v>8034.0464283163365</v>
      </c>
      <c r="I63" s="3074">
        <f t="shared" si="35"/>
        <v>6.1279501659865758</v>
      </c>
      <c r="J63" s="3074">
        <f t="shared" si="35"/>
        <v>0.13858965321238803</v>
      </c>
      <c r="K63" s="3088" t="str">
        <f t="shared" si="35"/>
        <v>NO</v>
      </c>
    </row>
    <row r="64" spans="2:12" ht="18" customHeight="1" x14ac:dyDescent="0.2">
      <c r="B64" s="282" t="s">
        <v>135</v>
      </c>
      <c r="C64" s="3074" t="str">
        <f t="shared" si="33"/>
        <v>NO</v>
      </c>
      <c r="D64" s="3077" t="s">
        <v>1814</v>
      </c>
      <c r="E64" s="1913" t="str">
        <f t="shared" si="34"/>
        <v>NA</v>
      </c>
      <c r="F64" s="1913" t="str">
        <f t="shared" si="32"/>
        <v>NA</v>
      </c>
      <c r="G64" s="1913" t="str">
        <f t="shared" si="32"/>
        <v>NA</v>
      </c>
      <c r="H64" s="3074" t="str">
        <f t="shared" si="35"/>
        <v>NO</v>
      </c>
      <c r="I64" s="3074" t="str">
        <f t="shared" si="35"/>
        <v>NO</v>
      </c>
      <c r="J64" s="3074" t="str">
        <f t="shared" si="35"/>
        <v>NO</v>
      </c>
      <c r="K64" s="3088" t="str">
        <f t="shared" si="35"/>
        <v>NO</v>
      </c>
    </row>
    <row r="65" spans="2:11" ht="18" customHeight="1" x14ac:dyDescent="0.2">
      <c r="B65" s="282" t="s">
        <v>136</v>
      </c>
      <c r="C65" s="3074" t="str">
        <f t="shared" si="33"/>
        <v>NO</v>
      </c>
      <c r="D65" s="3077" t="s">
        <v>1814</v>
      </c>
      <c r="E65" s="1913" t="str">
        <f t="shared" si="34"/>
        <v>NA</v>
      </c>
      <c r="F65" s="1913" t="str">
        <f t="shared" si="32"/>
        <v>NA</v>
      </c>
      <c r="G65" s="1913" t="str">
        <f t="shared" si="32"/>
        <v>NA</v>
      </c>
      <c r="H65" s="3074" t="str">
        <f t="shared" si="35"/>
        <v>NO</v>
      </c>
      <c r="I65" s="3074" t="str">
        <f t="shared" si="35"/>
        <v>NO</v>
      </c>
      <c r="J65" s="3074" t="str">
        <f t="shared" si="35"/>
        <v>NO</v>
      </c>
      <c r="K65" s="3088" t="str">
        <f t="shared" si="35"/>
        <v>NO</v>
      </c>
    </row>
    <row r="66" spans="2:11" ht="18" customHeight="1" x14ac:dyDescent="0.2">
      <c r="B66" s="282" t="s">
        <v>137</v>
      </c>
      <c r="C66" s="3074">
        <f t="shared" si="33"/>
        <v>153.58941616220667</v>
      </c>
      <c r="D66" s="3077" t="s">
        <v>1814</v>
      </c>
      <c r="E66" s="1913">
        <f t="shared" si="34"/>
        <v>68.109668109668078</v>
      </c>
      <c r="F66" s="1913">
        <f t="shared" si="32"/>
        <v>3.5975810493976867</v>
      </c>
      <c r="G66" s="1913">
        <f t="shared" si="32"/>
        <v>3.5881975907510708</v>
      </c>
      <c r="H66" s="3074">
        <f t="shared" si="35"/>
        <v>10.460924159965588</v>
      </c>
      <c r="I66" s="3074">
        <f t="shared" si="35"/>
        <v>5.5255037297320946E-4</v>
      </c>
      <c r="J66" s="3074">
        <f t="shared" si="35"/>
        <v>5.5110917303809355E-4</v>
      </c>
      <c r="K66" s="3088" t="str">
        <f t="shared" si="35"/>
        <v>NO</v>
      </c>
    </row>
    <row r="67" spans="2:11" ht="18" customHeight="1" x14ac:dyDescent="0.2">
      <c r="B67" s="1243" t="s">
        <v>139</v>
      </c>
      <c r="C67" s="3083"/>
      <c r="D67" s="3070"/>
      <c r="E67" s="3070"/>
      <c r="F67" s="3070"/>
      <c r="G67" s="3070"/>
      <c r="H67" s="3070"/>
      <c r="I67" s="3070"/>
      <c r="J67" s="3070"/>
      <c r="K67" s="3071"/>
    </row>
    <row r="68" spans="2:11" ht="18" customHeight="1" x14ac:dyDescent="0.2">
      <c r="B68" s="1238" t="s">
        <v>144</v>
      </c>
      <c r="C68" s="3086">
        <f>IF(SUM(C69:C74)=0,"NO",SUM(C69:C74))</f>
        <v>20294.258587782741</v>
      </c>
      <c r="D68" s="3077" t="s">
        <v>1814</v>
      </c>
      <c r="E68" s="628"/>
      <c r="F68" s="628"/>
      <c r="G68" s="628"/>
      <c r="H68" s="3086">
        <f>IF(SUM(H69:H73)=0,"NO",SUM(H69:H73))</f>
        <v>1671.7744032268536</v>
      </c>
      <c r="I68" s="3086">
        <f t="shared" ref="I68:K68" si="36">IF(SUM(I69:I74)=0,"NO",SUM(I69:I74))</f>
        <v>2.0593350803015931E-2</v>
      </c>
      <c r="J68" s="3086">
        <f t="shared" si="36"/>
        <v>1.5644214118179144E-2</v>
      </c>
      <c r="K68" s="3069" t="str">
        <f t="shared" si="36"/>
        <v>NO</v>
      </c>
    </row>
    <row r="69" spans="2:11" ht="18" customHeight="1" x14ac:dyDescent="0.2">
      <c r="B69" s="282" t="s">
        <v>132</v>
      </c>
      <c r="C69" s="3033">
        <v>970.26756843165617</v>
      </c>
      <c r="D69" s="3076" t="s">
        <v>1814</v>
      </c>
      <c r="E69" s="1913">
        <f>IFERROR(H69*1000/$C69,"NA")</f>
        <v>73.415996501956627</v>
      </c>
      <c r="F69" s="1913">
        <f t="shared" ref="F69:G74" si="37">IFERROR(I69*1000000/$C69,"NA")</f>
        <v>2.0975491522808101</v>
      </c>
      <c r="G69" s="1913">
        <f t="shared" si="37"/>
        <v>0.66896346405352003</v>
      </c>
      <c r="H69" s="3033">
        <v>71.233160409940439</v>
      </c>
      <c r="I69" s="3033">
        <v>2.0351839156493834E-3</v>
      </c>
      <c r="J69" s="3033">
        <v>6.490735536368265E-4</v>
      </c>
      <c r="K69" s="3072" t="s">
        <v>2146</v>
      </c>
    </row>
    <row r="70" spans="2:11" ht="18" customHeight="1" x14ac:dyDescent="0.2">
      <c r="B70" s="282" t="s">
        <v>133</v>
      </c>
      <c r="C70" s="3033">
        <v>19323.991019351084</v>
      </c>
      <c r="D70" s="3076" t="s">
        <v>1814</v>
      </c>
      <c r="E70" s="1913">
        <f t="shared" ref="E70:E74" si="38">IFERROR(H70*1000/$C70,"NA")</f>
        <v>82.826639756462725</v>
      </c>
      <c r="F70" s="1913">
        <f t="shared" si="37"/>
        <v>0.96036925647410831</v>
      </c>
      <c r="G70" s="1913">
        <f t="shared" si="37"/>
        <v>0.77598569309653243</v>
      </c>
      <c r="H70" s="3033">
        <v>1600.5412428169132</v>
      </c>
      <c r="I70" s="3033">
        <v>1.8558166887366549E-2</v>
      </c>
      <c r="J70" s="3033">
        <v>1.4995140564542318E-2</v>
      </c>
      <c r="K70" s="3072" t="s">
        <v>2146</v>
      </c>
    </row>
    <row r="71" spans="2:11" ht="18" customHeight="1" x14ac:dyDescent="0.2">
      <c r="B71" s="160" t="s">
        <v>134</v>
      </c>
      <c r="C71" s="3033" t="s">
        <v>2146</v>
      </c>
      <c r="D71" s="3076" t="s">
        <v>1814</v>
      </c>
      <c r="E71" s="1913" t="str">
        <f t="shared" si="38"/>
        <v>NA</v>
      </c>
      <c r="F71" s="1913" t="str">
        <f t="shared" si="37"/>
        <v>NA</v>
      </c>
      <c r="G71" s="1913" t="str">
        <f t="shared" si="37"/>
        <v>NA</v>
      </c>
      <c r="H71" s="3033" t="s">
        <v>2146</v>
      </c>
      <c r="I71" s="3033" t="s">
        <v>2146</v>
      </c>
      <c r="J71" s="3033" t="s">
        <v>2146</v>
      </c>
      <c r="K71" s="3072" t="s">
        <v>2146</v>
      </c>
    </row>
    <row r="72" spans="2:11" ht="18" customHeight="1" x14ac:dyDescent="0.2">
      <c r="B72" s="282" t="s">
        <v>135</v>
      </c>
      <c r="C72" s="3033" t="s">
        <v>2146</v>
      </c>
      <c r="D72" s="3076" t="s">
        <v>1814</v>
      </c>
      <c r="E72" s="1913" t="str">
        <f t="shared" si="38"/>
        <v>NA</v>
      </c>
      <c r="F72" s="1913" t="str">
        <f t="shared" si="37"/>
        <v>NA</v>
      </c>
      <c r="G72" s="1913" t="str">
        <f t="shared" si="37"/>
        <v>NA</v>
      </c>
      <c r="H72" s="3033" t="s">
        <v>2146</v>
      </c>
      <c r="I72" s="3033" t="s">
        <v>2146</v>
      </c>
      <c r="J72" s="3033" t="s">
        <v>2146</v>
      </c>
      <c r="K72" s="3072" t="s">
        <v>2146</v>
      </c>
    </row>
    <row r="73" spans="2:11" ht="18" customHeight="1" x14ac:dyDescent="0.2">
      <c r="B73" s="282" t="s">
        <v>136</v>
      </c>
      <c r="C73" s="3033" t="s">
        <v>2146</v>
      </c>
      <c r="D73" s="3076" t="s">
        <v>1814</v>
      </c>
      <c r="E73" s="1913" t="str">
        <f t="shared" si="38"/>
        <v>NA</v>
      </c>
      <c r="F73" s="1913" t="str">
        <f t="shared" si="37"/>
        <v>NA</v>
      </c>
      <c r="G73" s="1913" t="str">
        <f t="shared" si="37"/>
        <v>NA</v>
      </c>
      <c r="H73" s="3033" t="s">
        <v>2146</v>
      </c>
      <c r="I73" s="3033" t="s">
        <v>2146</v>
      </c>
      <c r="J73" s="3033" t="s">
        <v>2146</v>
      </c>
      <c r="K73" s="3072" t="s">
        <v>2146</v>
      </c>
    </row>
    <row r="74" spans="2:11" ht="18" customHeight="1" x14ac:dyDescent="0.2">
      <c r="B74" s="282" t="s">
        <v>137</v>
      </c>
      <c r="C74" s="3033" t="s">
        <v>2146</v>
      </c>
      <c r="D74" s="3076" t="s">
        <v>1814</v>
      </c>
      <c r="E74" s="1913" t="str">
        <f t="shared" si="38"/>
        <v>NA</v>
      </c>
      <c r="F74" s="1913" t="str">
        <f t="shared" si="37"/>
        <v>NA</v>
      </c>
      <c r="G74" s="1913" t="str">
        <f t="shared" si="37"/>
        <v>NA</v>
      </c>
      <c r="H74" s="3033" t="s">
        <v>2146</v>
      </c>
      <c r="I74" s="3033" t="s">
        <v>2146</v>
      </c>
      <c r="J74" s="3033" t="s">
        <v>2146</v>
      </c>
      <c r="K74" s="3072" t="s">
        <v>2146</v>
      </c>
    </row>
    <row r="75" spans="2:11" ht="18" customHeight="1" x14ac:dyDescent="0.2">
      <c r="B75" s="1239" t="s">
        <v>145</v>
      </c>
      <c r="C75" s="3086">
        <f>IF(SUM(C76:C81)=0,"NO",SUM(C76:C81))</f>
        <v>154011.28157269198</v>
      </c>
      <c r="D75" s="3077" t="s">
        <v>1814</v>
      </c>
      <c r="E75" s="628"/>
      <c r="F75" s="628"/>
      <c r="G75" s="628"/>
      <c r="H75" s="3086">
        <f>IF(SUM(H76:H80)=0,"NO",SUM(H76:H80))</f>
        <v>8100.2631341911983</v>
      </c>
      <c r="I75" s="3086">
        <f t="shared" ref="I75:K75" si="39">IF(SUM(I76:I81)=0,"NO",SUM(I76:I81))</f>
        <v>6.1118124299350445</v>
      </c>
      <c r="J75" s="3086">
        <f t="shared" si="39"/>
        <v>0.15205088405457101</v>
      </c>
      <c r="K75" s="3069" t="str">
        <f t="shared" si="39"/>
        <v>NO</v>
      </c>
    </row>
    <row r="76" spans="2:11" ht="18" customHeight="1" x14ac:dyDescent="0.2">
      <c r="B76" s="282" t="s">
        <v>132</v>
      </c>
      <c r="C76" s="3033">
        <v>11080.307910435004</v>
      </c>
      <c r="D76" s="3076" t="s">
        <v>1814</v>
      </c>
      <c r="E76" s="1913">
        <f>IFERROR(H76*1000/$C76,"NA")</f>
        <v>67.859809871121783</v>
      </c>
      <c r="F76" s="1913">
        <f t="shared" ref="F76:G81" si="40">IFERROR(I76*1000000/$C76,"NA")</f>
        <v>2.6419101079269103</v>
      </c>
      <c r="G76" s="1913">
        <f t="shared" si="40"/>
        <v>2.3088672282416729</v>
      </c>
      <c r="H76" s="3033">
        <v>751.90758811560613</v>
      </c>
      <c r="I76" s="3033">
        <v>2.9273177467520738E-2</v>
      </c>
      <c r="J76" s="3033">
        <v>2.558295981323035E-2</v>
      </c>
      <c r="K76" s="3072" t="s">
        <v>2146</v>
      </c>
    </row>
    <row r="77" spans="2:11" ht="18" customHeight="1" x14ac:dyDescent="0.2">
      <c r="B77" s="282" t="s">
        <v>133</v>
      </c>
      <c r="C77" s="3033" t="s">
        <v>2146</v>
      </c>
      <c r="D77" s="3076" t="s">
        <v>1814</v>
      </c>
      <c r="E77" s="1913" t="str">
        <f t="shared" ref="E77:E81" si="41">IFERROR(H77*1000/$C77,"NA")</f>
        <v>NA</v>
      </c>
      <c r="F77" s="1913" t="str">
        <f t="shared" si="40"/>
        <v>NA</v>
      </c>
      <c r="G77" s="1913" t="str">
        <f t="shared" si="40"/>
        <v>NA</v>
      </c>
      <c r="H77" s="3033" t="s">
        <v>2146</v>
      </c>
      <c r="I77" s="3033" t="s">
        <v>2146</v>
      </c>
      <c r="J77" s="3033" t="s">
        <v>2146</v>
      </c>
      <c r="K77" s="3072" t="s">
        <v>2146</v>
      </c>
    </row>
    <row r="78" spans="2:11" ht="18" customHeight="1" x14ac:dyDescent="0.2">
      <c r="B78" s="160" t="s">
        <v>134</v>
      </c>
      <c r="C78" s="3033">
        <v>142930.97366225696</v>
      </c>
      <c r="D78" s="3076" t="s">
        <v>1814</v>
      </c>
      <c r="E78" s="1913">
        <f t="shared" si="41"/>
        <v>51.411918339265007</v>
      </c>
      <c r="F78" s="1913">
        <f t="shared" si="40"/>
        <v>42.555781274116576</v>
      </c>
      <c r="G78" s="1913">
        <f t="shared" si="40"/>
        <v>0.88481818181818184</v>
      </c>
      <c r="H78" s="3033">
        <v>7348.3555460755924</v>
      </c>
      <c r="I78" s="3033">
        <v>6.0825392524675239</v>
      </c>
      <c r="J78" s="3033">
        <v>0.12646792424134065</v>
      </c>
      <c r="K78" s="3072" t="s">
        <v>2146</v>
      </c>
    </row>
    <row r="79" spans="2:11" ht="18" customHeight="1" x14ac:dyDescent="0.2">
      <c r="B79" s="282" t="s">
        <v>135</v>
      </c>
      <c r="C79" s="3033" t="s">
        <v>2146</v>
      </c>
      <c r="D79" s="3076" t="s">
        <v>1814</v>
      </c>
      <c r="E79" s="1913" t="str">
        <f t="shared" si="41"/>
        <v>NA</v>
      </c>
      <c r="F79" s="1913" t="str">
        <f t="shared" si="40"/>
        <v>NA</v>
      </c>
      <c r="G79" s="1913" t="str">
        <f t="shared" si="40"/>
        <v>NA</v>
      </c>
      <c r="H79" s="3033" t="s">
        <v>2146</v>
      </c>
      <c r="I79" s="3033" t="s">
        <v>2146</v>
      </c>
      <c r="J79" s="3033" t="s">
        <v>2146</v>
      </c>
      <c r="K79" s="3072" t="s">
        <v>2146</v>
      </c>
    </row>
    <row r="80" spans="2:11" ht="18" customHeight="1" x14ac:dyDescent="0.2">
      <c r="B80" s="282" t="s">
        <v>136</v>
      </c>
      <c r="C80" s="3033" t="s">
        <v>2146</v>
      </c>
      <c r="D80" s="3076" t="s">
        <v>1814</v>
      </c>
      <c r="E80" s="1913" t="str">
        <f t="shared" si="41"/>
        <v>NA</v>
      </c>
      <c r="F80" s="1913" t="str">
        <f t="shared" si="40"/>
        <v>NA</v>
      </c>
      <c r="G80" s="1913" t="str">
        <f t="shared" si="40"/>
        <v>NA</v>
      </c>
      <c r="H80" s="3033" t="s">
        <v>2146</v>
      </c>
      <c r="I80" s="3033" t="s">
        <v>2146</v>
      </c>
      <c r="J80" s="3033" t="s">
        <v>2146</v>
      </c>
      <c r="K80" s="3072" t="s">
        <v>2146</v>
      </c>
    </row>
    <row r="81" spans="2:11" ht="18" customHeight="1" x14ac:dyDescent="0.2">
      <c r="B81" s="282" t="s">
        <v>137</v>
      </c>
      <c r="C81" s="3033" t="s">
        <v>2146</v>
      </c>
      <c r="D81" s="3076" t="s">
        <v>1814</v>
      </c>
      <c r="E81" s="1913" t="str">
        <f t="shared" si="41"/>
        <v>NA</v>
      </c>
      <c r="F81" s="1913" t="str">
        <f t="shared" si="40"/>
        <v>NA</v>
      </c>
      <c r="G81" s="1913" t="str">
        <f t="shared" si="40"/>
        <v>NA</v>
      </c>
      <c r="H81" s="3033" t="s">
        <v>2146</v>
      </c>
      <c r="I81" s="3033" t="s">
        <v>2146</v>
      </c>
      <c r="J81" s="3033" t="s">
        <v>2146</v>
      </c>
      <c r="K81" s="3072" t="s">
        <v>2146</v>
      </c>
    </row>
    <row r="82" spans="2:11" ht="18" customHeight="1" x14ac:dyDescent="0.2">
      <c r="B82" s="1239" t="s">
        <v>146</v>
      </c>
      <c r="C82" s="3086">
        <f>IF(SUM(C83:C88)=0,"NO",SUM(C83:C88))</f>
        <v>72731.757498338819</v>
      </c>
      <c r="D82" s="3077" t="s">
        <v>1814</v>
      </c>
      <c r="E82" s="628"/>
      <c r="F82" s="628"/>
      <c r="G82" s="628"/>
      <c r="H82" s="3086">
        <f>IF(SUM(H83:H87)=0,"NO",SUM(H83:H87))</f>
        <v>4826.2947800499915</v>
      </c>
      <c r="I82" s="3086">
        <f t="shared" ref="I82:K82" si="42">IF(SUM(I83:I88)=0,"NO",SUM(I83:I88))</f>
        <v>0.25910874716728693</v>
      </c>
      <c r="J82" s="3086">
        <f t="shared" si="42"/>
        <v>0.22336490871610312</v>
      </c>
      <c r="K82" s="3069" t="str">
        <f t="shared" si="42"/>
        <v>NO</v>
      </c>
    </row>
    <row r="83" spans="2:11" ht="18" customHeight="1" x14ac:dyDescent="0.2">
      <c r="B83" s="282" t="s">
        <v>132</v>
      </c>
      <c r="C83" s="3033">
        <v>59093.13109769726</v>
      </c>
      <c r="D83" s="3076" t="s">
        <v>1814</v>
      </c>
      <c r="E83" s="1913">
        <f>IFERROR(H83*1000/$C83,"NA")</f>
        <v>69.831451154397413</v>
      </c>
      <c r="F83" s="1913">
        <f t="shared" ref="F83:G88" si="43">IFERROR(I83*1000000/$C83,"NA")</f>
        <v>3.6045557126276919</v>
      </c>
      <c r="G83" s="1913">
        <f t="shared" si="43"/>
        <v>3.5635245738438037</v>
      </c>
      <c r="H83" s="3033">
        <v>4126.5590978092487</v>
      </c>
      <c r="I83" s="3033">
        <v>0.21300448327526178</v>
      </c>
      <c r="J83" s="3033">
        <v>0.21057982481201765</v>
      </c>
      <c r="K83" s="3072" t="s">
        <v>2146</v>
      </c>
    </row>
    <row r="84" spans="2:11" ht="18" customHeight="1" x14ac:dyDescent="0.2">
      <c r="B84" s="282" t="s">
        <v>133</v>
      </c>
      <c r="C84" s="3033">
        <v>147.84</v>
      </c>
      <c r="D84" s="3076" t="s">
        <v>1814</v>
      </c>
      <c r="E84" s="1913">
        <f t="shared" ref="E84:E88" si="44">IFERROR(H84*1000/$C84,"NA")</f>
        <v>95</v>
      </c>
      <c r="F84" s="1913">
        <f t="shared" si="43"/>
        <v>0.95238095238095244</v>
      </c>
      <c r="G84" s="1913">
        <f t="shared" si="43"/>
        <v>0.75923809523809527</v>
      </c>
      <c r="H84" s="3033">
        <v>14.0448</v>
      </c>
      <c r="I84" s="3033">
        <v>1.4080000000000001E-4</v>
      </c>
      <c r="J84" s="3033">
        <v>1.1224576000000001E-4</v>
      </c>
      <c r="K84" s="3072" t="s">
        <v>2146</v>
      </c>
    </row>
    <row r="85" spans="2:11" ht="18" customHeight="1" x14ac:dyDescent="0.2">
      <c r="B85" s="282" t="s">
        <v>134</v>
      </c>
      <c r="C85" s="3033">
        <v>13337.196984479346</v>
      </c>
      <c r="D85" s="3076" t="s">
        <v>1814</v>
      </c>
      <c r="E85" s="1913">
        <f t="shared" si="44"/>
        <v>51.411918339265007</v>
      </c>
      <c r="F85" s="1913">
        <f t="shared" si="43"/>
        <v>3.4048318827334692</v>
      </c>
      <c r="G85" s="1913">
        <f t="shared" si="43"/>
        <v>0.90886630715236438</v>
      </c>
      <c r="H85" s="3033">
        <v>685.69088224074358</v>
      </c>
      <c r="I85" s="3033">
        <v>4.5410913519051958E-2</v>
      </c>
      <c r="J85" s="3033">
        <v>1.2121728971047392E-2</v>
      </c>
      <c r="K85" s="3072" t="s">
        <v>2146</v>
      </c>
    </row>
    <row r="86" spans="2:11" ht="18" customHeight="1" x14ac:dyDescent="0.2">
      <c r="B86" s="282" t="s">
        <v>135</v>
      </c>
      <c r="C86" s="3033" t="s">
        <v>2146</v>
      </c>
      <c r="D86" s="3076" t="s">
        <v>1814</v>
      </c>
      <c r="E86" s="1913" t="str">
        <f t="shared" si="44"/>
        <v>NA</v>
      </c>
      <c r="F86" s="1913" t="str">
        <f t="shared" si="43"/>
        <v>NA</v>
      </c>
      <c r="G86" s="1913" t="str">
        <f t="shared" si="43"/>
        <v>NA</v>
      </c>
      <c r="H86" s="3033" t="s">
        <v>2146</v>
      </c>
      <c r="I86" s="3033" t="s">
        <v>2146</v>
      </c>
      <c r="J86" s="3033" t="s">
        <v>2146</v>
      </c>
      <c r="K86" s="3072" t="s">
        <v>2146</v>
      </c>
    </row>
    <row r="87" spans="2:11" ht="18" customHeight="1" x14ac:dyDescent="0.2">
      <c r="B87" s="282" t="s">
        <v>136</v>
      </c>
      <c r="C87" s="3033" t="s">
        <v>2146</v>
      </c>
      <c r="D87" s="3076" t="s">
        <v>1814</v>
      </c>
      <c r="E87" s="1913" t="str">
        <f t="shared" si="44"/>
        <v>NA</v>
      </c>
      <c r="F87" s="1913" t="str">
        <f t="shared" si="43"/>
        <v>NA</v>
      </c>
      <c r="G87" s="1913" t="str">
        <f t="shared" si="43"/>
        <v>NA</v>
      </c>
      <c r="H87" s="3033" t="s">
        <v>2146</v>
      </c>
      <c r="I87" s="3033" t="s">
        <v>2146</v>
      </c>
      <c r="J87" s="3033" t="s">
        <v>2146</v>
      </c>
      <c r="K87" s="3072" t="s">
        <v>2146</v>
      </c>
    </row>
    <row r="88" spans="2:11" ht="18" customHeight="1" thickBot="1" x14ac:dyDescent="0.25">
      <c r="B88" s="2185" t="s">
        <v>137</v>
      </c>
      <c r="C88" s="3040">
        <v>153.58941616220667</v>
      </c>
      <c r="D88" s="3084" t="s">
        <v>1814</v>
      </c>
      <c r="E88" s="2880">
        <f t="shared" si="44"/>
        <v>68.109668109668078</v>
      </c>
      <c r="F88" s="2880">
        <f t="shared" si="43"/>
        <v>3.5975810493976867</v>
      </c>
      <c r="G88" s="2880">
        <f t="shared" si="43"/>
        <v>3.5881975907510708</v>
      </c>
      <c r="H88" s="3040">
        <v>10.460924159965588</v>
      </c>
      <c r="I88" s="3040">
        <v>5.5255037297320946E-4</v>
      </c>
      <c r="J88" s="3040">
        <v>5.5110917303809355E-4</v>
      </c>
      <c r="K88" s="3075" t="s">
        <v>2146</v>
      </c>
    </row>
    <row r="90" spans="2:11" ht="12" customHeight="1" x14ac:dyDescent="0.2">
      <c r="B90" s="2015"/>
      <c r="C90" s="2015"/>
    </row>
    <row r="92" spans="2:11" ht="12" customHeight="1" x14ac:dyDescent="0.2">
      <c r="B92" s="2186"/>
      <c r="C92" s="2186"/>
      <c r="D92" s="2186"/>
      <c r="E92" s="2186"/>
      <c r="F92" s="2186"/>
      <c r="G92" s="2187"/>
      <c r="H92" s="2187"/>
      <c r="I92" s="2187"/>
      <c r="J92" s="2188"/>
      <c r="K92" s="2188"/>
    </row>
    <row r="93" spans="2:11" ht="12" customHeight="1" x14ac:dyDescent="0.2">
      <c r="B93" s="2189"/>
      <c r="C93" s="2189"/>
      <c r="D93" s="2189"/>
      <c r="E93" s="2189"/>
      <c r="F93" s="2189"/>
      <c r="G93" s="2189"/>
      <c r="H93" s="2189"/>
      <c r="I93" s="2189"/>
      <c r="J93" s="2189"/>
    </row>
    <row r="94" spans="2:11" ht="12" customHeight="1" x14ac:dyDescent="0.2">
      <c r="B94" s="2189"/>
      <c r="C94" s="2189"/>
      <c r="D94" s="2189"/>
      <c r="E94" s="2189"/>
      <c r="F94" s="2189"/>
      <c r="G94" s="2189"/>
      <c r="H94" s="2189"/>
      <c r="I94" s="2189"/>
      <c r="J94" s="2189"/>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showGridLines="0" zoomScale="80" zoomScaleNormal="80" workbookViewId="0">
      <pane xSplit="3" ySplit="9" topLeftCell="D10"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85546875" style="83" customWidth="1"/>
    <col min="2" max="2" width="40.85546875" style="83" customWidth="1"/>
    <col min="3" max="3" width="26.28515625" style="83" customWidth="1"/>
    <col min="4" max="4" width="15.28515625" style="83" customWidth="1"/>
    <col min="5" max="5" width="11.85546875" style="83" customWidth="1"/>
    <col min="6" max="6" width="12.28515625" style="83" customWidth="1"/>
    <col min="7" max="12" width="12.5703125" style="83" customWidth="1"/>
    <col min="13" max="13" width="15" style="83" customWidth="1"/>
    <col min="14" max="16384" width="9.140625" style="83"/>
  </cols>
  <sheetData>
    <row r="1" spans="2:13" ht="15.75" customHeight="1" x14ac:dyDescent="0.25">
      <c r="B1" s="13" t="s">
        <v>1262</v>
      </c>
      <c r="C1" s="13"/>
      <c r="L1" s="14" t="s">
        <v>2521</v>
      </c>
    </row>
    <row r="2" spans="2:13" ht="18.75" x14ac:dyDescent="0.25">
      <c r="B2" s="535" t="s">
        <v>1263</v>
      </c>
      <c r="C2" s="535"/>
      <c r="L2" s="14" t="s">
        <v>2522</v>
      </c>
    </row>
    <row r="3" spans="2:13" ht="15.75" x14ac:dyDescent="0.25">
      <c r="B3" s="13" t="s">
        <v>62</v>
      </c>
      <c r="C3" s="13"/>
      <c r="L3" s="14" t="s">
        <v>2144</v>
      </c>
    </row>
    <row r="4" spans="2:13" ht="15.75" hidden="1" x14ac:dyDescent="0.25">
      <c r="B4" s="13"/>
      <c r="C4" s="13"/>
      <c r="L4" s="2"/>
    </row>
    <row r="5" spans="2:13" ht="15.75" hidden="1" x14ac:dyDescent="0.25">
      <c r="B5" s="13"/>
      <c r="C5" s="13"/>
      <c r="L5" s="2"/>
    </row>
    <row r="6" spans="2:13" ht="13.5" thickBot="1" x14ac:dyDescent="0.25">
      <c r="B6" s="2446" t="s">
        <v>64</v>
      </c>
    </row>
    <row r="7" spans="2:13" x14ac:dyDescent="0.2">
      <c r="B7" s="818" t="s">
        <v>65</v>
      </c>
      <c r="C7" s="819"/>
      <c r="D7" s="812" t="s">
        <v>419</v>
      </c>
      <c r="E7" s="813"/>
      <c r="F7" s="814"/>
      <c r="G7" s="813" t="s">
        <v>305</v>
      </c>
      <c r="H7" s="813"/>
      <c r="I7" s="814"/>
      <c r="J7" s="815" t="s">
        <v>124</v>
      </c>
      <c r="K7" s="816"/>
      <c r="L7" s="817"/>
    </row>
    <row r="8" spans="2:13" ht="14.25" x14ac:dyDescent="0.2">
      <c r="B8" s="820"/>
      <c r="C8" s="821"/>
      <c r="D8" s="536" t="s">
        <v>1264</v>
      </c>
      <c r="E8" s="537" t="s">
        <v>219</v>
      </c>
      <c r="F8" s="538" t="s">
        <v>1265</v>
      </c>
      <c r="G8" s="539" t="s">
        <v>66</v>
      </c>
      <c r="H8" s="539" t="s">
        <v>67</v>
      </c>
      <c r="I8" s="540" t="s">
        <v>68</v>
      </c>
      <c r="J8" s="541" t="s">
        <v>1984</v>
      </c>
      <c r="K8" s="539" t="s">
        <v>67</v>
      </c>
      <c r="L8" s="540" t="s">
        <v>68</v>
      </c>
    </row>
    <row r="9" spans="2:13" ht="15" thickBot="1" x14ac:dyDescent="0.25">
      <c r="B9" s="925" t="s">
        <v>1266</v>
      </c>
      <c r="C9" s="926" t="s">
        <v>1267</v>
      </c>
      <c r="D9" s="927"/>
      <c r="E9" s="928" t="s">
        <v>1268</v>
      </c>
      <c r="F9" s="929"/>
      <c r="G9" s="930" t="s">
        <v>1269</v>
      </c>
      <c r="H9" s="930"/>
      <c r="I9" s="931"/>
      <c r="J9" s="932" t="s">
        <v>73</v>
      </c>
      <c r="K9" s="930"/>
      <c r="L9" s="931"/>
    </row>
    <row r="10" spans="2:13" ht="18" customHeight="1" thickTop="1" thickBot="1" x14ac:dyDescent="0.25">
      <c r="B10" s="936" t="s">
        <v>2033</v>
      </c>
      <c r="C10" s="937"/>
      <c r="D10" s="2849"/>
      <c r="E10" s="2853" t="s">
        <v>2250</v>
      </c>
      <c r="F10" s="3678">
        <f>IF(SUM(F11,F25,F36,F48,F59,F70,F76)=0,"NO",SUM(F11,F25,F36,F48,F59,F70,F76))</f>
        <v>15121915.66254098</v>
      </c>
      <c r="G10" s="3657" t="s">
        <v>2147</v>
      </c>
      <c r="H10" s="3658">
        <f t="shared" ref="H10:H13" si="0">IF(SUM($F10)=0,"NA",K10*1000/$F10)</f>
        <v>4.3404705171298047E-2</v>
      </c>
      <c r="I10" s="3659">
        <f t="shared" ref="I10:I13" si="1">IF(SUM($F10)=0,"NA",L10*1000/$F10)</f>
        <v>9.8490387255480692E-4</v>
      </c>
      <c r="J10" s="3499" t="str">
        <f>IF(SUM(J11,J25,J36,J48,J59,J70,J76)=0,"IE",SUM(J11,J25,J36,J48,J59,J70,J76))</f>
        <v>IE</v>
      </c>
      <c r="K10" s="3500">
        <f>IF(SUM(K11,K25,K36,K48,K59,K70,K76)=0,"NO",SUM(K11,K25,K36,K48,K59,K70,K76))</f>
        <v>656.36229095782539</v>
      </c>
      <c r="L10" s="3501">
        <f>IF(SUM(L11,L25,L36,L48,L59,L70,L76)=0,"NO",SUM(L11,L25,L36,L48,L59,L70,L76))</f>
        <v>14.893633296483801</v>
      </c>
    </row>
    <row r="11" spans="2:13" ht="18" customHeight="1" x14ac:dyDescent="0.2">
      <c r="B11" s="933" t="s">
        <v>1985</v>
      </c>
      <c r="C11" s="934"/>
      <c r="D11" s="2850"/>
      <c r="E11" s="2854" t="s">
        <v>2250</v>
      </c>
      <c r="F11" s="3679">
        <f>IF(SUM(F12,F19)=0,"NO",SUM(F12,F19))</f>
        <v>3808813.8597219391</v>
      </c>
      <c r="G11" s="3660" t="s">
        <v>2147</v>
      </c>
      <c r="H11" s="3661">
        <f t="shared" si="0"/>
        <v>6.5088626656178566E-2</v>
      </c>
      <c r="I11" s="3662">
        <f t="shared" si="1"/>
        <v>1.0721187522797671E-3</v>
      </c>
      <c r="J11" s="3502" t="str">
        <f>IF(SUM(J12,J19)=0,"IE",SUM(J12,J19))</f>
        <v>IE</v>
      </c>
      <c r="K11" s="3503">
        <f>IF(SUM(K12,K19)=0,"NO",SUM(K12,K19))</f>
        <v>247.91046331831978</v>
      </c>
      <c r="L11" s="3504">
        <f>IF(SUM(L12,L19)=0,"NO",SUM(L12,L19))</f>
        <v>4.083500762950969</v>
      </c>
      <c r="M11" s="482"/>
    </row>
    <row r="12" spans="2:13" ht="18" customHeight="1" x14ac:dyDescent="0.2">
      <c r="B12" s="903" t="s">
        <v>1912</v>
      </c>
      <c r="C12" s="476"/>
      <c r="D12" s="298"/>
      <c r="E12" s="2852" t="s">
        <v>2250</v>
      </c>
      <c r="F12" s="3680">
        <f>IF(SUM(F13,F17)=0,"NO",SUM(F13,F17))</f>
        <v>3790322.6278491816</v>
      </c>
      <c r="G12" s="3663" t="str">
        <f>IFERROR(IF(SUM($F12)=0,"NA",J12*1000/$F12),"NA")</f>
        <v>NA</v>
      </c>
      <c r="H12" s="3664">
        <f t="shared" si="0"/>
        <v>6.4787511965800473E-2</v>
      </c>
      <c r="I12" s="3665">
        <f t="shared" si="1"/>
        <v>1.0672641105163125E-3</v>
      </c>
      <c r="J12" s="3505" t="str">
        <f>IF(SUM(J13,J17)=0,"IE",SUM(J13,J17))</f>
        <v>IE</v>
      </c>
      <c r="K12" s="3506">
        <f>IF(SUM(K13,K17)=0,"NO",SUM(K13,K17))</f>
        <v>245.56557260602315</v>
      </c>
      <c r="L12" s="3507">
        <f>IF(SUM(L13,L17)=0,"NO",SUM(L13,L17))</f>
        <v>4.0452753079813091</v>
      </c>
    </row>
    <row r="13" spans="2:13" ht="18" customHeight="1" x14ac:dyDescent="0.2">
      <c r="B13" s="923" t="s">
        <v>1270</v>
      </c>
      <c r="C13" s="476"/>
      <c r="D13" s="298"/>
      <c r="E13" s="2852" t="s">
        <v>2250</v>
      </c>
      <c r="F13" s="3681">
        <f>IF(SUM(F14:F16)=0,"NO",SUM(F14:F16))</f>
        <v>3567859.3763343478</v>
      </c>
      <c r="G13" s="3666" t="str">
        <f t="shared" ref="G13:G76" si="2">IFERROR(IF(SUM($F13)=0,"NA",J13*1000/$F13),"NA")</f>
        <v>NA</v>
      </c>
      <c r="H13" s="3667">
        <f t="shared" si="0"/>
        <v>5.2784056130746167E-2</v>
      </c>
      <c r="I13" s="3668">
        <f t="shared" si="1"/>
        <v>9.7838693740221415E-4</v>
      </c>
      <c r="J13" s="3505" t="str">
        <f>IF(SUM(J14:J16)=0,"IE",SUM(J14:J16))</f>
        <v>IE</v>
      </c>
      <c r="K13" s="3505">
        <f>IF(SUM(K14:K16)=0,"NO",SUM(K14:K16))</f>
        <v>188.32608958704122</v>
      </c>
      <c r="L13" s="3508">
        <f>IF(SUM(L14:L16)=0,"NO",SUM(L14:L16))</f>
        <v>3.4907470082935363</v>
      </c>
      <c r="M13" s="482"/>
    </row>
    <row r="14" spans="2:13" ht="24" x14ac:dyDescent="0.2">
      <c r="B14" s="923"/>
      <c r="C14" s="4367" t="s">
        <v>2247</v>
      </c>
      <c r="D14" s="542" t="s">
        <v>940</v>
      </c>
      <c r="E14" s="2851" t="s">
        <v>2250</v>
      </c>
      <c r="F14" s="3654">
        <v>310079.26839448034</v>
      </c>
      <c r="G14" s="3666" t="str">
        <f t="shared" si="2"/>
        <v>NA</v>
      </c>
      <c r="H14" s="3667">
        <f>IF(SUM($F14)=0,"NA",K14*1000/$F14)</f>
        <v>0.1294344545732663</v>
      </c>
      <c r="I14" s="3668">
        <f>IF(SUM($F14)=0,"NA",L14*1000/$F14)</f>
        <v>1.4130280411979298E-3</v>
      </c>
      <c r="J14" s="3509" t="s">
        <v>2153</v>
      </c>
      <c r="K14" s="3510">
        <v>40.134940979117019</v>
      </c>
      <c r="L14" s="3511">
        <v>0.43815070123553973</v>
      </c>
      <c r="M14" s="482"/>
    </row>
    <row r="15" spans="2:13" ht="18" customHeight="1" x14ac:dyDescent="0.2">
      <c r="B15" s="923"/>
      <c r="C15" s="4367" t="s">
        <v>2248</v>
      </c>
      <c r="D15" s="542" t="s">
        <v>940</v>
      </c>
      <c r="E15" s="543" t="s">
        <v>2250</v>
      </c>
      <c r="F15" s="3655">
        <v>105543.37738330751</v>
      </c>
      <c r="G15" s="3666" t="str">
        <f t="shared" si="2"/>
        <v>NA</v>
      </c>
      <c r="H15" s="3667">
        <f t="shared" ref="H15:H77" si="3">IF(SUM($F15)=0,"NA",K15*1000/$F15)</f>
        <v>0.11976317166194411</v>
      </c>
      <c r="I15" s="3668">
        <f t="shared" ref="I15:I77" si="4">IF(SUM($F15)=0,"NA",L15*1000/$F15)</f>
        <v>2.213955298361772E-3</v>
      </c>
      <c r="J15" s="3509" t="s">
        <v>2153</v>
      </c>
      <c r="K15" s="3510">
        <v>12.640209623338407</v>
      </c>
      <c r="L15" s="3512">
        <v>0.23366831956476969</v>
      </c>
      <c r="M15" s="482"/>
    </row>
    <row r="16" spans="2:13" ht="18" customHeight="1" x14ac:dyDescent="0.2">
      <c r="B16" s="923"/>
      <c r="C16" s="4367" t="s">
        <v>2263</v>
      </c>
      <c r="D16" s="542" t="s">
        <v>940</v>
      </c>
      <c r="E16" s="543" t="s">
        <v>2250</v>
      </c>
      <c r="F16" s="3655">
        <v>3152236.7305565597</v>
      </c>
      <c r="G16" s="3666" t="str">
        <f t="shared" si="2"/>
        <v>NA</v>
      </c>
      <c r="H16" s="3667">
        <f t="shared" si="3"/>
        <v>4.3001509902669301E-2</v>
      </c>
      <c r="I16" s="3668">
        <f t="shared" si="4"/>
        <v>8.9426278177892941E-4</v>
      </c>
      <c r="J16" s="3509" t="s">
        <v>2153</v>
      </c>
      <c r="K16" s="3510">
        <v>135.5509389845858</v>
      </c>
      <c r="L16" s="3512">
        <v>2.8189279874932267</v>
      </c>
      <c r="M16" s="482"/>
    </row>
    <row r="17" spans="2:13" ht="18" customHeight="1" x14ac:dyDescent="0.2">
      <c r="B17" s="923" t="s">
        <v>1271</v>
      </c>
      <c r="C17" s="4368"/>
      <c r="D17" s="298"/>
      <c r="E17" s="5" t="s">
        <v>2250</v>
      </c>
      <c r="F17" s="3681">
        <f>F18</f>
        <v>222463.25151483394</v>
      </c>
      <c r="G17" s="3666" t="str">
        <f t="shared" si="2"/>
        <v>NA</v>
      </c>
      <c r="H17" s="3667">
        <f t="shared" si="3"/>
        <v>0.25729859933817056</v>
      </c>
      <c r="I17" s="3668">
        <f t="shared" si="4"/>
        <v>2.4926737153744987E-3</v>
      </c>
      <c r="J17" s="3505" t="str">
        <f>J18</f>
        <v>IE</v>
      </c>
      <c r="K17" s="3505">
        <f>K18</f>
        <v>57.239483018981929</v>
      </c>
      <c r="L17" s="3508">
        <f>L18</f>
        <v>0.55452829968777273</v>
      </c>
      <c r="M17" s="482"/>
    </row>
    <row r="18" spans="2:13" ht="18" customHeight="1" x14ac:dyDescent="0.2">
      <c r="B18" s="923"/>
      <c r="C18" s="4367" t="s">
        <v>2249</v>
      </c>
      <c r="D18" s="542" t="s">
        <v>940</v>
      </c>
      <c r="E18" s="543" t="s">
        <v>2250</v>
      </c>
      <c r="F18" s="3654">
        <v>222463.25151483394</v>
      </c>
      <c r="G18" s="3666" t="str">
        <f t="shared" si="2"/>
        <v>NA</v>
      </c>
      <c r="H18" s="3667">
        <f t="shared" si="3"/>
        <v>0.25729859933817056</v>
      </c>
      <c r="I18" s="3668">
        <f t="shared" si="4"/>
        <v>2.4926737153744987E-3</v>
      </c>
      <c r="J18" s="3509" t="s">
        <v>2153</v>
      </c>
      <c r="K18" s="3510">
        <v>57.239483018981929</v>
      </c>
      <c r="L18" s="3511">
        <v>0.55452829968777273</v>
      </c>
      <c r="M18" s="482"/>
    </row>
    <row r="19" spans="2:13" ht="18" customHeight="1" x14ac:dyDescent="0.2">
      <c r="B19" s="903" t="s">
        <v>1272</v>
      </c>
      <c r="C19" s="4368"/>
      <c r="D19" s="298"/>
      <c r="E19" s="5" t="s">
        <v>2250</v>
      </c>
      <c r="F19" s="3682">
        <f>IF(SUM(F20,F23)=0,"NO",SUM(F20,F23))</f>
        <v>18491.23187275726</v>
      </c>
      <c r="G19" s="3663" t="s">
        <v>2147</v>
      </c>
      <c r="H19" s="3664">
        <f t="shared" si="3"/>
        <v>0.12681095172200546</v>
      </c>
      <c r="I19" s="3665">
        <f t="shared" si="4"/>
        <v>2.0672205741996265E-3</v>
      </c>
      <c r="J19" s="3505" t="str">
        <f>IF(SUM(J20,J23)=0,"IE",SUM(J20,J23))</f>
        <v>IE</v>
      </c>
      <c r="K19" s="3506">
        <f>IF(SUM(K20,K23)=0,"NO",SUM(K20,K23))</f>
        <v>2.3448907122966296</v>
      </c>
      <c r="L19" s="3507">
        <f>IF(SUM(L20,L23)=0,"NO",SUM(L20,L23))</f>
        <v>3.8225454969659692E-2</v>
      </c>
    </row>
    <row r="20" spans="2:13" ht="18" customHeight="1" x14ac:dyDescent="0.2">
      <c r="B20" s="923" t="s">
        <v>1273</v>
      </c>
      <c r="C20" s="4368"/>
      <c r="D20" s="298"/>
      <c r="E20" s="5" t="s">
        <v>2250</v>
      </c>
      <c r="F20" s="3681">
        <f>IF(SUM(F21:F22)=0,"NO",SUM(F21:F22))</f>
        <v>16595.721835707333</v>
      </c>
      <c r="G20" s="3666" t="str">
        <f t="shared" si="2"/>
        <v>NA</v>
      </c>
      <c r="H20" s="3667">
        <f t="shared" si="3"/>
        <v>0.10372061409163721</v>
      </c>
      <c r="I20" s="3668">
        <f t="shared" si="4"/>
        <v>1.9339729181511315E-3</v>
      </c>
      <c r="J20" s="3505" t="str">
        <f>IF(SUM(J21:J22)=0,"IE",SUM(J21:J22))</f>
        <v>IE</v>
      </c>
      <c r="K20" s="3505">
        <f>IF(SUM(K21:K22)=0,"NO",SUM(K21:K22))</f>
        <v>1.7213184600935574</v>
      </c>
      <c r="L20" s="3508">
        <f>IF(SUM(L21:L22)=0,"NO",SUM(L21:L22))</f>
        <v>3.209567658742736E-2</v>
      </c>
      <c r="M20" s="482"/>
    </row>
    <row r="21" spans="2:13" ht="18" customHeight="1" x14ac:dyDescent="0.2">
      <c r="B21" s="923"/>
      <c r="C21" s="4367" t="s">
        <v>2248</v>
      </c>
      <c r="D21" s="542" t="s">
        <v>940</v>
      </c>
      <c r="E21" s="543" t="s">
        <v>2250</v>
      </c>
      <c r="F21" s="3654">
        <v>15905.071197221227</v>
      </c>
      <c r="G21" s="3666" t="str">
        <f t="shared" si="2"/>
        <v>NA</v>
      </c>
      <c r="H21" s="3667">
        <f t="shared" si="3"/>
        <v>0.1019551326639256</v>
      </c>
      <c r="I21" s="3668">
        <f t="shared" si="4"/>
        <v>1.8847539107734027E-3</v>
      </c>
      <c r="J21" s="3509" t="s">
        <v>2153</v>
      </c>
      <c r="K21" s="3510">
        <v>1.6216036439418722</v>
      </c>
      <c r="L21" s="3511">
        <v>2.9977145140092112E-2</v>
      </c>
      <c r="M21" s="482"/>
    </row>
    <row r="22" spans="2:13" ht="18" customHeight="1" x14ac:dyDescent="0.2">
      <c r="B22" s="923"/>
      <c r="C22" s="4367" t="s">
        <v>2263</v>
      </c>
      <c r="D22" s="542" t="s">
        <v>940</v>
      </c>
      <c r="E22" s="543" t="s">
        <v>2250</v>
      </c>
      <c r="F22" s="3655">
        <v>690.65063848610691</v>
      </c>
      <c r="G22" s="3666" t="str">
        <f t="shared" si="2"/>
        <v>NA</v>
      </c>
      <c r="H22" s="3667">
        <f t="shared" si="3"/>
        <v>0.14437808436731231</v>
      </c>
      <c r="I22" s="3668">
        <f t="shared" si="4"/>
        <v>3.0674429722949773E-3</v>
      </c>
      <c r="J22" s="3509" t="s">
        <v>2153</v>
      </c>
      <c r="K22" s="3510">
        <v>9.9714816151685259E-2</v>
      </c>
      <c r="L22" s="3512">
        <v>2.1185314473352473E-3</v>
      </c>
      <c r="M22" s="482"/>
    </row>
    <row r="23" spans="2:13" ht="18" customHeight="1" x14ac:dyDescent="0.2">
      <c r="B23" s="923" t="s">
        <v>1274</v>
      </c>
      <c r="C23" s="4368"/>
      <c r="D23" s="298"/>
      <c r="E23" s="5" t="s">
        <v>2250</v>
      </c>
      <c r="F23" s="3681">
        <f>F24</f>
        <v>1895.5100370499263</v>
      </c>
      <c r="G23" s="3666" t="str">
        <f t="shared" si="2"/>
        <v>NA</v>
      </c>
      <c r="H23" s="3667">
        <f t="shared" si="3"/>
        <v>0.32897333172319565</v>
      </c>
      <c r="I23" s="3668">
        <f t="shared" si="4"/>
        <v>3.2338411627576514E-3</v>
      </c>
      <c r="J23" s="3505" t="str">
        <f>J24</f>
        <v>IE</v>
      </c>
      <c r="K23" s="3505">
        <f>K24</f>
        <v>0.62357225220307222</v>
      </c>
      <c r="L23" s="3508">
        <f>L24</f>
        <v>6.1297783822323332E-3</v>
      </c>
      <c r="M23" s="482"/>
    </row>
    <row r="24" spans="2:13" ht="18" customHeight="1" thickBot="1" x14ac:dyDescent="0.25">
      <c r="B24" s="938"/>
      <c r="C24" s="4369" t="s">
        <v>2251</v>
      </c>
      <c r="D24" s="939" t="s">
        <v>940</v>
      </c>
      <c r="E24" s="940" t="s">
        <v>2250</v>
      </c>
      <c r="F24" s="3656">
        <v>1895.5100370499263</v>
      </c>
      <c r="G24" s="3669" t="str">
        <f t="shared" si="2"/>
        <v>NA</v>
      </c>
      <c r="H24" s="3670">
        <f t="shared" si="3"/>
        <v>0.32897333172319565</v>
      </c>
      <c r="I24" s="3671">
        <f t="shared" si="4"/>
        <v>3.2338411627576514E-3</v>
      </c>
      <c r="J24" s="3513" t="s">
        <v>2153</v>
      </c>
      <c r="K24" s="3514">
        <v>0.62357225220307222</v>
      </c>
      <c r="L24" s="3515">
        <v>6.1297783822323332E-3</v>
      </c>
      <c r="M24" s="482"/>
    </row>
    <row r="25" spans="2:13" ht="18" customHeight="1" x14ac:dyDescent="0.2">
      <c r="B25" s="933" t="s">
        <v>1986</v>
      </c>
      <c r="C25" s="4370"/>
      <c r="D25" s="2850"/>
      <c r="E25" s="935" t="s">
        <v>2250</v>
      </c>
      <c r="F25" s="3683">
        <f>IF(SUM(F26,F31)=0,"IE",SUM(F26,F31))</f>
        <v>26572</v>
      </c>
      <c r="G25" s="3660" t="str">
        <f t="shared" si="2"/>
        <v>NA</v>
      </c>
      <c r="H25" s="3661">
        <f t="shared" si="3"/>
        <v>0.15293415625470419</v>
      </c>
      <c r="I25" s="3662">
        <f t="shared" si="4"/>
        <v>2.8271578052084904E-3</v>
      </c>
      <c r="J25" s="3502" t="str">
        <f>IF(SUM(J26,J31)=0,"IE",SUM(J26,J31))</f>
        <v>IE</v>
      </c>
      <c r="K25" s="3503">
        <f>IF(SUM(K26,K31)=0,"IE",SUM(K26,K31))</f>
        <v>4.0637663999999996</v>
      </c>
      <c r="L25" s="3504">
        <f>IF(SUM(L26,L31)=0,"IE",SUM(L26,L31))</f>
        <v>7.5123237200000012E-2</v>
      </c>
      <c r="M25" s="482"/>
    </row>
    <row r="26" spans="2:13" ht="18" customHeight="1" x14ac:dyDescent="0.2">
      <c r="B26" s="903" t="s">
        <v>1913</v>
      </c>
      <c r="C26" s="4368"/>
      <c r="D26" s="298"/>
      <c r="E26" s="5" t="s">
        <v>2250</v>
      </c>
      <c r="F26" s="3682" t="str">
        <f>F29</f>
        <v>IE</v>
      </c>
      <c r="G26" s="3666" t="str">
        <f t="shared" si="2"/>
        <v>NA</v>
      </c>
      <c r="H26" s="3664" t="str">
        <f t="shared" si="3"/>
        <v>NA</v>
      </c>
      <c r="I26" s="3665" t="str">
        <f t="shared" si="4"/>
        <v>NA</v>
      </c>
      <c r="J26" s="3505" t="str">
        <f>IF(SUM(J27,J29)=0,"IE",SUM(J27,J29))</f>
        <v>IE</v>
      </c>
      <c r="K26" s="3506" t="str">
        <f t="shared" ref="K26:L26" si="5">IF(SUM(K27,K29)=0,"IE",SUM(K27,K29))</f>
        <v>IE</v>
      </c>
      <c r="L26" s="3507" t="str">
        <f t="shared" si="5"/>
        <v>IE</v>
      </c>
    </row>
    <row r="27" spans="2:13" ht="18" customHeight="1" x14ac:dyDescent="0.2">
      <c r="B27" s="923" t="s">
        <v>1275</v>
      </c>
      <c r="C27" s="4368"/>
      <c r="D27" s="298"/>
      <c r="E27" s="5" t="s">
        <v>2250</v>
      </c>
      <c r="F27" s="3681" t="str">
        <f>F28</f>
        <v>NA</v>
      </c>
      <c r="G27" s="3666" t="str">
        <f t="shared" si="2"/>
        <v>NA</v>
      </c>
      <c r="H27" s="3667" t="str">
        <f t="shared" si="3"/>
        <v>NA</v>
      </c>
      <c r="I27" s="3668" t="str">
        <f t="shared" si="4"/>
        <v>NA</v>
      </c>
      <c r="J27" s="3505" t="str">
        <f>J28</f>
        <v>NA</v>
      </c>
      <c r="K27" s="3505" t="str">
        <f>K28</f>
        <v>NA</v>
      </c>
      <c r="L27" s="3508" t="str">
        <f>L28</f>
        <v>NA</v>
      </c>
    </row>
    <row r="28" spans="2:13" ht="18" customHeight="1" x14ac:dyDescent="0.2">
      <c r="B28" s="923"/>
      <c r="C28" s="4367" t="s">
        <v>2147</v>
      </c>
      <c r="D28" s="542"/>
      <c r="E28" s="543" t="s">
        <v>2250</v>
      </c>
      <c r="F28" s="3654" t="s">
        <v>2147</v>
      </c>
      <c r="G28" s="3666" t="str">
        <f t="shared" si="2"/>
        <v>NA</v>
      </c>
      <c r="H28" s="3667" t="str">
        <f t="shared" si="3"/>
        <v>NA</v>
      </c>
      <c r="I28" s="3668" t="str">
        <f t="shared" si="4"/>
        <v>NA</v>
      </c>
      <c r="J28" s="3509" t="s">
        <v>2147</v>
      </c>
      <c r="K28" s="3510" t="s">
        <v>2147</v>
      </c>
      <c r="L28" s="3511" t="s">
        <v>2147</v>
      </c>
      <c r="M28" s="482"/>
    </row>
    <row r="29" spans="2:13" ht="18" customHeight="1" x14ac:dyDescent="0.2">
      <c r="B29" s="923" t="s">
        <v>1276</v>
      </c>
      <c r="C29" s="4368"/>
      <c r="D29" s="298"/>
      <c r="E29" s="5" t="s">
        <v>2250</v>
      </c>
      <c r="F29" s="3681" t="str">
        <f>F30</f>
        <v>IE</v>
      </c>
      <c r="G29" s="3666" t="str">
        <f t="shared" si="2"/>
        <v>NA</v>
      </c>
      <c r="H29" s="3667" t="str">
        <f t="shared" si="3"/>
        <v>NA</v>
      </c>
      <c r="I29" s="3668" t="str">
        <f t="shared" si="4"/>
        <v>NA</v>
      </c>
      <c r="J29" s="3505" t="str">
        <f>J30</f>
        <v>IE</v>
      </c>
      <c r="K29" s="3505" t="str">
        <f>K30</f>
        <v>IE</v>
      </c>
      <c r="L29" s="3508" t="str">
        <f>L30</f>
        <v>IE</v>
      </c>
    </row>
    <row r="30" spans="2:13" ht="18" customHeight="1" x14ac:dyDescent="0.2">
      <c r="B30" s="923"/>
      <c r="C30" s="4367" t="s">
        <v>2147</v>
      </c>
      <c r="D30" s="542"/>
      <c r="E30" s="543" t="s">
        <v>2250</v>
      </c>
      <c r="F30" s="3654" t="s">
        <v>2153</v>
      </c>
      <c r="G30" s="3666" t="str">
        <f t="shared" si="2"/>
        <v>NA</v>
      </c>
      <c r="H30" s="3667" t="str">
        <f t="shared" si="3"/>
        <v>NA</v>
      </c>
      <c r="I30" s="3668" t="str">
        <f t="shared" si="4"/>
        <v>NA</v>
      </c>
      <c r="J30" s="3509" t="s">
        <v>2153</v>
      </c>
      <c r="K30" s="3510" t="s">
        <v>2153</v>
      </c>
      <c r="L30" s="3511" t="s">
        <v>2153</v>
      </c>
      <c r="M30" s="482"/>
    </row>
    <row r="31" spans="2:13" ht="18" customHeight="1" x14ac:dyDescent="0.2">
      <c r="B31" s="903" t="s">
        <v>1277</v>
      </c>
      <c r="C31" s="4368"/>
      <c r="D31" s="298"/>
      <c r="E31" s="5" t="s">
        <v>2250</v>
      </c>
      <c r="F31" s="3682">
        <f>IF(SUM(F32,F34)=0,"IE",SUM(F32,F34))</f>
        <v>26572</v>
      </c>
      <c r="G31" s="3663" t="str">
        <f t="shared" si="2"/>
        <v>NA</v>
      </c>
      <c r="H31" s="3664">
        <f t="shared" si="3"/>
        <v>0.15293415625470419</v>
      </c>
      <c r="I31" s="3665">
        <f t="shared" si="4"/>
        <v>2.8271578052084904E-3</v>
      </c>
      <c r="J31" s="3505" t="str">
        <f>IF(SUM(J32,J34)=0,"IE",SUM(J32,J34))</f>
        <v>IE</v>
      </c>
      <c r="K31" s="3505">
        <f t="shared" ref="K31:L31" si="6">IF(SUM(K32,K34)=0,"IE",SUM(K32,K34))</f>
        <v>4.0637663999999996</v>
      </c>
      <c r="L31" s="3508">
        <f t="shared" si="6"/>
        <v>7.5123237200000012E-2</v>
      </c>
    </row>
    <row r="32" spans="2:13" ht="18" customHeight="1" x14ac:dyDescent="0.2">
      <c r="B32" s="923" t="s">
        <v>1278</v>
      </c>
      <c r="C32" s="4368"/>
      <c r="D32" s="298"/>
      <c r="E32" s="5" t="s">
        <v>2250</v>
      </c>
      <c r="F32" s="3681">
        <f>F33</f>
        <v>26572</v>
      </c>
      <c r="G32" s="3663" t="str">
        <f t="shared" si="2"/>
        <v>NA</v>
      </c>
      <c r="H32" s="3664">
        <f t="shared" si="3"/>
        <v>0.15293415625470419</v>
      </c>
      <c r="I32" s="3665">
        <f t="shared" si="4"/>
        <v>2.8271578052084904E-3</v>
      </c>
      <c r="J32" s="3505" t="str">
        <f>J33</f>
        <v>IE</v>
      </c>
      <c r="K32" s="3505">
        <f>K33</f>
        <v>4.0637663999999996</v>
      </c>
      <c r="L32" s="3508">
        <f>L33</f>
        <v>7.5123237200000012E-2</v>
      </c>
      <c r="M32" s="482"/>
    </row>
    <row r="33" spans="2:13" ht="18" customHeight="1" x14ac:dyDescent="0.2">
      <c r="B33" s="923"/>
      <c r="C33" s="4367" t="s">
        <v>2252</v>
      </c>
      <c r="D33" s="542" t="s">
        <v>940</v>
      </c>
      <c r="E33" s="543" t="s">
        <v>2250</v>
      </c>
      <c r="F33" s="3654">
        <v>26572</v>
      </c>
      <c r="G33" s="3666" t="str">
        <f t="shared" si="2"/>
        <v>NA</v>
      </c>
      <c r="H33" s="3667">
        <f t="shared" si="3"/>
        <v>0.15293415625470419</v>
      </c>
      <c r="I33" s="3668">
        <f t="shared" si="4"/>
        <v>2.8271578052084904E-3</v>
      </c>
      <c r="J33" s="3509" t="s">
        <v>2153</v>
      </c>
      <c r="K33" s="3510">
        <v>4.0637663999999996</v>
      </c>
      <c r="L33" s="3511">
        <v>7.5123237200000012E-2</v>
      </c>
      <c r="M33" s="482"/>
    </row>
    <row r="34" spans="2:13" ht="18" customHeight="1" x14ac:dyDescent="0.2">
      <c r="B34" s="923" t="s">
        <v>1279</v>
      </c>
      <c r="C34" s="4368"/>
      <c r="D34" s="298"/>
      <c r="E34" s="5" t="s">
        <v>2250</v>
      </c>
      <c r="F34" s="3681" t="str">
        <f>F35</f>
        <v>IE</v>
      </c>
      <c r="G34" s="3663" t="str">
        <f t="shared" si="2"/>
        <v>NA</v>
      </c>
      <c r="H34" s="3664" t="str">
        <f t="shared" si="3"/>
        <v>NA</v>
      </c>
      <c r="I34" s="3665" t="str">
        <f t="shared" si="4"/>
        <v>NA</v>
      </c>
      <c r="J34" s="3505" t="str">
        <f>J35</f>
        <v>IE</v>
      </c>
      <c r="K34" s="3505" t="str">
        <f>K35</f>
        <v>IE</v>
      </c>
      <c r="L34" s="3508" t="str">
        <f>L35</f>
        <v>IE</v>
      </c>
      <c r="M34" s="482"/>
    </row>
    <row r="35" spans="2:13" ht="18" customHeight="1" thickBot="1" x14ac:dyDescent="0.25">
      <c r="B35" s="938"/>
      <c r="C35" s="4369" t="s">
        <v>2147</v>
      </c>
      <c r="D35" s="939"/>
      <c r="E35" s="940" t="s">
        <v>2250</v>
      </c>
      <c r="F35" s="3656" t="s">
        <v>2153</v>
      </c>
      <c r="G35" s="3669" t="str">
        <f t="shared" si="2"/>
        <v>NA</v>
      </c>
      <c r="H35" s="3670" t="str">
        <f t="shared" si="3"/>
        <v>NA</v>
      </c>
      <c r="I35" s="3671" t="str">
        <f t="shared" si="4"/>
        <v>NA</v>
      </c>
      <c r="J35" s="3513" t="s">
        <v>2153</v>
      </c>
      <c r="K35" s="3514" t="s">
        <v>2153</v>
      </c>
      <c r="L35" s="3515" t="s">
        <v>2153</v>
      </c>
      <c r="M35" s="482"/>
    </row>
    <row r="36" spans="2:13" ht="18" customHeight="1" x14ac:dyDescent="0.2">
      <c r="B36" s="941" t="s">
        <v>1987</v>
      </c>
      <c r="C36" s="4370"/>
      <c r="D36" s="2850"/>
      <c r="E36" s="935" t="s">
        <v>2250</v>
      </c>
      <c r="F36" s="3683">
        <f>IF(SUM(F37,F42)=0,"NO",SUM(F37,F42))</f>
        <v>11085152.621697035</v>
      </c>
      <c r="G36" s="3660" t="str">
        <f t="shared" si="2"/>
        <v>NA</v>
      </c>
      <c r="H36" s="3661">
        <f t="shared" ref="H36" si="7">IF(SUM($F36)=0,"NA",K36*1000/$F36)</f>
        <v>3.4596117058619993E-2</v>
      </c>
      <c r="I36" s="3662">
        <f t="shared" ref="I36" si="8">IF(SUM($F36)=0,"NA",L36*1000/$F36)</f>
        <v>9.2980815042214887E-4</v>
      </c>
      <c r="J36" s="3502" t="str">
        <f>IF(SUM(J37,J42)=0,"IE",SUM(J37,J42))</f>
        <v>IE</v>
      </c>
      <c r="K36" s="3503">
        <f>IF(SUM(K37,K42)=0,"NO",SUM(K37,K42))</f>
        <v>383.50323771289891</v>
      </c>
      <c r="L36" s="3504">
        <f>IF(SUM(L37,L42)=0,"NO",SUM(L37,L42))</f>
        <v>10.307065256327354</v>
      </c>
      <c r="M36" s="482"/>
    </row>
    <row r="37" spans="2:13" ht="18" customHeight="1" x14ac:dyDescent="0.2">
      <c r="B37" s="903" t="s">
        <v>1876</v>
      </c>
      <c r="C37" s="4368"/>
      <c r="D37" s="298"/>
      <c r="E37" s="5" t="s">
        <v>2250</v>
      </c>
      <c r="F37" s="3680">
        <f>IF(SUM(F38,F40)=0,"NO",SUM(F38,F40))</f>
        <v>10327462.294343052</v>
      </c>
      <c r="G37" s="3666" t="str">
        <f t="shared" si="2"/>
        <v>NA</v>
      </c>
      <c r="H37" s="3664">
        <f t="shared" si="3"/>
        <v>2.5538189088758642E-2</v>
      </c>
      <c r="I37" s="3665">
        <f t="shared" si="4"/>
        <v>7.832338162807866E-4</v>
      </c>
      <c r="J37" s="3505" t="str">
        <f>IF(SUM(J38,J40)=0,"IE",SUM(J38,J40))</f>
        <v>IE</v>
      </c>
      <c r="K37" s="3506">
        <f>IF(SUM(K38,K40)=0,"NO",SUM(K38,K40))</f>
        <v>263.74468487995807</v>
      </c>
      <c r="L37" s="3507">
        <f>IF(SUM(L38,L40)=0,"NO",SUM(L38,L40))</f>
        <v>8.0888177052942378</v>
      </c>
    </row>
    <row r="38" spans="2:13" ht="18" customHeight="1" x14ac:dyDescent="0.2">
      <c r="B38" s="923" t="s">
        <v>1280</v>
      </c>
      <c r="C38" s="4368"/>
      <c r="D38" s="298"/>
      <c r="E38" s="5" t="s">
        <v>2250</v>
      </c>
      <c r="F38" s="3681">
        <f>F39</f>
        <v>10327462.294343052</v>
      </c>
      <c r="G38" s="3666" t="str">
        <f t="shared" si="2"/>
        <v>NA</v>
      </c>
      <c r="H38" s="3667">
        <f t="shared" si="3"/>
        <v>2.5538189088758642E-2</v>
      </c>
      <c r="I38" s="3668">
        <f t="shared" si="4"/>
        <v>7.832338162807866E-4</v>
      </c>
      <c r="J38" s="3505" t="str">
        <f>J39</f>
        <v>IE</v>
      </c>
      <c r="K38" s="3505">
        <f>K39</f>
        <v>263.74468487995807</v>
      </c>
      <c r="L38" s="3508">
        <f>L39</f>
        <v>8.0888177052942378</v>
      </c>
      <c r="M38" s="482"/>
    </row>
    <row r="39" spans="2:13" ht="18" customHeight="1" x14ac:dyDescent="0.2">
      <c r="B39" s="923"/>
      <c r="C39" s="4367" t="s">
        <v>2263</v>
      </c>
      <c r="D39" s="542" t="s">
        <v>940</v>
      </c>
      <c r="E39" s="543" t="s">
        <v>2250</v>
      </c>
      <c r="F39" s="3655">
        <v>10327462.294343052</v>
      </c>
      <c r="G39" s="3666" t="str">
        <f t="shared" si="2"/>
        <v>NA</v>
      </c>
      <c r="H39" s="3667">
        <f t="shared" ref="H39:H40" si="9">IF(SUM($F39)=0,"NA",K39*1000/$F39)</f>
        <v>2.5538189088758642E-2</v>
      </c>
      <c r="I39" s="3668">
        <f t="shared" ref="I39:I40" si="10">IF(SUM($F39)=0,"NA",L39*1000/$F39)</f>
        <v>7.832338162807866E-4</v>
      </c>
      <c r="J39" s="3509" t="s">
        <v>2153</v>
      </c>
      <c r="K39" s="3510">
        <v>263.74468487995807</v>
      </c>
      <c r="L39" s="3512">
        <v>8.0888177052942378</v>
      </c>
      <c r="M39" s="482"/>
    </row>
    <row r="40" spans="2:13" ht="18" customHeight="1" x14ac:dyDescent="0.2">
      <c r="B40" s="923" t="s">
        <v>1281</v>
      </c>
      <c r="C40" s="4368"/>
      <c r="D40" s="298"/>
      <c r="E40" s="5" t="s">
        <v>2250</v>
      </c>
      <c r="F40" s="3681" t="str">
        <f>F41</f>
        <v>IE</v>
      </c>
      <c r="G40" s="3666" t="str">
        <f t="shared" si="2"/>
        <v>NA</v>
      </c>
      <c r="H40" s="3667" t="str">
        <f t="shared" si="9"/>
        <v>NA</v>
      </c>
      <c r="I40" s="3668" t="str">
        <f t="shared" si="10"/>
        <v>NA</v>
      </c>
      <c r="J40" s="3505" t="str">
        <f>J41</f>
        <v>IE</v>
      </c>
      <c r="K40" s="3505" t="str">
        <f>K41</f>
        <v>IE</v>
      </c>
      <c r="L40" s="3508" t="str">
        <f>L41</f>
        <v>IE</v>
      </c>
      <c r="M40" s="482"/>
    </row>
    <row r="41" spans="2:13" ht="18" customHeight="1" x14ac:dyDescent="0.2">
      <c r="B41" s="923"/>
      <c r="C41" s="4367" t="s">
        <v>2147</v>
      </c>
      <c r="D41" s="542"/>
      <c r="E41" s="543" t="s">
        <v>2250</v>
      </c>
      <c r="F41" s="3654" t="s">
        <v>2153</v>
      </c>
      <c r="G41" s="3666" t="str">
        <f t="shared" si="2"/>
        <v>NA</v>
      </c>
      <c r="H41" s="3667" t="str">
        <f t="shared" ref="H41:H42" si="11">IF(SUM($F41)=0,"NA",K41*1000/$F41)</f>
        <v>NA</v>
      </c>
      <c r="I41" s="3668" t="str">
        <f t="shared" ref="I41:I42" si="12">IF(SUM($F41)=0,"NA",L41*1000/$F41)</f>
        <v>NA</v>
      </c>
      <c r="J41" s="3509" t="s">
        <v>2153</v>
      </c>
      <c r="K41" s="3510" t="s">
        <v>2153</v>
      </c>
      <c r="L41" s="3511" t="s">
        <v>2153</v>
      </c>
      <c r="M41" s="482"/>
    </row>
    <row r="42" spans="2:13" ht="18" customHeight="1" x14ac:dyDescent="0.2">
      <c r="B42" s="903" t="s">
        <v>1282</v>
      </c>
      <c r="C42" s="4368"/>
      <c r="D42" s="298"/>
      <c r="E42" s="5" t="s">
        <v>2250</v>
      </c>
      <c r="F42" s="3682">
        <f>IF(SUM(F43,F46)=0,"NO",SUM(F43,F46))</f>
        <v>757690.32735398295</v>
      </c>
      <c r="G42" s="3663" t="str">
        <f t="shared" si="2"/>
        <v>NA</v>
      </c>
      <c r="H42" s="3664">
        <f t="shared" si="11"/>
        <v>0.1580573863878709</v>
      </c>
      <c r="I42" s="3665">
        <f t="shared" si="12"/>
        <v>2.9276440135902388E-3</v>
      </c>
      <c r="J42" s="3505" t="str">
        <f>IF(SUM(J43,J46)=0,"IE",SUM(J43,J46))</f>
        <v>IE</v>
      </c>
      <c r="K42" s="3506">
        <f>IF(SUM(K43,K46)=0,"NO",SUM(K43,K46))</f>
        <v>119.75855283294086</v>
      </c>
      <c r="L42" s="3507">
        <f>IF(SUM(L43,L46)=0,"NO",SUM(L43,L46))</f>
        <v>2.2182475510331163</v>
      </c>
    </row>
    <row r="43" spans="2:13" ht="18" customHeight="1" x14ac:dyDescent="0.2">
      <c r="B43" s="923" t="s">
        <v>1283</v>
      </c>
      <c r="C43" s="4368"/>
      <c r="D43" s="298"/>
      <c r="E43" s="5" t="s">
        <v>2250</v>
      </c>
      <c r="F43" s="3681">
        <f>IF(SUM(F44:F45)=0,"NO",SUM(F44:F45))</f>
        <v>757690.32735398295</v>
      </c>
      <c r="G43" s="3666" t="str">
        <f t="shared" si="2"/>
        <v>NA</v>
      </c>
      <c r="H43" s="3667">
        <f t="shared" ref="H43" si="13">IF(SUM($F43)=0,"NA",K43*1000/$F43)</f>
        <v>0.1580573863878709</v>
      </c>
      <c r="I43" s="3668">
        <f t="shared" ref="I43" si="14">IF(SUM($F43)=0,"NA",L43*1000/$F43)</f>
        <v>2.9276440135902388E-3</v>
      </c>
      <c r="J43" s="3505" t="str">
        <f>IF(SUM(J44:J45)=0,"IE",SUM(J44:J45))</f>
        <v>IE</v>
      </c>
      <c r="K43" s="3505">
        <f>IF(SUM(K44:K45)=0,"NO",SUM(K44:K45))</f>
        <v>119.75855283294086</v>
      </c>
      <c r="L43" s="3508">
        <f>IF(SUM(L44:L45)=0,"NO",SUM(L44:L45))</f>
        <v>2.2182475510331163</v>
      </c>
      <c r="M43" s="482"/>
    </row>
    <row r="44" spans="2:13" ht="18" customHeight="1" x14ac:dyDescent="0.2">
      <c r="B44" s="923"/>
      <c r="C44" s="4367" t="s">
        <v>2252</v>
      </c>
      <c r="D44" s="542" t="s">
        <v>940</v>
      </c>
      <c r="E44" s="543" t="s">
        <v>2250</v>
      </c>
      <c r="F44" s="3655">
        <v>742186.99798537896</v>
      </c>
      <c r="G44" s="3666" t="str">
        <f t="shared" si="2"/>
        <v>NA</v>
      </c>
      <c r="H44" s="3667">
        <f t="shared" ref="H44:H46" si="15">IF(SUM($F44)=0,"NA",K44*1000/$F44)</f>
        <v>0.16014277145213482</v>
      </c>
      <c r="I44" s="3668">
        <f t="shared" ref="I44:I46" si="16">IF(SUM($F44)=0,"NA",L44*1000/$F44)</f>
        <v>2.9604170667054367E-3</v>
      </c>
      <c r="J44" s="3509" t="s">
        <v>2153</v>
      </c>
      <c r="K44" s="3510">
        <v>118.8558827931186</v>
      </c>
      <c r="L44" s="3512">
        <v>2.1971830555227894</v>
      </c>
      <c r="M44" s="482"/>
    </row>
    <row r="45" spans="2:13" ht="18" customHeight="1" x14ac:dyDescent="0.2">
      <c r="B45" s="923"/>
      <c r="C45" s="4367" t="s">
        <v>2263</v>
      </c>
      <c r="D45" s="542" t="s">
        <v>940</v>
      </c>
      <c r="E45" s="543" t="s">
        <v>2250</v>
      </c>
      <c r="F45" s="3655">
        <v>15503.329368603994</v>
      </c>
      <c r="G45" s="3666" t="str">
        <f t="shared" si="2"/>
        <v>NA</v>
      </c>
      <c r="H45" s="3667">
        <f t="shared" si="15"/>
        <v>5.8224270307400898E-2</v>
      </c>
      <c r="I45" s="3668">
        <f t="shared" si="16"/>
        <v>1.3587078626468977E-3</v>
      </c>
      <c r="J45" s="3509" t="s">
        <v>2153</v>
      </c>
      <c r="K45" s="3510">
        <v>0.90267003982226579</v>
      </c>
      <c r="L45" s="3512">
        <v>2.1064495510326811E-2</v>
      </c>
      <c r="M45" s="482"/>
    </row>
    <row r="46" spans="2:13" ht="18" customHeight="1" x14ac:dyDescent="0.2">
      <c r="B46" s="923" t="s">
        <v>1284</v>
      </c>
      <c r="C46" s="4368"/>
      <c r="D46" s="298"/>
      <c r="E46" s="5" t="s">
        <v>2250</v>
      </c>
      <c r="F46" s="3681" t="str">
        <f>F47</f>
        <v>IE</v>
      </c>
      <c r="G46" s="3666" t="str">
        <f t="shared" si="2"/>
        <v>NA</v>
      </c>
      <c r="H46" s="3667" t="str">
        <f t="shared" si="15"/>
        <v>NA</v>
      </c>
      <c r="I46" s="3668" t="str">
        <f t="shared" si="16"/>
        <v>NA</v>
      </c>
      <c r="J46" s="3505" t="str">
        <f>J47</f>
        <v>IE</v>
      </c>
      <c r="K46" s="3505" t="str">
        <f>K47</f>
        <v>IE</v>
      </c>
      <c r="L46" s="3508" t="str">
        <f>L47</f>
        <v>IE</v>
      </c>
      <c r="M46" s="482"/>
    </row>
    <row r="47" spans="2:13" ht="18" customHeight="1" thickBot="1" x14ac:dyDescent="0.25">
      <c r="B47" s="938"/>
      <c r="C47" s="4369" t="s">
        <v>2147</v>
      </c>
      <c r="D47" s="939"/>
      <c r="E47" s="940" t="s">
        <v>2250</v>
      </c>
      <c r="F47" s="3656" t="s">
        <v>2153</v>
      </c>
      <c r="G47" s="3669" t="str">
        <f t="shared" si="2"/>
        <v>NA</v>
      </c>
      <c r="H47" s="3670" t="str">
        <f t="shared" ref="H47:H53" si="17">IF(SUM($F47)=0,"NA",K47*1000/$F47)</f>
        <v>NA</v>
      </c>
      <c r="I47" s="3671" t="str">
        <f t="shared" ref="I47:I53" si="18">IF(SUM($F47)=0,"NA",L47*1000/$F47)</f>
        <v>NA</v>
      </c>
      <c r="J47" s="3513" t="s">
        <v>2153</v>
      </c>
      <c r="K47" s="3514" t="s">
        <v>2153</v>
      </c>
      <c r="L47" s="3515" t="s">
        <v>2153</v>
      </c>
      <c r="M47" s="482"/>
    </row>
    <row r="48" spans="2:13" ht="18" customHeight="1" x14ac:dyDescent="0.2">
      <c r="B48" s="933" t="s">
        <v>1988</v>
      </c>
      <c r="C48" s="4370"/>
      <c r="D48" s="2850"/>
      <c r="E48" s="935" t="s">
        <v>2250</v>
      </c>
      <c r="F48" s="3683">
        <f>IF(SUM(F49,F54)=0,"NO",SUM(F49,F54))</f>
        <v>173745.18112200405</v>
      </c>
      <c r="G48" s="3660" t="str">
        <f t="shared" si="2"/>
        <v>NA</v>
      </c>
      <c r="H48" s="3661">
        <f t="shared" si="17"/>
        <v>9.3426639068673364E-2</v>
      </c>
      <c r="I48" s="3662">
        <f t="shared" si="18"/>
        <v>1.9680508155525047E-3</v>
      </c>
      <c r="J48" s="3502" t="str">
        <f>IF(SUM(J49,J54)=0,"IE",SUM(J49,J54))</f>
        <v>IE</v>
      </c>
      <c r="K48" s="3503">
        <f>IF(SUM(K49,K54)=0,"NO",SUM(K49,K54))</f>
        <v>16.232428326606755</v>
      </c>
      <c r="L48" s="3504">
        <f>IF(SUM(L49,L54)=0,"NO",SUM(L49,L54))</f>
        <v>0.34193934540547777</v>
      </c>
      <c r="M48" s="482"/>
    </row>
    <row r="49" spans="2:13" ht="18" customHeight="1" x14ac:dyDescent="0.2">
      <c r="B49" s="903" t="s">
        <v>1285</v>
      </c>
      <c r="C49" s="4368"/>
      <c r="D49" s="298"/>
      <c r="E49" s="5" t="s">
        <v>2250</v>
      </c>
      <c r="F49" s="3680">
        <f>IF(SUM(F50,F52)=0,"NO",SUM(F50,F52))</f>
        <v>173745.18112200405</v>
      </c>
      <c r="G49" s="3663" t="str">
        <f t="shared" si="2"/>
        <v>NA</v>
      </c>
      <c r="H49" s="3664">
        <f t="shared" si="17"/>
        <v>9.3426639068673364E-2</v>
      </c>
      <c r="I49" s="3665">
        <f t="shared" si="18"/>
        <v>1.9680508155525047E-3</v>
      </c>
      <c r="J49" s="3505" t="str">
        <f>IF(SUM(J50,J52)=0,"IE",SUM(J50,J52))</f>
        <v>IE</v>
      </c>
      <c r="K49" s="3506">
        <f>IF(SUM(K50,K52)=0,"NO",SUM(K50,K52))</f>
        <v>16.232428326606755</v>
      </c>
      <c r="L49" s="3507">
        <f>IF(SUM(L50,L52)=0,"NO",SUM(L50,L52))</f>
        <v>0.34193934540547777</v>
      </c>
    </row>
    <row r="50" spans="2:13" ht="18" customHeight="1" x14ac:dyDescent="0.2">
      <c r="B50" s="923" t="s">
        <v>1286</v>
      </c>
      <c r="C50" s="4368"/>
      <c r="D50" s="298"/>
      <c r="E50" s="5" t="s">
        <v>2250</v>
      </c>
      <c r="F50" s="3681">
        <f>F51</f>
        <v>173745.18112200405</v>
      </c>
      <c r="G50" s="3666" t="str">
        <f t="shared" si="2"/>
        <v>NA</v>
      </c>
      <c r="H50" s="3667">
        <f t="shared" si="17"/>
        <v>9.3426639068673364E-2</v>
      </c>
      <c r="I50" s="3668">
        <f t="shared" si="18"/>
        <v>1.9680508155525047E-3</v>
      </c>
      <c r="J50" s="3505" t="str">
        <f>J51</f>
        <v>IE</v>
      </c>
      <c r="K50" s="3505">
        <f>K51</f>
        <v>16.232428326606755</v>
      </c>
      <c r="L50" s="3508">
        <f>L51</f>
        <v>0.34193934540547777</v>
      </c>
      <c r="M50" s="482"/>
    </row>
    <row r="51" spans="2:13" ht="18" customHeight="1" x14ac:dyDescent="0.2">
      <c r="B51" s="923"/>
      <c r="C51" s="4367" t="s">
        <v>2263</v>
      </c>
      <c r="D51" s="542" t="s">
        <v>940</v>
      </c>
      <c r="E51" s="543" t="s">
        <v>2250</v>
      </c>
      <c r="F51" s="3655">
        <v>173745.18112200405</v>
      </c>
      <c r="G51" s="3666" t="str">
        <f t="shared" si="2"/>
        <v>NA</v>
      </c>
      <c r="H51" s="3667">
        <f t="shared" si="17"/>
        <v>9.3426639068673364E-2</v>
      </c>
      <c r="I51" s="3668">
        <f t="shared" si="18"/>
        <v>1.9680508155525047E-3</v>
      </c>
      <c r="J51" s="3509" t="s">
        <v>2153</v>
      </c>
      <c r="K51" s="3510">
        <v>16.232428326606755</v>
      </c>
      <c r="L51" s="3512">
        <v>0.34193934540547777</v>
      </c>
      <c r="M51" s="482"/>
    </row>
    <row r="52" spans="2:13" ht="18" customHeight="1" x14ac:dyDescent="0.2">
      <c r="B52" s="923" t="s">
        <v>1287</v>
      </c>
      <c r="C52" s="4368"/>
      <c r="D52" s="298"/>
      <c r="E52" s="5" t="s">
        <v>2250</v>
      </c>
      <c r="F52" s="3681" t="str">
        <f>F53</f>
        <v>IE</v>
      </c>
      <c r="G52" s="3666" t="str">
        <f t="shared" si="2"/>
        <v>NA</v>
      </c>
      <c r="H52" s="3667" t="str">
        <f t="shared" si="17"/>
        <v>NA</v>
      </c>
      <c r="I52" s="3668" t="str">
        <f t="shared" si="18"/>
        <v>NA</v>
      </c>
      <c r="J52" s="3505" t="str">
        <f>J53</f>
        <v>IE</v>
      </c>
      <c r="K52" s="3505" t="str">
        <f>K53</f>
        <v>IE</v>
      </c>
      <c r="L52" s="3508" t="str">
        <f>L53</f>
        <v>IE</v>
      </c>
      <c r="M52" s="482"/>
    </row>
    <row r="53" spans="2:13" ht="18" customHeight="1" x14ac:dyDescent="0.2">
      <c r="B53" s="923"/>
      <c r="C53" s="4367" t="s">
        <v>2147</v>
      </c>
      <c r="D53" s="542"/>
      <c r="E53" s="543" t="s">
        <v>2250</v>
      </c>
      <c r="F53" s="3654" t="s">
        <v>2153</v>
      </c>
      <c r="G53" s="3666" t="str">
        <f t="shared" si="2"/>
        <v>NA</v>
      </c>
      <c r="H53" s="3667" t="str">
        <f t="shared" si="17"/>
        <v>NA</v>
      </c>
      <c r="I53" s="3668" t="str">
        <f t="shared" si="18"/>
        <v>NA</v>
      </c>
      <c r="J53" s="3509" t="s">
        <v>2153</v>
      </c>
      <c r="K53" s="3510" t="s">
        <v>2153</v>
      </c>
      <c r="L53" s="3511" t="s">
        <v>2153</v>
      </c>
      <c r="M53" s="482"/>
    </row>
    <row r="54" spans="2:13" ht="18" customHeight="1" x14ac:dyDescent="0.2">
      <c r="B54" s="903" t="s">
        <v>1288</v>
      </c>
      <c r="C54" s="4368"/>
      <c r="D54" s="298"/>
      <c r="E54" s="5" t="s">
        <v>2250</v>
      </c>
      <c r="F54" s="3680" t="str">
        <f>IF(SUM(F55,F57)=0,"NO",SUM(F55,F57))</f>
        <v>NO</v>
      </c>
      <c r="G54" s="3663" t="str">
        <f t="shared" si="2"/>
        <v>NA</v>
      </c>
      <c r="H54" s="3664" t="str">
        <f t="shared" ref="H54:H55" si="19">IF(SUM($F54)=0,"NA",K54*1000/$F54)</f>
        <v>NA</v>
      </c>
      <c r="I54" s="3665" t="str">
        <f t="shared" ref="I54:I55" si="20">IF(SUM($F54)=0,"NA",L54*1000/$F54)</f>
        <v>NA</v>
      </c>
      <c r="J54" s="3505" t="str">
        <f>IF(SUM(J55,J57)=0,"IE",SUM(J55,J57))</f>
        <v>IE</v>
      </c>
      <c r="K54" s="3506" t="str">
        <f>IF(SUM(K55,K57)=0,"NO",SUM(K55,K57))</f>
        <v>NO</v>
      </c>
      <c r="L54" s="3507" t="str">
        <f>IF(SUM(L55,L57)=0,"NO",SUM(L55,L57))</f>
        <v>NO</v>
      </c>
    </row>
    <row r="55" spans="2:13" ht="18" customHeight="1" x14ac:dyDescent="0.2">
      <c r="B55" s="923" t="s">
        <v>1289</v>
      </c>
      <c r="C55" s="4368"/>
      <c r="D55" s="298"/>
      <c r="E55" s="5" t="s">
        <v>2250</v>
      </c>
      <c r="F55" s="3681" t="str">
        <f>F56</f>
        <v>NO</v>
      </c>
      <c r="G55" s="3666" t="str">
        <f t="shared" si="2"/>
        <v>NA</v>
      </c>
      <c r="H55" s="3667" t="str">
        <f t="shared" si="19"/>
        <v>NA</v>
      </c>
      <c r="I55" s="3668" t="str">
        <f t="shared" si="20"/>
        <v>NA</v>
      </c>
      <c r="J55" s="3505" t="str">
        <f>J56</f>
        <v>NO</v>
      </c>
      <c r="K55" s="3505" t="str">
        <f>K56</f>
        <v>NO</v>
      </c>
      <c r="L55" s="3508" t="str">
        <f>L56</f>
        <v>NO</v>
      </c>
      <c r="M55" s="482"/>
    </row>
    <row r="56" spans="2:13" ht="18" customHeight="1" x14ac:dyDescent="0.2">
      <c r="B56" s="923"/>
      <c r="C56" s="4367" t="s">
        <v>2147</v>
      </c>
      <c r="D56" s="542"/>
      <c r="E56" s="543" t="s">
        <v>2250</v>
      </c>
      <c r="F56" s="3654" t="s">
        <v>2146</v>
      </c>
      <c r="G56" s="3666" t="str">
        <f t="shared" si="2"/>
        <v>NA</v>
      </c>
      <c r="H56" s="3667" t="str">
        <f t="shared" si="3"/>
        <v>NA</v>
      </c>
      <c r="I56" s="3668" t="str">
        <f t="shared" si="4"/>
        <v>NA</v>
      </c>
      <c r="J56" s="3509" t="s">
        <v>2146</v>
      </c>
      <c r="K56" s="3510" t="s">
        <v>2146</v>
      </c>
      <c r="L56" s="3511" t="s">
        <v>2146</v>
      </c>
      <c r="M56" s="482"/>
    </row>
    <row r="57" spans="2:13" ht="18" customHeight="1" x14ac:dyDescent="0.2">
      <c r="B57" s="923" t="s">
        <v>1290</v>
      </c>
      <c r="C57" s="4368"/>
      <c r="D57" s="298"/>
      <c r="E57" s="5" t="s">
        <v>2250</v>
      </c>
      <c r="F57" s="3681" t="str">
        <f>F58</f>
        <v>IE</v>
      </c>
      <c r="G57" s="3666" t="str">
        <f t="shared" si="2"/>
        <v>NA</v>
      </c>
      <c r="H57" s="3667" t="str">
        <f t="shared" si="3"/>
        <v>NA</v>
      </c>
      <c r="I57" s="3668" t="str">
        <f t="shared" si="4"/>
        <v>NA</v>
      </c>
      <c r="J57" s="3505" t="str">
        <f>J58</f>
        <v>IE</v>
      </c>
      <c r="K57" s="3505" t="str">
        <f>K58</f>
        <v>IE</v>
      </c>
      <c r="L57" s="3508" t="str">
        <f>L58</f>
        <v>IE</v>
      </c>
      <c r="M57" s="482"/>
    </row>
    <row r="58" spans="2:13" ht="18" customHeight="1" thickBot="1" x14ac:dyDescent="0.25">
      <c r="B58" s="938"/>
      <c r="C58" s="4369" t="s">
        <v>2147</v>
      </c>
      <c r="D58" s="939"/>
      <c r="E58" s="940" t="s">
        <v>2250</v>
      </c>
      <c r="F58" s="3656" t="s">
        <v>2153</v>
      </c>
      <c r="G58" s="3669" t="str">
        <f t="shared" si="2"/>
        <v>NA</v>
      </c>
      <c r="H58" s="3670" t="str">
        <f t="shared" si="3"/>
        <v>NA</v>
      </c>
      <c r="I58" s="3671" t="str">
        <f t="shared" si="4"/>
        <v>NA</v>
      </c>
      <c r="J58" s="3513" t="s">
        <v>2153</v>
      </c>
      <c r="K58" s="3514" t="s">
        <v>2153</v>
      </c>
      <c r="L58" s="3515" t="s">
        <v>2153</v>
      </c>
      <c r="M58" s="482"/>
    </row>
    <row r="59" spans="2:13" ht="18" customHeight="1" x14ac:dyDescent="0.2">
      <c r="B59" s="933" t="s">
        <v>1989</v>
      </c>
      <c r="C59" s="4370"/>
      <c r="D59" s="2850"/>
      <c r="E59" s="935" t="s">
        <v>2250</v>
      </c>
      <c r="F59" s="3683">
        <f>IF(SUM(F60,F65)=0,"NO",SUM(F60,F65))</f>
        <v>27632</v>
      </c>
      <c r="G59" s="3660" t="str">
        <f t="shared" si="2"/>
        <v>NA</v>
      </c>
      <c r="H59" s="3661">
        <f t="shared" si="3"/>
        <v>0.16836983207874928</v>
      </c>
      <c r="I59" s="3662">
        <f t="shared" si="4"/>
        <v>3.1125034235668795E-3</v>
      </c>
      <c r="J59" s="3502" t="str">
        <f>IF(SUM(J60,J65)=0,"IE",SUM(J60,J65))</f>
        <v>IE</v>
      </c>
      <c r="K59" s="3503">
        <f>IF(SUM(K60,K65)=0,"NO",SUM(K60,K65))</f>
        <v>4.6523952</v>
      </c>
      <c r="L59" s="3504">
        <f>IF(SUM(L60,L65)=0,"NO",SUM(L60,L65))</f>
        <v>8.6004694600000001E-2</v>
      </c>
    </row>
    <row r="60" spans="2:13" ht="18" customHeight="1" x14ac:dyDescent="0.2">
      <c r="B60" s="903" t="s">
        <v>2407</v>
      </c>
      <c r="C60" s="4368"/>
      <c r="D60" s="298"/>
      <c r="E60" s="5" t="s">
        <v>2250</v>
      </c>
      <c r="F60" s="3682" t="str">
        <f t="shared" ref="F60" si="21">IF(SUM(F61,F63)=0,"IE",SUM(F61,F63))</f>
        <v>IE</v>
      </c>
      <c r="G60" s="3663" t="str">
        <f t="shared" si="2"/>
        <v>NA</v>
      </c>
      <c r="H60" s="3664" t="str">
        <f t="shared" si="3"/>
        <v>NA</v>
      </c>
      <c r="I60" s="3665" t="str">
        <f t="shared" si="4"/>
        <v>NA</v>
      </c>
      <c r="J60" s="3505" t="str">
        <f>IF(SUM(J61,J63)=0,"IE",SUM(J61,J63))</f>
        <v>IE</v>
      </c>
      <c r="K60" s="3506" t="str">
        <f t="shared" ref="K60:L60" si="22">IF(SUM(K61,K63)=0,"IE",SUM(K61,K63))</f>
        <v>IE</v>
      </c>
      <c r="L60" s="3507" t="str">
        <f t="shared" si="22"/>
        <v>IE</v>
      </c>
    </row>
    <row r="61" spans="2:13" ht="18" customHeight="1" x14ac:dyDescent="0.2">
      <c r="B61" s="923" t="s">
        <v>1291</v>
      </c>
      <c r="C61" s="4368"/>
      <c r="D61" s="298"/>
      <c r="E61" s="5" t="s">
        <v>2250</v>
      </c>
      <c r="F61" s="3681" t="str">
        <f>F62</f>
        <v>IE</v>
      </c>
      <c r="G61" s="3666" t="str">
        <f t="shared" si="2"/>
        <v>NA</v>
      </c>
      <c r="H61" s="3667" t="str">
        <f t="shared" si="3"/>
        <v>NA</v>
      </c>
      <c r="I61" s="3668" t="str">
        <f t="shared" si="4"/>
        <v>NA</v>
      </c>
      <c r="J61" s="3505" t="str">
        <f>J62</f>
        <v>IE</v>
      </c>
      <c r="K61" s="3505" t="str">
        <f>K62</f>
        <v>IE</v>
      </c>
      <c r="L61" s="3508" t="str">
        <f>L62</f>
        <v>IE</v>
      </c>
      <c r="M61" s="482"/>
    </row>
    <row r="62" spans="2:13" ht="18" customHeight="1" x14ac:dyDescent="0.2">
      <c r="B62" s="923"/>
      <c r="C62" s="4367" t="s">
        <v>2147</v>
      </c>
      <c r="D62" s="542"/>
      <c r="E62" s="543" t="s">
        <v>2250</v>
      </c>
      <c r="F62" s="3654" t="s">
        <v>2153</v>
      </c>
      <c r="G62" s="3666" t="str">
        <f t="shared" si="2"/>
        <v>NA</v>
      </c>
      <c r="H62" s="3667" t="str">
        <f t="shared" si="3"/>
        <v>NA</v>
      </c>
      <c r="I62" s="3668" t="str">
        <f t="shared" si="4"/>
        <v>NA</v>
      </c>
      <c r="J62" s="3509" t="s">
        <v>2153</v>
      </c>
      <c r="K62" s="3510" t="s">
        <v>2153</v>
      </c>
      <c r="L62" s="3511" t="s">
        <v>2153</v>
      </c>
      <c r="M62" s="482"/>
    </row>
    <row r="63" spans="2:13" ht="18" customHeight="1" x14ac:dyDescent="0.2">
      <c r="B63" s="923" t="s">
        <v>1292</v>
      </c>
      <c r="C63" s="4368"/>
      <c r="D63" s="298"/>
      <c r="E63" s="5" t="s">
        <v>2250</v>
      </c>
      <c r="F63" s="3681" t="str">
        <f>F64</f>
        <v>IE</v>
      </c>
      <c r="G63" s="3666" t="str">
        <f t="shared" si="2"/>
        <v>NA</v>
      </c>
      <c r="H63" s="3667" t="str">
        <f t="shared" si="3"/>
        <v>NA</v>
      </c>
      <c r="I63" s="3668" t="str">
        <f t="shared" si="4"/>
        <v>NA</v>
      </c>
      <c r="J63" s="3505" t="str">
        <f>J64</f>
        <v>IE</v>
      </c>
      <c r="K63" s="3505" t="str">
        <f>K64</f>
        <v>IE</v>
      </c>
      <c r="L63" s="3508" t="str">
        <f>L64</f>
        <v>IE</v>
      </c>
      <c r="M63" s="482"/>
    </row>
    <row r="64" spans="2:13" ht="18" customHeight="1" x14ac:dyDescent="0.2">
      <c r="B64" s="923"/>
      <c r="C64" s="4367" t="s">
        <v>2147</v>
      </c>
      <c r="D64" s="542"/>
      <c r="E64" s="543" t="s">
        <v>2250</v>
      </c>
      <c r="F64" s="3654" t="s">
        <v>2153</v>
      </c>
      <c r="G64" s="3666" t="str">
        <f t="shared" si="2"/>
        <v>NA</v>
      </c>
      <c r="H64" s="3667" t="str">
        <f t="shared" si="3"/>
        <v>NA</v>
      </c>
      <c r="I64" s="3668" t="str">
        <f t="shared" si="4"/>
        <v>NA</v>
      </c>
      <c r="J64" s="3509" t="s">
        <v>2153</v>
      </c>
      <c r="K64" s="3510" t="s">
        <v>2153</v>
      </c>
      <c r="L64" s="3511" t="s">
        <v>2153</v>
      </c>
      <c r="M64" s="482"/>
    </row>
    <row r="65" spans="2:13" ht="18" customHeight="1" x14ac:dyDescent="0.2">
      <c r="B65" s="903" t="s">
        <v>1293</v>
      </c>
      <c r="C65" s="4368"/>
      <c r="D65" s="298"/>
      <c r="E65" s="5" t="s">
        <v>2250</v>
      </c>
      <c r="F65" s="3680">
        <f>IF(SUM(F66,F68)=0,"NO",SUM(F66,F68))</f>
        <v>27632</v>
      </c>
      <c r="G65" s="3663" t="str">
        <f t="shared" si="2"/>
        <v>NA</v>
      </c>
      <c r="H65" s="3664">
        <f t="shared" si="3"/>
        <v>0.16836983207874928</v>
      </c>
      <c r="I65" s="3665">
        <f t="shared" si="4"/>
        <v>3.1125034235668795E-3</v>
      </c>
      <c r="J65" s="3505" t="str">
        <f>IF(SUM(J66,J68)=0,"IE",SUM(J66,J68))</f>
        <v>IE</v>
      </c>
      <c r="K65" s="3506">
        <f>IF(SUM(K66,K68)=0,"NO",SUM(K66,K68))</f>
        <v>4.6523952</v>
      </c>
      <c r="L65" s="3507">
        <f>IF(SUM(L66,L68)=0,"NO",SUM(L66,L68))</f>
        <v>8.6004694600000001E-2</v>
      </c>
    </row>
    <row r="66" spans="2:13" ht="18" customHeight="1" x14ac:dyDescent="0.2">
      <c r="B66" s="923" t="s">
        <v>1294</v>
      </c>
      <c r="C66" s="4368"/>
      <c r="D66" s="298"/>
      <c r="E66" s="5" t="s">
        <v>2250</v>
      </c>
      <c r="F66" s="3681">
        <f>F67</f>
        <v>27632</v>
      </c>
      <c r="G66" s="3666" t="str">
        <f t="shared" si="2"/>
        <v>NA</v>
      </c>
      <c r="H66" s="3667">
        <f t="shared" si="3"/>
        <v>0.16836983207874928</v>
      </c>
      <c r="I66" s="3668">
        <f t="shared" si="4"/>
        <v>3.1125034235668795E-3</v>
      </c>
      <c r="J66" s="3505" t="str">
        <f>J67</f>
        <v>IE</v>
      </c>
      <c r="K66" s="3505">
        <f>K67</f>
        <v>4.6523952</v>
      </c>
      <c r="L66" s="3508">
        <f>L67</f>
        <v>8.6004694600000001E-2</v>
      </c>
      <c r="M66" s="482"/>
    </row>
    <row r="67" spans="2:13" ht="18" customHeight="1" x14ac:dyDescent="0.2">
      <c r="B67" s="923"/>
      <c r="C67" s="4367" t="s">
        <v>2252</v>
      </c>
      <c r="D67" s="542" t="s">
        <v>940</v>
      </c>
      <c r="E67" s="543" t="s">
        <v>2250</v>
      </c>
      <c r="F67" s="3655">
        <v>27632</v>
      </c>
      <c r="G67" s="3666" t="str">
        <f t="shared" si="2"/>
        <v>NA</v>
      </c>
      <c r="H67" s="3667">
        <f t="shared" ref="H67:H68" si="23">IF(SUM($F67)=0,"NA",K67*1000/$F67)</f>
        <v>0.16836983207874928</v>
      </c>
      <c r="I67" s="3668">
        <f t="shared" ref="I67:I68" si="24">IF(SUM($F67)=0,"NA",L67*1000/$F67)</f>
        <v>3.1125034235668795E-3</v>
      </c>
      <c r="J67" s="3509" t="s">
        <v>2153</v>
      </c>
      <c r="K67" s="3510">
        <v>4.6523952</v>
      </c>
      <c r="L67" s="3512">
        <v>8.6004694600000001E-2</v>
      </c>
      <c r="M67" s="482"/>
    </row>
    <row r="68" spans="2:13" ht="18" customHeight="1" x14ac:dyDescent="0.2">
      <c r="B68" s="923" t="s">
        <v>1295</v>
      </c>
      <c r="C68" s="4368"/>
      <c r="D68" s="298"/>
      <c r="E68" s="5" t="s">
        <v>2250</v>
      </c>
      <c r="F68" s="3681" t="str">
        <f>F69</f>
        <v>IE</v>
      </c>
      <c r="G68" s="3666" t="str">
        <f t="shared" si="2"/>
        <v>NA</v>
      </c>
      <c r="H68" s="3667" t="str">
        <f t="shared" si="23"/>
        <v>NA</v>
      </c>
      <c r="I68" s="3668" t="str">
        <f t="shared" si="24"/>
        <v>NA</v>
      </c>
      <c r="J68" s="3505" t="str">
        <f>J69</f>
        <v>IE</v>
      </c>
      <c r="K68" s="3505" t="str">
        <f>K69</f>
        <v>IE</v>
      </c>
      <c r="L68" s="3508" t="str">
        <f>L69</f>
        <v>IE</v>
      </c>
      <c r="M68" s="482"/>
    </row>
    <row r="69" spans="2:13" ht="18" customHeight="1" thickBot="1" x14ac:dyDescent="0.25">
      <c r="B69" s="938"/>
      <c r="C69" s="4369" t="s">
        <v>2147</v>
      </c>
      <c r="D69" s="939"/>
      <c r="E69" s="940" t="s">
        <v>2250</v>
      </c>
      <c r="F69" s="3656" t="s">
        <v>2153</v>
      </c>
      <c r="G69" s="3669" t="str">
        <f t="shared" si="2"/>
        <v>NA</v>
      </c>
      <c r="H69" s="3670" t="str">
        <f t="shared" ref="H69" si="25">IF(SUM($F69)=0,"NA",K69*1000/$F69)</f>
        <v>NA</v>
      </c>
      <c r="I69" s="3671" t="str">
        <f t="shared" ref="I69" si="26">IF(SUM($F69)=0,"NA",L69*1000/$F69)</f>
        <v>NA</v>
      </c>
      <c r="J69" s="3513" t="s">
        <v>2153</v>
      </c>
      <c r="K69" s="3514" t="s">
        <v>2153</v>
      </c>
      <c r="L69" s="3515" t="s">
        <v>2153</v>
      </c>
      <c r="M69" s="482"/>
    </row>
    <row r="70" spans="2:13" ht="18" customHeight="1" x14ac:dyDescent="0.2">
      <c r="B70" s="933" t="s">
        <v>1990</v>
      </c>
      <c r="C70" s="4370"/>
      <c r="D70" s="2850"/>
      <c r="E70" s="935" t="s">
        <v>2250</v>
      </c>
      <c r="F70" s="3684" t="str">
        <f>F71</f>
        <v>NO</v>
      </c>
      <c r="G70" s="3672" t="str">
        <f t="shared" si="2"/>
        <v>NA</v>
      </c>
      <c r="H70" s="3673" t="str">
        <f t="shared" si="3"/>
        <v>NA</v>
      </c>
      <c r="I70" s="3674" t="str">
        <f t="shared" si="4"/>
        <v>NA</v>
      </c>
      <c r="J70" s="3516" t="str">
        <f>J71</f>
        <v>NO</v>
      </c>
      <c r="K70" s="3516" t="str">
        <f>K71</f>
        <v>NO</v>
      </c>
      <c r="L70" s="3517" t="str">
        <f>L71</f>
        <v>NO</v>
      </c>
    </row>
    <row r="71" spans="2:13" ht="18" customHeight="1" x14ac:dyDescent="0.2">
      <c r="B71" s="903" t="s">
        <v>1296</v>
      </c>
      <c r="C71" s="4368"/>
      <c r="D71" s="298"/>
      <c r="E71" s="5" t="s">
        <v>2250</v>
      </c>
      <c r="F71" s="3680" t="str">
        <f>IF(SUM(F72,F74)=0,"NO",SUM(F72,F74))</f>
        <v>NO</v>
      </c>
      <c r="G71" s="3663" t="str">
        <f t="shared" si="2"/>
        <v>NA</v>
      </c>
      <c r="H71" s="3664" t="str">
        <f t="shared" ref="H71" si="27">IF(SUM($F71)=0,"NA",K71*1000/$F71)</f>
        <v>NA</v>
      </c>
      <c r="I71" s="3665" t="str">
        <f t="shared" ref="I71" si="28">IF(SUM($F71)=0,"NA",L71*1000/$F71)</f>
        <v>NA</v>
      </c>
      <c r="J71" s="3505" t="str">
        <f>IF(SUM(J72,J74)=0,"NO",SUM(J72,J74))</f>
        <v>NO</v>
      </c>
      <c r="K71" s="3506" t="str">
        <f>IF(SUM(K72,K74)=0,"NO",SUM(K72,K74))</f>
        <v>NO</v>
      </c>
      <c r="L71" s="3507" t="str">
        <f>IF(SUM(L72,L74)=0,"NO",SUM(L72,L74))</f>
        <v>NO</v>
      </c>
    </row>
    <row r="72" spans="2:13" ht="18" customHeight="1" x14ac:dyDescent="0.2">
      <c r="B72" s="923" t="s">
        <v>1297</v>
      </c>
      <c r="C72" s="4368"/>
      <c r="D72" s="298"/>
      <c r="E72" s="5" t="s">
        <v>2250</v>
      </c>
      <c r="F72" s="3681" t="str">
        <f>F73</f>
        <v>NO</v>
      </c>
      <c r="G72" s="3666" t="str">
        <f t="shared" si="2"/>
        <v>NA</v>
      </c>
      <c r="H72" s="3667" t="str">
        <f t="shared" si="3"/>
        <v>NA</v>
      </c>
      <c r="I72" s="3668" t="str">
        <f t="shared" si="4"/>
        <v>NA</v>
      </c>
      <c r="J72" s="3505" t="str">
        <f>J73</f>
        <v>NO</v>
      </c>
      <c r="K72" s="3505" t="str">
        <f>K73</f>
        <v>NO</v>
      </c>
      <c r="L72" s="3508" t="str">
        <f>L73</f>
        <v>NO</v>
      </c>
      <c r="M72" s="482"/>
    </row>
    <row r="73" spans="2:13" ht="18" customHeight="1" x14ac:dyDescent="0.2">
      <c r="B73" s="923"/>
      <c r="C73" s="4367" t="s">
        <v>2147</v>
      </c>
      <c r="D73" s="542"/>
      <c r="E73" s="543" t="s">
        <v>2250</v>
      </c>
      <c r="F73" s="3654" t="s">
        <v>2146</v>
      </c>
      <c r="G73" s="3666" t="str">
        <f t="shared" si="2"/>
        <v>NA</v>
      </c>
      <c r="H73" s="3667" t="str">
        <f t="shared" ref="H73:H74" si="29">IF(SUM($F73)=0,"NA",K73*1000/$F73)</f>
        <v>NA</v>
      </c>
      <c r="I73" s="3668" t="str">
        <f t="shared" ref="I73:I74" si="30">IF(SUM($F73)=0,"NA",L73*1000/$F73)</f>
        <v>NA</v>
      </c>
      <c r="J73" s="3509" t="s">
        <v>2146</v>
      </c>
      <c r="K73" s="3510" t="s">
        <v>2146</v>
      </c>
      <c r="L73" s="3511" t="s">
        <v>2146</v>
      </c>
      <c r="M73" s="482"/>
    </row>
    <row r="74" spans="2:13" ht="18" customHeight="1" x14ac:dyDescent="0.2">
      <c r="B74" s="923" t="s">
        <v>1298</v>
      </c>
      <c r="C74" s="4368"/>
      <c r="D74" s="298"/>
      <c r="E74" s="5" t="s">
        <v>2250</v>
      </c>
      <c r="F74" s="3681" t="str">
        <f>F75</f>
        <v>NO</v>
      </c>
      <c r="G74" s="3666" t="str">
        <f t="shared" si="2"/>
        <v>NA</v>
      </c>
      <c r="H74" s="3667" t="str">
        <f t="shared" si="29"/>
        <v>NA</v>
      </c>
      <c r="I74" s="3668" t="str">
        <f t="shared" si="30"/>
        <v>NA</v>
      </c>
      <c r="J74" s="3505" t="str">
        <f>J75</f>
        <v>NO</v>
      </c>
      <c r="K74" s="3505" t="str">
        <f>K75</f>
        <v>NO</v>
      </c>
      <c r="L74" s="3508" t="str">
        <f>L75</f>
        <v>NO</v>
      </c>
      <c r="M74" s="482"/>
    </row>
    <row r="75" spans="2:13" ht="18" customHeight="1" thickBot="1" x14ac:dyDescent="0.25">
      <c r="B75" s="938"/>
      <c r="C75" s="4369" t="s">
        <v>2147</v>
      </c>
      <c r="D75" s="939"/>
      <c r="E75" s="940" t="s">
        <v>2250</v>
      </c>
      <c r="F75" s="3656" t="s">
        <v>2146</v>
      </c>
      <c r="G75" s="3669" t="str">
        <f t="shared" si="2"/>
        <v>NA</v>
      </c>
      <c r="H75" s="3670" t="str">
        <f t="shared" si="3"/>
        <v>NA</v>
      </c>
      <c r="I75" s="3671" t="str">
        <f t="shared" si="4"/>
        <v>NA</v>
      </c>
      <c r="J75" s="3513" t="s">
        <v>2146</v>
      </c>
      <c r="K75" s="3514" t="s">
        <v>2146</v>
      </c>
      <c r="L75" s="3515" t="s">
        <v>2146</v>
      </c>
      <c r="M75" s="482"/>
    </row>
    <row r="76" spans="2:13" ht="18" customHeight="1" x14ac:dyDescent="0.2">
      <c r="B76" s="933" t="s">
        <v>1299</v>
      </c>
      <c r="C76" s="4370"/>
      <c r="D76" s="2850"/>
      <c r="E76" s="935" t="s">
        <v>2250</v>
      </c>
      <c r="F76" s="3684" t="str">
        <f>F77</f>
        <v>NA</v>
      </c>
      <c r="G76" s="3672" t="str">
        <f t="shared" si="2"/>
        <v>NA</v>
      </c>
      <c r="H76" s="3673" t="str">
        <f t="shared" si="3"/>
        <v>NA</v>
      </c>
      <c r="I76" s="3674" t="str">
        <f t="shared" si="4"/>
        <v>NA</v>
      </c>
      <c r="J76" s="3516" t="str">
        <f>J77</f>
        <v>NA</v>
      </c>
      <c r="K76" s="3516" t="str">
        <f>K77</f>
        <v>NA</v>
      </c>
      <c r="L76" s="3517" t="str">
        <f>L77</f>
        <v>NA</v>
      </c>
    </row>
    <row r="77" spans="2:13" ht="18" customHeight="1" thickBot="1" x14ac:dyDescent="0.25">
      <c r="B77" s="924" t="s">
        <v>2147</v>
      </c>
      <c r="C77" s="4369" t="s">
        <v>2147</v>
      </c>
      <c r="D77" s="545"/>
      <c r="E77" s="546" t="s">
        <v>2250</v>
      </c>
      <c r="F77" s="3685" t="s">
        <v>2147</v>
      </c>
      <c r="G77" s="3675" t="str">
        <f t="shared" ref="G77" si="31">IFERROR(IF(SUM($F77)=0,"NA",J77*1000/$F77),"NA")</f>
        <v>NA</v>
      </c>
      <c r="H77" s="3676" t="str">
        <f t="shared" si="3"/>
        <v>NA</v>
      </c>
      <c r="I77" s="3677" t="str">
        <f t="shared" si="4"/>
        <v>NA</v>
      </c>
      <c r="J77" s="3518" t="s">
        <v>2147</v>
      </c>
      <c r="K77" s="3519" t="s">
        <v>2147</v>
      </c>
      <c r="L77" s="3520" t="s">
        <v>2147</v>
      </c>
    </row>
    <row r="78" spans="2:13" ht="10.5" customHeight="1" x14ac:dyDescent="0.2">
      <c r="B78" s="85"/>
      <c r="C78" s="85"/>
      <c r="D78" s="85"/>
      <c r="E78" s="85"/>
      <c r="F78" s="85"/>
      <c r="G78" s="247"/>
      <c r="H78" s="247"/>
      <c r="I78" s="247"/>
      <c r="J78" s="85"/>
      <c r="K78" s="85"/>
      <c r="L78" s="85"/>
    </row>
    <row r="79" spans="2:13" ht="13.5" x14ac:dyDescent="0.2">
      <c r="B79" s="810"/>
      <c r="C79" s="810"/>
      <c r="D79" s="810"/>
      <c r="E79" s="810"/>
      <c r="F79" s="810"/>
      <c r="G79" s="810"/>
      <c r="H79" s="810"/>
      <c r="I79" s="810"/>
      <c r="J79" s="918"/>
      <c r="K79" s="918"/>
      <c r="L79" s="918"/>
    </row>
    <row r="80" spans="2:13" ht="13.5" x14ac:dyDescent="0.2">
      <c r="B80" s="810"/>
      <c r="C80" s="810"/>
      <c r="D80" s="810"/>
      <c r="E80" s="810"/>
      <c r="F80" s="810"/>
      <c r="G80" s="810"/>
      <c r="H80" s="810"/>
      <c r="I80" s="810"/>
      <c r="J80" s="810"/>
      <c r="K80" s="810"/>
      <c r="L80" s="810"/>
    </row>
    <row r="81" spans="2:16" ht="13.5" x14ac:dyDescent="0.2">
      <c r="B81" s="547"/>
      <c r="C81" s="810"/>
      <c r="D81" s="810"/>
      <c r="E81" s="810"/>
      <c r="F81" s="810"/>
      <c r="G81" s="810"/>
      <c r="H81" s="810"/>
      <c r="I81" s="810"/>
      <c r="J81" s="810"/>
      <c r="K81" s="810"/>
      <c r="L81" s="810"/>
    </row>
    <row r="82" spans="2:16" ht="13.5" x14ac:dyDescent="0.2">
      <c r="B82" s="810"/>
      <c r="C82" s="810"/>
      <c r="D82" s="810"/>
      <c r="E82" s="810"/>
      <c r="F82" s="810"/>
      <c r="G82" s="810"/>
      <c r="H82" s="810"/>
      <c r="I82" s="810"/>
      <c r="J82" s="810"/>
      <c r="K82" s="810"/>
      <c r="L82" s="810"/>
    </row>
    <row r="83" spans="2:16" ht="13.5" x14ac:dyDescent="0.2">
      <c r="B83" s="810"/>
      <c r="C83" s="810"/>
      <c r="D83" s="810"/>
      <c r="E83" s="810"/>
      <c r="F83" s="810"/>
      <c r="G83" s="810"/>
      <c r="H83" s="810"/>
      <c r="I83" s="810"/>
      <c r="J83" s="810"/>
      <c r="K83" s="810"/>
      <c r="L83" s="810"/>
    </row>
    <row r="84" spans="2:16" ht="13.5" x14ac:dyDescent="0.2">
      <c r="B84" s="942"/>
      <c r="C84" s="810"/>
      <c r="D84" s="810"/>
      <c r="E84" s="810"/>
      <c r="F84" s="810"/>
      <c r="G84" s="810"/>
      <c r="H84" s="810"/>
      <c r="I84" s="810"/>
      <c r="J84" s="810"/>
      <c r="K84" s="810"/>
      <c r="L84" s="810"/>
    </row>
    <row r="85" spans="2:16" x14ac:dyDescent="0.2">
      <c r="B85" s="547"/>
      <c r="C85" s="918"/>
      <c r="D85" s="918"/>
      <c r="E85" s="918"/>
      <c r="F85" s="918"/>
      <c r="G85" s="918"/>
      <c r="H85" s="918"/>
      <c r="I85" s="918"/>
      <c r="J85" s="918"/>
      <c r="K85" s="918"/>
      <c r="L85" s="918"/>
    </row>
    <row r="86" spans="2:16" ht="13.5" x14ac:dyDescent="0.2">
      <c r="B86" s="810"/>
      <c r="C86" s="810"/>
      <c r="D86" s="810"/>
      <c r="E86" s="810"/>
      <c r="F86" s="810"/>
      <c r="G86" s="810"/>
      <c r="H86" s="810"/>
      <c r="I86" s="810"/>
      <c r="J86" s="810"/>
      <c r="K86" s="810"/>
      <c r="L86" s="810"/>
      <c r="P86" s="379"/>
    </row>
    <row r="87" spans="2:16" ht="13.5" x14ac:dyDescent="0.2">
      <c r="B87" s="810"/>
      <c r="C87" s="810"/>
      <c r="D87" s="810"/>
      <c r="E87" s="810"/>
      <c r="F87" s="810"/>
      <c r="G87" s="810"/>
      <c r="H87" s="810"/>
      <c r="I87" s="810"/>
      <c r="J87" s="810"/>
      <c r="K87" s="810"/>
      <c r="L87" s="810"/>
      <c r="P87" s="379"/>
    </row>
    <row r="88" spans="2:16" ht="13.5" x14ac:dyDescent="0.2">
      <c r="B88" s="810"/>
      <c r="C88" s="810"/>
      <c r="D88" s="810"/>
      <c r="E88" s="810"/>
      <c r="F88" s="810"/>
      <c r="G88" s="810"/>
      <c r="H88" s="810"/>
      <c r="I88" s="810"/>
      <c r="J88" s="810"/>
      <c r="K88" s="810"/>
      <c r="L88" s="810"/>
      <c r="P88" s="379"/>
    </row>
    <row r="89" spans="2:16" ht="13.5" x14ac:dyDescent="0.2">
      <c r="B89" s="809"/>
      <c r="C89" s="809"/>
      <c r="D89" s="809"/>
      <c r="E89" s="809"/>
      <c r="F89" s="809"/>
      <c r="G89" s="809"/>
      <c r="H89" s="809"/>
      <c r="I89" s="810"/>
      <c r="J89" s="810"/>
      <c r="K89" s="810"/>
      <c r="L89" s="810"/>
    </row>
    <row r="90" spans="2:16" ht="13.5" thickBot="1" x14ac:dyDescent="0.25">
      <c r="B90" s="84"/>
      <c r="C90" s="84"/>
      <c r="D90" s="84"/>
      <c r="E90" s="84"/>
      <c r="F90" s="84"/>
      <c r="G90" s="84"/>
      <c r="H90" s="84"/>
      <c r="I90" s="84"/>
      <c r="J90" s="84"/>
      <c r="K90" s="84"/>
      <c r="L90" s="84"/>
    </row>
    <row r="91" spans="2:16" x14ac:dyDescent="0.2">
      <c r="B91" s="919" t="s">
        <v>390</v>
      </c>
      <c r="C91" s="920"/>
      <c r="D91" s="921"/>
      <c r="E91" s="921"/>
      <c r="F91" s="548"/>
      <c r="G91" s="921"/>
      <c r="H91" s="921"/>
      <c r="I91" s="921"/>
      <c r="J91" s="921"/>
      <c r="K91" s="921"/>
      <c r="L91" s="922"/>
    </row>
    <row r="92" spans="2:16" x14ac:dyDescent="0.2">
      <c r="B92" s="1357"/>
      <c r="C92" s="1358"/>
      <c r="D92" s="1359"/>
      <c r="E92" s="1359"/>
      <c r="F92" s="1360"/>
      <c r="G92" s="1359"/>
      <c r="H92" s="1359"/>
      <c r="I92" s="1359"/>
      <c r="J92" s="1359"/>
      <c r="K92" s="1359"/>
      <c r="L92" s="1361"/>
    </row>
    <row r="93" spans="2:16" x14ac:dyDescent="0.2">
      <c r="B93" s="1357"/>
      <c r="C93" s="1358"/>
      <c r="D93" s="1359"/>
      <c r="E93" s="1359"/>
      <c r="F93" s="1360"/>
      <c r="G93" s="1359"/>
      <c r="H93" s="1359"/>
      <c r="I93" s="1359"/>
      <c r="J93" s="1359"/>
      <c r="K93" s="1359"/>
      <c r="L93" s="1361"/>
    </row>
    <row r="94" spans="2:16" ht="13.5" thickBot="1" x14ac:dyDescent="0.25">
      <c r="B94" s="1354"/>
      <c r="C94" s="1355"/>
      <c r="D94" s="1355"/>
      <c r="E94" s="1355"/>
      <c r="F94" s="1355"/>
      <c r="G94" s="1355"/>
      <c r="H94" s="1355"/>
      <c r="I94" s="1355"/>
      <c r="J94" s="1355"/>
      <c r="K94" s="1355"/>
      <c r="L94" s="1356"/>
    </row>
    <row r="95" spans="2:16" ht="28.5" customHeight="1" thickBot="1" x14ac:dyDescent="0.25">
      <c r="B95" s="4483" t="s">
        <v>2253</v>
      </c>
      <c r="C95" s="4484"/>
      <c r="D95" s="4484"/>
      <c r="E95" s="4484"/>
      <c r="F95" s="4484"/>
      <c r="G95" s="4484"/>
      <c r="H95" s="4484"/>
      <c r="I95" s="4484"/>
      <c r="J95" s="4484"/>
      <c r="K95" s="4484"/>
      <c r="L95" s="4485"/>
    </row>
    <row r="96" spans="2:16" x14ac:dyDescent="0.2">
      <c r="B96" s="85"/>
      <c r="C96" s="85"/>
      <c r="D96" s="85"/>
      <c r="E96" s="85"/>
      <c r="F96" s="85"/>
      <c r="G96" s="85"/>
      <c r="H96" s="85"/>
      <c r="I96" s="85"/>
      <c r="J96" s="85"/>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showGridLines="0" zoomScale="80" zoomScaleNormal="80" workbookViewId="0">
      <pane xSplit="2" topLeftCell="C1" activePane="topRight" state="frozen"/>
      <selection pane="topRight" activeCell="C10" sqref="C10"/>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1300</v>
      </c>
      <c r="C1" s="159"/>
      <c r="D1" s="159"/>
      <c r="E1" s="159"/>
      <c r="F1" s="159"/>
      <c r="G1" s="14" t="s">
        <v>2521</v>
      </c>
      <c r="H1" s="226"/>
      <c r="I1" s="2"/>
      <c r="J1" s="2"/>
    </row>
    <row r="2" spans="1:10" ht="18.75" x14ac:dyDescent="0.25">
      <c r="B2" s="13" t="s">
        <v>1301</v>
      </c>
      <c r="C2" s="159"/>
      <c r="D2" s="159"/>
      <c r="E2" s="159"/>
      <c r="F2" s="159"/>
      <c r="G2" s="14" t="s">
        <v>2522</v>
      </c>
      <c r="H2" s="226"/>
      <c r="I2" s="2"/>
      <c r="J2" s="2"/>
    </row>
    <row r="3" spans="1:10" ht="15.75" x14ac:dyDescent="0.25">
      <c r="B3" s="13" t="s">
        <v>616</v>
      </c>
      <c r="C3" s="159"/>
      <c r="D3" s="159"/>
      <c r="E3" s="159"/>
      <c r="F3" s="159"/>
      <c r="G3" s="14" t="s">
        <v>2144</v>
      </c>
      <c r="H3" s="226"/>
      <c r="I3" s="2"/>
      <c r="J3" s="2"/>
    </row>
    <row r="4" spans="1:10" ht="15.75" hidden="1" x14ac:dyDescent="0.25">
      <c r="B4" s="13"/>
      <c r="C4" s="159"/>
      <c r="D4" s="159"/>
      <c r="E4" s="159"/>
      <c r="F4" s="159"/>
      <c r="G4" s="226"/>
      <c r="H4" s="226"/>
      <c r="I4" s="2"/>
      <c r="J4" s="2"/>
    </row>
    <row r="5" spans="1:10" x14ac:dyDescent="0.2">
      <c r="B5" s="2457" t="s">
        <v>64</v>
      </c>
      <c r="J5" s="2"/>
    </row>
    <row r="6" spans="1:10" ht="24" thickBot="1" x14ac:dyDescent="0.4">
      <c r="B6" s="622" t="s">
        <v>1302</v>
      </c>
      <c r="C6" s="1175"/>
      <c r="D6" s="159"/>
      <c r="E6" s="159"/>
      <c r="F6" s="159"/>
      <c r="G6" s="159"/>
      <c r="H6" s="159"/>
    </row>
    <row r="7" spans="1:10" ht="29.25" customHeight="1" x14ac:dyDescent="0.25">
      <c r="B7" s="1613" t="s">
        <v>1303</v>
      </c>
      <c r="C7" s="1176" t="s">
        <v>1304</v>
      </c>
      <c r="D7" s="1177"/>
      <c r="E7" s="1177"/>
      <c r="F7" s="1177"/>
      <c r="G7" s="1593" t="s">
        <v>1305</v>
      </c>
      <c r="H7" s="1178"/>
      <c r="J7" s="2"/>
    </row>
    <row r="8" spans="1:10" ht="24" x14ac:dyDescent="0.2">
      <c r="B8" s="1614" t="s">
        <v>1306</v>
      </c>
      <c r="C8" s="550" t="s">
        <v>1307</v>
      </c>
      <c r="D8" s="537" t="s">
        <v>1308</v>
      </c>
      <c r="E8" s="537" t="s">
        <v>1309</v>
      </c>
      <c r="F8" s="537" t="s">
        <v>1310</v>
      </c>
      <c r="G8" s="1616" t="s">
        <v>1311</v>
      </c>
      <c r="J8" s="2"/>
    </row>
    <row r="9" spans="1:10" ht="14.25" thickBot="1" x14ac:dyDescent="0.25">
      <c r="A9" s="83"/>
      <c r="B9" s="1592"/>
      <c r="C9" s="1179" t="s">
        <v>234</v>
      </c>
      <c r="D9" s="1180"/>
      <c r="E9" s="1181" t="s">
        <v>1312</v>
      </c>
      <c r="F9" s="1182" t="s">
        <v>234</v>
      </c>
      <c r="G9" s="1183" t="s">
        <v>1038</v>
      </c>
      <c r="H9" s="226"/>
      <c r="I9" s="2"/>
      <c r="J9" s="2"/>
    </row>
    <row r="10" spans="1:10" ht="36.75" thickBot="1" x14ac:dyDescent="0.25">
      <c r="B10" s="1184" t="s">
        <v>1313</v>
      </c>
      <c r="C10" s="3521">
        <f>IF(SUM(C11,C16:C17)=0,"NO",SUM(C11,C16:C17))</f>
        <v>5488.4328478925718</v>
      </c>
      <c r="D10" s="3521">
        <f>IF(SUM(D11,D16:D17)=0,"NO",SUM(D11,D16:D17))</f>
        <v>-3443.9281819638982</v>
      </c>
      <c r="E10" s="3522"/>
      <c r="F10" s="3523">
        <f>IF(SUM(F11,F16:F17)=0,"NO",SUM(F11,F16:F17))</f>
        <v>2044.5046659286736</v>
      </c>
      <c r="G10" s="3524">
        <f>IF(SUM(G11,G16:G17)=0,"NO",SUM(G11,G16:G17))</f>
        <v>-7496.5171084051362</v>
      </c>
      <c r="H10" s="226"/>
      <c r="I10" s="2"/>
      <c r="J10" s="2"/>
    </row>
    <row r="11" spans="1:10" ht="18" customHeight="1" x14ac:dyDescent="0.2">
      <c r="B11" s="606" t="s">
        <v>1314</v>
      </c>
      <c r="C11" s="3525">
        <f>IF(SUM(C13:C15)=0,"NO",SUM(C13:C15))</f>
        <v>1769.1731095128798</v>
      </c>
      <c r="D11" s="3526">
        <f>IF(SUM(D13:D15)=0,"NO",SUM(D13:D15))</f>
        <v>-681.33653823272664</v>
      </c>
      <c r="E11" s="3527"/>
      <c r="F11" s="3528">
        <f>IF(SUM(F13:F15)=0,"NO",SUM(F13:F15))</f>
        <v>1087.8365712801533</v>
      </c>
      <c r="G11" s="3529">
        <f>IF(SUM(G13:G15)=0,"NO",SUM(G13:G15))</f>
        <v>-3988.7340946938953</v>
      </c>
      <c r="H11" s="226"/>
      <c r="I11" s="2"/>
      <c r="J11" s="2"/>
    </row>
    <row r="12" spans="1:10" ht="18" customHeight="1" x14ac:dyDescent="0.2">
      <c r="B12" s="1362" t="s">
        <v>345</v>
      </c>
      <c r="C12" s="3530"/>
      <c r="D12" s="3531"/>
      <c r="E12" s="3531"/>
      <c r="F12" s="3531"/>
      <c r="G12" s="3532"/>
      <c r="H12" s="226"/>
      <c r="I12" s="2"/>
      <c r="J12" s="2"/>
    </row>
    <row r="13" spans="1:10" ht="18" customHeight="1" x14ac:dyDescent="0.2">
      <c r="B13" s="1193" t="s">
        <v>1315</v>
      </c>
      <c r="C13" s="3533">
        <v>1267.0690410456059</v>
      </c>
      <c r="D13" s="3534">
        <f>F13-C13</f>
        <v>-417.06153126432537</v>
      </c>
      <c r="E13" s="3535" t="s">
        <v>2147</v>
      </c>
      <c r="F13" s="3536">
        <f>G13/(-44/12)</f>
        <v>850.00750978128053</v>
      </c>
      <c r="G13" s="3537">
        <v>-3116.694202531362</v>
      </c>
      <c r="H13" s="226"/>
      <c r="I13" s="2"/>
      <c r="J13" s="2"/>
    </row>
    <row r="14" spans="1:10" ht="18" customHeight="1" x14ac:dyDescent="0.2">
      <c r="B14" s="1193" t="s">
        <v>1316</v>
      </c>
      <c r="C14" s="3538">
        <v>502.10406846727403</v>
      </c>
      <c r="D14" s="3539">
        <f>F14-C14</f>
        <v>-264.27500696840127</v>
      </c>
      <c r="E14" s="3235" t="s">
        <v>2147</v>
      </c>
      <c r="F14" s="3540">
        <f>G14/(-44/12)</f>
        <v>237.82906149887276</v>
      </c>
      <c r="G14" s="3537">
        <v>-872.03989216253342</v>
      </c>
      <c r="H14" s="226"/>
      <c r="I14" s="2"/>
      <c r="J14" s="2"/>
    </row>
    <row r="15" spans="1:10" ht="18" customHeight="1" x14ac:dyDescent="0.2">
      <c r="B15" s="1193" t="s">
        <v>1317</v>
      </c>
      <c r="C15" s="3541" t="s">
        <v>2147</v>
      </c>
      <c r="D15" s="3235" t="s">
        <v>2147</v>
      </c>
      <c r="E15" s="3235" t="s">
        <v>2147</v>
      </c>
      <c r="F15" s="3231" t="s">
        <v>2147</v>
      </c>
      <c r="G15" s="3537" t="s">
        <v>2147</v>
      </c>
      <c r="H15" s="226"/>
      <c r="I15" s="2"/>
      <c r="J15" s="2"/>
    </row>
    <row r="16" spans="1:10" ht="18" customHeight="1" x14ac:dyDescent="0.2">
      <c r="B16" s="606" t="s">
        <v>1318</v>
      </c>
      <c r="C16" s="3538">
        <v>2259.4936831912646</v>
      </c>
      <c r="D16" s="3539">
        <f>F16-C16</f>
        <v>-2206.4036383218745</v>
      </c>
      <c r="E16" s="3235" t="s">
        <v>2147</v>
      </c>
      <c r="F16" s="3540">
        <f>G16/(-44/12)</f>
        <v>53.090044869389885</v>
      </c>
      <c r="G16" s="3537">
        <v>-194.66349785442958</v>
      </c>
      <c r="H16" s="226"/>
      <c r="I16" s="2"/>
      <c r="J16" s="2"/>
    </row>
    <row r="17" spans="2:10" ht="18" customHeight="1" x14ac:dyDescent="0.2">
      <c r="B17" s="1197" t="s">
        <v>1320</v>
      </c>
      <c r="C17" s="3542">
        <f>C18</f>
        <v>1459.7660551884276</v>
      </c>
      <c r="D17" s="3543">
        <f t="shared" ref="D17:F17" si="0">D18</f>
        <v>-556.18800540929726</v>
      </c>
      <c r="E17" s="3544"/>
      <c r="F17" s="3226">
        <f t="shared" si="0"/>
        <v>903.57804977913031</v>
      </c>
      <c r="G17" s="3537">
        <f>-F17*44/12</f>
        <v>-3313.1195158568112</v>
      </c>
      <c r="H17" s="226"/>
      <c r="I17" s="2"/>
      <c r="J17" s="2"/>
    </row>
    <row r="18" spans="2:10" ht="18" customHeight="1" thickBot="1" x14ac:dyDescent="0.25">
      <c r="B18" s="561" t="s">
        <v>2254</v>
      </c>
      <c r="C18" s="3545">
        <v>1459.7660551884276</v>
      </c>
      <c r="D18" s="3546">
        <f>F18-C18</f>
        <v>-556.18800540929726</v>
      </c>
      <c r="E18" s="3238" t="s">
        <v>2147</v>
      </c>
      <c r="F18" s="3547">
        <f>G18/(-44/12)</f>
        <v>903.57804977913031</v>
      </c>
      <c r="G18" s="3548">
        <v>-3313.1195158568112</v>
      </c>
      <c r="H18" s="226"/>
      <c r="I18" s="2"/>
      <c r="J18" s="2"/>
    </row>
    <row r="19" spans="2:10" x14ac:dyDescent="0.2">
      <c r="B19" s="1199"/>
      <c r="C19" s="159"/>
      <c r="D19" s="159"/>
      <c r="E19" s="159"/>
      <c r="F19" s="159"/>
      <c r="G19" s="159"/>
      <c r="H19" s="159"/>
      <c r="I19" s="2"/>
      <c r="J19" s="2"/>
    </row>
    <row r="20" spans="2:10" ht="24" thickBot="1" x14ac:dyDescent="0.4">
      <c r="B20" s="549" t="s">
        <v>1321</v>
      </c>
      <c r="C20" s="1175"/>
      <c r="D20" s="159"/>
      <c r="E20" s="159"/>
      <c r="F20" s="159"/>
      <c r="G20" s="159"/>
      <c r="H20" s="159"/>
      <c r="I20" s="2"/>
      <c r="J20" s="2"/>
    </row>
    <row r="21" spans="2:10" ht="28.5" customHeight="1" x14ac:dyDescent="0.2">
      <c r="B21" s="1613" t="s">
        <v>1303</v>
      </c>
      <c r="C21" s="1201" t="s">
        <v>1322</v>
      </c>
      <c r="D21" s="1202"/>
      <c r="E21" s="1202"/>
      <c r="F21" s="1202"/>
      <c r="G21" s="1593" t="s">
        <v>1305</v>
      </c>
      <c r="H21" s="226"/>
      <c r="I21" s="2"/>
      <c r="J21" s="2"/>
    </row>
    <row r="22" spans="2:10" ht="24" x14ac:dyDescent="0.2">
      <c r="B22" s="1614" t="s">
        <v>1877</v>
      </c>
      <c r="C22" s="550" t="s">
        <v>1307</v>
      </c>
      <c r="D22" s="537" t="s">
        <v>1308</v>
      </c>
      <c r="E22" s="537" t="s">
        <v>1309</v>
      </c>
      <c r="F22" s="550" t="s">
        <v>1323</v>
      </c>
      <c r="G22" s="1616" t="s">
        <v>1311</v>
      </c>
      <c r="H22" s="226"/>
      <c r="I22" s="2"/>
      <c r="J22" s="2"/>
    </row>
    <row r="23" spans="2:10" ht="14.25" thickBot="1" x14ac:dyDescent="0.25">
      <c r="B23" s="1592"/>
      <c r="C23" s="1179" t="s">
        <v>234</v>
      </c>
      <c r="D23" s="1180"/>
      <c r="E23" s="1181" t="s">
        <v>1324</v>
      </c>
      <c r="F23" s="1182" t="s">
        <v>234</v>
      </c>
      <c r="G23" s="1183" t="s">
        <v>1038</v>
      </c>
      <c r="H23" s="226"/>
      <c r="I23" s="2"/>
      <c r="J23" s="2"/>
    </row>
    <row r="24" spans="2:10" ht="24.75" thickBot="1" x14ac:dyDescent="0.25">
      <c r="B24" s="1184" t="s">
        <v>1325</v>
      </c>
      <c r="C24" s="1203"/>
      <c r="D24" s="563"/>
      <c r="E24" s="564"/>
      <c r="F24" s="565"/>
      <c r="G24" s="566"/>
      <c r="H24" s="226"/>
      <c r="I24" s="2"/>
      <c r="J24" s="2"/>
    </row>
    <row r="25" spans="2:10" ht="18" customHeight="1" x14ac:dyDescent="0.2">
      <c r="B25" s="606" t="s">
        <v>1314</v>
      </c>
      <c r="C25" s="1189"/>
      <c r="D25" s="1190"/>
      <c r="E25" s="567"/>
      <c r="F25" s="1204"/>
      <c r="G25" s="1192"/>
      <c r="H25" s="226"/>
      <c r="I25" s="2"/>
      <c r="J25" s="2"/>
    </row>
    <row r="26" spans="2:10" ht="18" customHeight="1" x14ac:dyDescent="0.2">
      <c r="B26" s="1362" t="s">
        <v>345</v>
      </c>
      <c r="C26" s="2289"/>
      <c r="D26" s="2290"/>
      <c r="E26" s="2290"/>
      <c r="F26" s="2290"/>
      <c r="G26" s="944"/>
      <c r="H26" s="226" t="s">
        <v>389</v>
      </c>
      <c r="I26" s="2"/>
      <c r="J26" s="2"/>
    </row>
    <row r="27" spans="2:10" ht="18" customHeight="1" x14ac:dyDescent="0.2">
      <c r="B27" s="1193" t="s">
        <v>1315</v>
      </c>
      <c r="C27" s="552"/>
      <c r="D27" s="553"/>
      <c r="E27" s="1194"/>
      <c r="F27" s="568"/>
      <c r="G27" s="554"/>
      <c r="H27" s="226"/>
      <c r="I27" s="2"/>
      <c r="J27" s="2"/>
    </row>
    <row r="28" spans="2:10" ht="18" customHeight="1" x14ac:dyDescent="0.2">
      <c r="B28" s="1193" t="s">
        <v>1316</v>
      </c>
      <c r="C28" s="552"/>
      <c r="D28" s="553"/>
      <c r="E28" s="1196"/>
      <c r="F28" s="568"/>
      <c r="G28" s="554"/>
      <c r="H28" s="226"/>
      <c r="I28" s="2"/>
      <c r="J28" s="2"/>
    </row>
    <row r="29" spans="2:10" ht="18" customHeight="1" x14ac:dyDescent="0.2">
      <c r="B29" s="1193" t="s">
        <v>1317</v>
      </c>
      <c r="C29" s="552"/>
      <c r="D29" s="553"/>
      <c r="E29" s="1196"/>
      <c r="F29" s="568"/>
      <c r="G29" s="554"/>
      <c r="H29" s="226"/>
      <c r="I29" s="2"/>
      <c r="J29" s="2"/>
    </row>
    <row r="30" spans="2:10" ht="18" customHeight="1" x14ac:dyDescent="0.2">
      <c r="B30" s="606" t="s">
        <v>1318</v>
      </c>
      <c r="C30" s="557"/>
      <c r="D30" s="558"/>
      <c r="E30" s="551"/>
      <c r="F30" s="559"/>
      <c r="G30" s="560"/>
      <c r="H30" s="226"/>
      <c r="I30" s="2"/>
      <c r="J30" s="2"/>
    </row>
    <row r="31" spans="2:10" ht="18" customHeight="1" x14ac:dyDescent="0.2">
      <c r="B31" s="1809" t="s">
        <v>1319</v>
      </c>
      <c r="C31" s="552"/>
      <c r="D31" s="553"/>
      <c r="E31" s="1196"/>
      <c r="F31" s="568"/>
      <c r="G31" s="554"/>
      <c r="H31" s="226"/>
      <c r="I31" s="2"/>
      <c r="J31" s="2"/>
    </row>
    <row r="32" spans="2:10" ht="18" customHeight="1" x14ac:dyDescent="0.2">
      <c r="B32" s="1197" t="s">
        <v>1320</v>
      </c>
      <c r="C32" s="557"/>
      <c r="D32" s="558"/>
      <c r="E32" s="551"/>
      <c r="F32" s="559"/>
      <c r="G32" s="560"/>
      <c r="H32" s="226"/>
      <c r="I32" s="2"/>
      <c r="J32" s="2"/>
    </row>
    <row r="33" spans="2:10" ht="18" customHeight="1" thickBot="1" x14ac:dyDescent="0.25">
      <c r="B33" s="1205"/>
      <c r="C33" s="569"/>
      <c r="D33" s="570"/>
      <c r="E33" s="1206"/>
      <c r="F33" s="571"/>
      <c r="G33" s="572"/>
      <c r="H33" s="226"/>
      <c r="I33" s="2"/>
      <c r="J33" s="2"/>
    </row>
    <row r="34" spans="2:10" ht="51" customHeight="1" x14ac:dyDescent="0.2">
      <c r="B34" s="1207" t="s">
        <v>1326</v>
      </c>
      <c r="C34" s="573"/>
      <c r="D34" s="1208"/>
      <c r="E34" s="1208"/>
      <c r="F34" s="574"/>
      <c r="G34" s="575"/>
      <c r="H34" s="226"/>
      <c r="I34" s="2"/>
      <c r="J34" s="2"/>
    </row>
    <row r="35" spans="2:10" ht="18" customHeight="1" thickBot="1" x14ac:dyDescent="0.25">
      <c r="B35" s="1209" t="s">
        <v>278</v>
      </c>
      <c r="C35" s="576"/>
      <c r="D35" s="577"/>
      <c r="E35" s="578"/>
      <c r="F35" s="579"/>
      <c r="G35" s="580"/>
      <c r="H35" s="226"/>
      <c r="I35" s="2"/>
      <c r="J35" s="2"/>
    </row>
    <row r="36" spans="2:10" ht="18" customHeight="1" x14ac:dyDescent="0.2">
      <c r="B36" s="606" t="s">
        <v>1327</v>
      </c>
      <c r="C36" s="581"/>
      <c r="D36" s="558"/>
      <c r="E36" s="551"/>
      <c r="F36" s="559"/>
      <c r="G36" s="560"/>
      <c r="H36" s="226"/>
      <c r="I36" s="2"/>
      <c r="J36" s="2"/>
    </row>
    <row r="37" spans="2:10" ht="18" customHeight="1" x14ac:dyDescent="0.2">
      <c r="B37" s="1362" t="s">
        <v>345</v>
      </c>
      <c r="C37" s="2289"/>
      <c r="D37" s="2290"/>
      <c r="E37" s="2290"/>
      <c r="F37" s="2290"/>
      <c r="G37" s="944"/>
      <c r="H37" s="226"/>
      <c r="I37" s="2"/>
      <c r="J37" s="2"/>
    </row>
    <row r="38" spans="2:10" ht="18" customHeight="1" x14ac:dyDescent="0.2">
      <c r="B38" s="1193" t="s">
        <v>1328</v>
      </c>
      <c r="C38" s="582"/>
      <c r="D38" s="555"/>
      <c r="E38" s="1196"/>
      <c r="F38" s="556"/>
      <c r="G38" s="605"/>
      <c r="H38" s="226"/>
      <c r="I38" s="2"/>
      <c r="J38" s="2"/>
    </row>
    <row r="39" spans="2:10" ht="18" customHeight="1" x14ac:dyDescent="0.2">
      <c r="B39" s="1193" t="s">
        <v>1329</v>
      </c>
      <c r="C39" s="582"/>
      <c r="D39" s="555"/>
      <c r="E39" s="1196"/>
      <c r="F39" s="556"/>
      <c r="G39" s="605"/>
      <c r="H39" s="226"/>
      <c r="I39" s="2"/>
      <c r="J39" s="2"/>
    </row>
    <row r="40" spans="2:10" ht="18" customHeight="1" x14ac:dyDescent="0.2">
      <c r="B40" s="1193" t="s">
        <v>1330</v>
      </c>
      <c r="C40" s="552"/>
      <c r="D40" s="553"/>
      <c r="E40" s="1196"/>
      <c r="F40" s="568"/>
      <c r="G40" s="554"/>
      <c r="H40" s="226"/>
      <c r="I40" s="2"/>
      <c r="J40" s="2"/>
    </row>
    <row r="41" spans="2:10" ht="18" customHeight="1" x14ac:dyDescent="0.2">
      <c r="B41" s="606" t="s">
        <v>1331</v>
      </c>
      <c r="C41" s="581"/>
      <c r="D41" s="558"/>
      <c r="E41" s="943"/>
      <c r="F41" s="559"/>
      <c r="G41" s="560"/>
      <c r="H41" s="226"/>
      <c r="I41" s="2"/>
      <c r="J41" s="2"/>
    </row>
    <row r="42" spans="2:10" ht="18" customHeight="1" x14ac:dyDescent="0.2">
      <c r="B42" s="1809" t="s">
        <v>1319</v>
      </c>
      <c r="C42" s="1490"/>
      <c r="D42" s="1491"/>
      <c r="E42" s="1194"/>
      <c r="F42" s="1492"/>
      <c r="G42" s="1493"/>
      <c r="H42" s="226"/>
      <c r="I42" s="2"/>
      <c r="J42" s="2"/>
    </row>
    <row r="43" spans="2:10" ht="18" customHeight="1" x14ac:dyDescent="0.2">
      <c r="B43" s="1197" t="s">
        <v>1332</v>
      </c>
      <c r="C43" s="583"/>
      <c r="D43" s="584"/>
      <c r="E43" s="551"/>
      <c r="F43" s="585"/>
      <c r="G43" s="586"/>
      <c r="H43" s="226"/>
      <c r="I43" s="2"/>
      <c r="J43" s="2"/>
    </row>
    <row r="44" spans="2:10" ht="18" customHeight="1" thickBot="1" x14ac:dyDescent="0.25">
      <c r="B44" s="1205"/>
      <c r="C44" s="587"/>
      <c r="D44" s="588"/>
      <c r="E44" s="1198"/>
      <c r="F44" s="589"/>
      <c r="G44" s="600"/>
      <c r="H44" s="226"/>
      <c r="I44" s="2"/>
      <c r="J44" s="2"/>
    </row>
    <row r="45" spans="2:10" ht="47.25" customHeight="1" x14ac:dyDescent="0.2">
      <c r="B45" s="1207" t="s">
        <v>1333</v>
      </c>
      <c r="C45" s="590"/>
      <c r="D45" s="591"/>
      <c r="E45" s="591"/>
      <c r="F45" s="592"/>
      <c r="G45" s="593"/>
      <c r="H45" s="226"/>
      <c r="I45" s="2"/>
      <c r="J45" s="2"/>
    </row>
    <row r="46" spans="2:10" ht="18" customHeight="1" thickBot="1" x14ac:dyDescent="0.25">
      <c r="B46" s="1209" t="s">
        <v>278</v>
      </c>
      <c r="C46" s="594"/>
      <c r="D46" s="577"/>
      <c r="E46" s="578"/>
      <c r="F46" s="579"/>
      <c r="G46" s="580"/>
      <c r="H46" s="226"/>
      <c r="I46" s="2"/>
      <c r="J46" s="2"/>
    </row>
    <row r="47" spans="2:10" ht="18" customHeight="1" x14ac:dyDescent="0.2">
      <c r="B47" s="606" t="s">
        <v>1334</v>
      </c>
      <c r="C47" s="595"/>
      <c r="D47" s="584"/>
      <c r="E47" s="551"/>
      <c r="F47" s="585"/>
      <c r="G47" s="586"/>
      <c r="H47" s="226"/>
      <c r="I47" s="2"/>
      <c r="J47" s="2"/>
    </row>
    <row r="48" spans="2:10" ht="18" customHeight="1" x14ac:dyDescent="0.2">
      <c r="B48" s="1362" t="s">
        <v>345</v>
      </c>
      <c r="C48" s="2289"/>
      <c r="D48" s="2290"/>
      <c r="E48" s="2290"/>
      <c r="F48" s="2290"/>
      <c r="G48" s="944"/>
      <c r="H48" s="226"/>
      <c r="I48" s="2"/>
      <c r="J48" s="2"/>
    </row>
    <row r="49" spans="2:10" ht="18" customHeight="1" x14ac:dyDescent="0.2">
      <c r="B49" s="1193" t="s">
        <v>1335</v>
      </c>
      <c r="C49" s="596"/>
      <c r="D49" s="597"/>
      <c r="E49" s="1196"/>
      <c r="F49" s="598"/>
      <c r="G49" s="599"/>
      <c r="H49" s="226"/>
      <c r="I49" s="2"/>
      <c r="J49" s="2"/>
    </row>
    <row r="50" spans="2:10" ht="18" customHeight="1" x14ac:dyDescent="0.2">
      <c r="B50" s="1193" t="s">
        <v>1336</v>
      </c>
      <c r="C50" s="582"/>
      <c r="D50" s="555"/>
      <c r="E50" s="1206"/>
      <c r="F50" s="556"/>
      <c r="G50" s="605"/>
      <c r="H50" s="226"/>
      <c r="I50" s="2"/>
      <c r="J50" s="2"/>
    </row>
    <row r="51" spans="2:10" ht="18" customHeight="1" x14ac:dyDescent="0.2">
      <c r="B51" s="1193" t="s">
        <v>1337</v>
      </c>
      <c r="C51" s="552"/>
      <c r="D51" s="553"/>
      <c r="E51" s="1194"/>
      <c r="F51" s="568"/>
      <c r="G51" s="554"/>
      <c r="H51" s="226"/>
      <c r="I51" s="2"/>
      <c r="J51" s="2"/>
    </row>
    <row r="52" spans="2:10" ht="18" customHeight="1" x14ac:dyDescent="0.2">
      <c r="B52" s="606" t="s">
        <v>1338</v>
      </c>
      <c r="C52" s="581"/>
      <c r="D52" s="558"/>
      <c r="E52" s="943"/>
      <c r="F52" s="559"/>
      <c r="G52" s="560"/>
      <c r="H52" s="226"/>
      <c r="I52" s="2"/>
      <c r="J52" s="2"/>
    </row>
    <row r="53" spans="2:10" ht="18" customHeight="1" x14ac:dyDescent="0.2">
      <c r="B53" s="1809" t="s">
        <v>1880</v>
      </c>
      <c r="C53" s="1490"/>
      <c r="D53" s="1491"/>
      <c r="E53" s="1194"/>
      <c r="F53" s="1492"/>
      <c r="G53" s="1493"/>
      <c r="H53" s="226"/>
      <c r="I53" s="2"/>
      <c r="J53" s="2"/>
    </row>
    <row r="54" spans="2:10" ht="18" customHeight="1" x14ac:dyDescent="0.2">
      <c r="B54" s="1197" t="s">
        <v>1339</v>
      </c>
      <c r="C54" s="595"/>
      <c r="D54" s="584"/>
      <c r="E54" s="551"/>
      <c r="F54" s="585"/>
      <c r="G54" s="586"/>
      <c r="H54" s="226"/>
      <c r="I54" s="2"/>
      <c r="J54" s="2"/>
    </row>
    <row r="55" spans="2:10" ht="18" customHeight="1" thickBot="1" x14ac:dyDescent="0.25">
      <c r="B55" s="561"/>
      <c r="C55" s="587"/>
      <c r="D55" s="588"/>
      <c r="E55" s="1198"/>
      <c r="F55" s="589"/>
      <c r="G55" s="600"/>
      <c r="H55" s="226"/>
      <c r="I55" s="2"/>
      <c r="J55" s="2"/>
    </row>
    <row r="56" spans="2:10" x14ac:dyDescent="0.2">
      <c r="C56" s="159"/>
      <c r="D56" s="159"/>
      <c r="E56" s="159"/>
      <c r="F56" s="159"/>
      <c r="G56" s="159"/>
      <c r="H56" s="159"/>
      <c r="I56" s="2"/>
      <c r="J56" s="2"/>
    </row>
    <row r="57" spans="2:10" ht="24" thickBot="1" x14ac:dyDescent="0.4">
      <c r="B57" s="549" t="s">
        <v>1340</v>
      </c>
      <c r="C57" s="1175"/>
      <c r="D57" s="159"/>
      <c r="E57" s="159"/>
      <c r="F57" s="159"/>
      <c r="G57" s="159"/>
      <c r="H57" s="159"/>
      <c r="I57" s="2"/>
      <c r="J57" s="2"/>
    </row>
    <row r="58" spans="2:10" x14ac:dyDescent="0.2">
      <c r="B58" s="1590"/>
      <c r="C58" s="1176" t="s">
        <v>1341</v>
      </c>
      <c r="D58" s="1177"/>
      <c r="E58" s="1177"/>
      <c r="F58" s="1200"/>
      <c r="G58" s="159"/>
      <c r="H58" s="159"/>
      <c r="I58" s="2"/>
      <c r="J58" s="2"/>
    </row>
    <row r="59" spans="2:10" ht="42.75" customHeight="1" x14ac:dyDescent="0.2">
      <c r="B59" s="1591" t="s">
        <v>1342</v>
      </c>
      <c r="C59" s="550" t="s">
        <v>1343</v>
      </c>
      <c r="D59" s="537" t="s">
        <v>1344</v>
      </c>
      <c r="E59" s="537" t="s">
        <v>1345</v>
      </c>
      <c r="F59" s="538" t="s">
        <v>1346</v>
      </c>
      <c r="G59" s="1211"/>
      <c r="H59" s="1211"/>
      <c r="I59" s="2"/>
      <c r="J59" s="2"/>
    </row>
    <row r="60" spans="2:10" ht="13.5" thickBot="1" x14ac:dyDescent="0.25">
      <c r="B60" s="1592"/>
      <c r="C60" s="1179" t="s">
        <v>234</v>
      </c>
      <c r="D60" s="1180"/>
      <c r="E60" s="1181" t="s">
        <v>1324</v>
      </c>
      <c r="F60" s="1182" t="s">
        <v>234</v>
      </c>
      <c r="G60" s="1212"/>
      <c r="H60" s="1212"/>
      <c r="I60" s="2"/>
      <c r="J60" s="2"/>
    </row>
    <row r="61" spans="2:10" ht="18" customHeight="1" thickBot="1" x14ac:dyDescent="0.25">
      <c r="B61" s="1184" t="s">
        <v>1347</v>
      </c>
      <c r="C61" s="1213"/>
      <c r="D61" s="1185"/>
      <c r="E61" s="1186"/>
      <c r="F61" s="1187"/>
      <c r="G61" s="1212"/>
      <c r="H61" s="1212"/>
      <c r="I61" s="2"/>
      <c r="J61" s="2"/>
    </row>
    <row r="62" spans="2:10" ht="18" customHeight="1" x14ac:dyDescent="0.2">
      <c r="B62" s="1229" t="s">
        <v>1314</v>
      </c>
      <c r="C62" s="1214"/>
      <c r="D62" s="1190"/>
      <c r="E62" s="551"/>
      <c r="F62" s="1191"/>
      <c r="G62" s="1215"/>
      <c r="H62" s="1215"/>
      <c r="I62" s="2"/>
      <c r="J62" s="2"/>
    </row>
    <row r="63" spans="2:10" ht="18" customHeight="1" x14ac:dyDescent="0.2">
      <c r="B63" s="1363" t="s">
        <v>345</v>
      </c>
      <c r="C63" s="2289"/>
      <c r="D63" s="2290"/>
      <c r="E63" s="2290"/>
      <c r="F63" s="944"/>
      <c r="G63" s="1215"/>
      <c r="H63" s="1215"/>
      <c r="I63" s="2"/>
      <c r="J63" s="2"/>
    </row>
    <row r="64" spans="2:10" ht="18" customHeight="1" x14ac:dyDescent="0.2">
      <c r="B64" s="1193" t="s">
        <v>1315</v>
      </c>
      <c r="C64" s="1216"/>
      <c r="D64" s="553"/>
      <c r="E64" s="1194"/>
      <c r="F64" s="1195"/>
      <c r="G64" s="1215"/>
      <c r="H64" s="1215"/>
      <c r="I64" s="2"/>
      <c r="J64" s="2"/>
    </row>
    <row r="65" spans="2:10" ht="18" customHeight="1" x14ac:dyDescent="0.2">
      <c r="B65" s="1193" t="s">
        <v>1316</v>
      </c>
      <c r="C65" s="582"/>
      <c r="D65" s="555"/>
      <c r="E65" s="1196"/>
      <c r="F65" s="556"/>
      <c r="G65" s="1215"/>
      <c r="H65" s="1215"/>
      <c r="I65" s="2"/>
      <c r="J65" s="2"/>
    </row>
    <row r="66" spans="2:10" ht="18" customHeight="1" x14ac:dyDescent="0.2">
      <c r="B66" s="1193" t="s">
        <v>1317</v>
      </c>
      <c r="C66" s="582"/>
      <c r="D66" s="555"/>
      <c r="E66" s="1206"/>
      <c r="F66" s="556"/>
      <c r="G66" s="1215"/>
      <c r="H66" s="1215"/>
      <c r="I66" s="2"/>
      <c r="J66" s="2"/>
    </row>
    <row r="67" spans="2:10" ht="18" customHeight="1" x14ac:dyDescent="0.2">
      <c r="B67" s="1229" t="s">
        <v>1318</v>
      </c>
      <c r="C67" s="581"/>
      <c r="D67" s="558"/>
      <c r="E67" s="943"/>
      <c r="F67" s="559"/>
      <c r="G67" s="1215"/>
      <c r="H67" s="1215"/>
      <c r="I67" s="2"/>
      <c r="J67" s="2"/>
    </row>
    <row r="68" spans="2:10" ht="18" customHeight="1" x14ac:dyDescent="0.2">
      <c r="B68" s="1809" t="s">
        <v>1319</v>
      </c>
      <c r="C68" s="1494"/>
      <c r="D68" s="597"/>
      <c r="E68" s="1196"/>
      <c r="F68" s="598"/>
      <c r="G68" s="1215"/>
      <c r="H68" s="1215"/>
      <c r="I68" s="2"/>
      <c r="J68" s="2"/>
    </row>
    <row r="69" spans="2:10" ht="18" customHeight="1" thickBot="1" x14ac:dyDescent="0.25">
      <c r="B69" s="1217" t="s">
        <v>1320</v>
      </c>
      <c r="C69" s="576"/>
      <c r="D69" s="577"/>
      <c r="E69" s="1218"/>
      <c r="F69" s="579"/>
      <c r="G69" s="1215"/>
      <c r="H69" s="1215"/>
      <c r="I69" s="2"/>
      <c r="J69" s="2"/>
    </row>
    <row r="70" spans="2:10" ht="14.25" thickBot="1" x14ac:dyDescent="0.25">
      <c r="B70" s="1219"/>
      <c r="C70" s="1220"/>
      <c r="D70" s="601"/>
      <c r="E70" s="1221"/>
      <c r="F70" s="601"/>
      <c r="G70" s="1215"/>
      <c r="H70" s="1215"/>
      <c r="I70" s="2"/>
      <c r="J70" s="2"/>
    </row>
    <row r="71" spans="2:10" ht="12.75" customHeight="1" x14ac:dyDescent="0.2">
      <c r="B71" s="1590"/>
      <c r="C71" s="1201" t="s">
        <v>1348</v>
      </c>
      <c r="D71" s="1202"/>
      <c r="E71" s="1210"/>
      <c r="F71" s="1593"/>
      <c r="G71" s="159"/>
      <c r="H71" s="159"/>
      <c r="I71" s="2"/>
      <c r="J71" s="2"/>
    </row>
    <row r="72" spans="2:10" ht="72" x14ac:dyDescent="0.2">
      <c r="B72" s="1591" t="s">
        <v>65</v>
      </c>
      <c r="C72" s="539" t="s">
        <v>1349</v>
      </c>
      <c r="D72" s="602" t="s">
        <v>1350</v>
      </c>
      <c r="E72" s="550" t="s">
        <v>1351</v>
      </c>
      <c r="F72" s="1615" t="s">
        <v>1352</v>
      </c>
      <c r="G72" s="159"/>
      <c r="H72" s="159"/>
      <c r="I72" s="2"/>
      <c r="J72" s="2"/>
    </row>
    <row r="73" spans="2:10" ht="14.25" thickBot="1" x14ac:dyDescent="0.25">
      <c r="B73" s="1591"/>
      <c r="C73" s="1222" t="s">
        <v>234</v>
      </c>
      <c r="D73" s="1181" t="s">
        <v>234</v>
      </c>
      <c r="E73" s="1182" t="s">
        <v>234</v>
      </c>
      <c r="F73" s="1223" t="s">
        <v>1038</v>
      </c>
      <c r="G73" s="159"/>
      <c r="H73" s="159"/>
      <c r="I73" s="2"/>
      <c r="J73" s="2"/>
    </row>
    <row r="74" spans="2:10" ht="18" customHeight="1" thickBot="1" x14ac:dyDescent="0.25">
      <c r="B74" s="1592"/>
      <c r="C74" s="1224"/>
      <c r="D74" s="1224"/>
      <c r="E74" s="1225"/>
      <c r="F74" s="1188"/>
      <c r="G74" s="159"/>
      <c r="H74" s="159"/>
      <c r="I74" s="2"/>
      <c r="J74" s="2"/>
    </row>
    <row r="75" spans="2:10" x14ac:dyDescent="0.2">
      <c r="B75" s="1199"/>
      <c r="C75" s="159"/>
      <c r="D75" s="159"/>
      <c r="E75" s="159"/>
      <c r="F75" s="159"/>
      <c r="G75" s="159"/>
      <c r="H75" s="159"/>
      <c r="I75" s="2"/>
      <c r="J75" s="2"/>
    </row>
    <row r="76" spans="2:10" x14ac:dyDescent="0.2">
      <c r="I76" s="2"/>
      <c r="J76" s="2"/>
    </row>
    <row r="77" spans="2:10" ht="13.5" x14ac:dyDescent="0.2">
      <c r="B77" s="603"/>
      <c r="I77" s="2"/>
      <c r="J77" s="2"/>
    </row>
    <row r="78" spans="2:10" s="159" customFormat="1" ht="13.5" x14ac:dyDescent="0.2">
      <c r="B78" s="603"/>
      <c r="C78"/>
      <c r="D78"/>
      <c r="E78"/>
      <c r="F78"/>
      <c r="G78"/>
      <c r="H78"/>
      <c r="I78" s="1226"/>
      <c r="J78" s="1226"/>
    </row>
    <row r="79" spans="2:10" s="159" customFormat="1" ht="13.5" x14ac:dyDescent="0.2">
      <c r="B79" s="603"/>
      <c r="C79"/>
      <c r="D79"/>
      <c r="E79"/>
      <c r="F79"/>
      <c r="G79"/>
      <c r="H79"/>
      <c r="I79" s="1227"/>
      <c r="J79" s="1227"/>
    </row>
    <row r="80" spans="2:10" s="159" customFormat="1" ht="13.5" x14ac:dyDescent="0.2">
      <c r="B80" s="603"/>
      <c r="C80"/>
      <c r="D80"/>
      <c r="E80"/>
      <c r="F80"/>
      <c r="G80"/>
      <c r="H80"/>
      <c r="I80" s="1226"/>
      <c r="J80" s="1226"/>
    </row>
    <row r="81" spans="2:10" s="159" customFormat="1" ht="13.5" x14ac:dyDescent="0.2">
      <c r="B81" s="603"/>
      <c r="C81"/>
      <c r="D81"/>
      <c r="E81"/>
      <c r="F81"/>
      <c r="G81"/>
      <c r="H81"/>
      <c r="I81" s="1226"/>
      <c r="J81" s="1226"/>
    </row>
    <row r="82" spans="2:10" s="159" customFormat="1" x14ac:dyDescent="0.2">
      <c r="B82" s="945"/>
      <c r="C82"/>
      <c r="D82"/>
      <c r="E82"/>
      <c r="F82"/>
      <c r="G82"/>
      <c r="H82"/>
      <c r="I82" s="1226"/>
      <c r="J82" s="1226"/>
    </row>
    <row r="83" spans="2:10" s="159" customFormat="1" x14ac:dyDescent="0.2">
      <c r="B83" s="945"/>
      <c r="C83"/>
      <c r="D83"/>
      <c r="E83"/>
      <c r="F83"/>
      <c r="G83"/>
      <c r="H83"/>
      <c r="I83" s="1226"/>
      <c r="J83" s="1226"/>
    </row>
    <row r="84" spans="2:10" s="159" customFormat="1" x14ac:dyDescent="0.2">
      <c r="B84" s="945"/>
      <c r="C84"/>
      <c r="D84"/>
      <c r="E84"/>
      <c r="F84"/>
      <c r="G84"/>
      <c r="H84"/>
      <c r="I84" s="1226"/>
      <c r="J84" s="1226"/>
    </row>
    <row r="85" spans="2:10" s="159" customFormat="1" ht="13.5" x14ac:dyDescent="0.2">
      <c r="B85" s="603"/>
      <c r="C85"/>
      <c r="D85"/>
      <c r="E85"/>
      <c r="F85"/>
      <c r="G85"/>
      <c r="H85"/>
      <c r="I85" s="1226"/>
      <c r="J85" s="1226"/>
    </row>
    <row r="86" spans="2:10" s="159" customFormat="1" ht="13.5" x14ac:dyDescent="0.2">
      <c r="B86" s="603"/>
      <c r="C86"/>
      <c r="D86"/>
      <c r="E86"/>
      <c r="F86"/>
      <c r="G86"/>
      <c r="H86"/>
      <c r="I86" s="1226"/>
      <c r="J86" s="1226"/>
    </row>
    <row r="87" spans="2:10" s="159" customFormat="1" ht="13.5" x14ac:dyDescent="0.2">
      <c r="B87" s="603"/>
      <c r="C87"/>
      <c r="D87"/>
      <c r="E87"/>
      <c r="F87"/>
      <c r="G87"/>
      <c r="H87"/>
      <c r="I87" s="1226"/>
      <c r="J87" s="1226"/>
    </row>
    <row r="88" spans="2:10" s="159" customFormat="1" ht="13.5" x14ac:dyDescent="0.2">
      <c r="B88" s="603"/>
      <c r="C88"/>
      <c r="D88"/>
      <c r="E88"/>
      <c r="F88"/>
      <c r="G88"/>
      <c r="H88"/>
      <c r="I88" s="1226"/>
      <c r="J88" s="1226"/>
    </row>
    <row r="89" spans="2:10" s="159" customFormat="1" ht="13.5" x14ac:dyDescent="0.2">
      <c r="B89" s="603"/>
      <c r="C89"/>
      <c r="D89"/>
      <c r="E89"/>
      <c r="F89"/>
      <c r="G89"/>
      <c r="H89"/>
      <c r="I89" s="1226"/>
      <c r="J89" s="1226"/>
    </row>
    <row r="90" spans="2:10" s="159" customFormat="1" ht="13.5" x14ac:dyDescent="0.2">
      <c r="B90" s="603"/>
      <c r="C90"/>
      <c r="D90"/>
      <c r="E90"/>
      <c r="F90"/>
      <c r="G90"/>
      <c r="H90"/>
      <c r="I90" s="1226"/>
      <c r="J90" s="1226"/>
    </row>
    <row r="91" spans="2:10" s="159" customFormat="1" ht="13.5" x14ac:dyDescent="0.2">
      <c r="B91" s="603"/>
      <c r="C91"/>
      <c r="D91"/>
      <c r="E91"/>
      <c r="F91"/>
      <c r="G91"/>
      <c r="H91"/>
      <c r="I91" s="1226"/>
      <c r="J91" s="1226"/>
    </row>
    <row r="92" spans="2:10" s="159" customFormat="1" ht="13.5" x14ac:dyDescent="0.2">
      <c r="B92" s="603"/>
      <c r="C92"/>
      <c r="D92"/>
      <c r="E92"/>
      <c r="F92"/>
      <c r="G92"/>
      <c r="H92"/>
      <c r="I92" s="1226"/>
      <c r="J92" s="1226"/>
    </row>
    <row r="93" spans="2:10" s="159" customFormat="1" x14ac:dyDescent="0.2">
      <c r="B93" s="945"/>
      <c r="C93"/>
      <c r="D93"/>
      <c r="E93"/>
      <c r="F93"/>
      <c r="G93"/>
      <c r="H93"/>
      <c r="I93" s="1226"/>
      <c r="J93" s="1226"/>
    </row>
    <row r="94" spans="2:10" s="159" customFormat="1" ht="13.5" thickBot="1" x14ac:dyDescent="0.25">
      <c r="B94" s="945"/>
      <c r="C94"/>
      <c r="D94"/>
      <c r="E94"/>
      <c r="F94"/>
      <c r="G94"/>
      <c r="H94"/>
      <c r="I94" s="1226"/>
      <c r="J94" s="1226"/>
    </row>
    <row r="95" spans="2:10" x14ac:dyDescent="0.2">
      <c r="B95" s="849" t="s">
        <v>390</v>
      </c>
      <c r="C95" s="2482"/>
      <c r="D95" s="2482"/>
      <c r="E95" s="2482"/>
      <c r="F95" s="2482"/>
      <c r="G95" s="2483"/>
      <c r="H95" s="2"/>
      <c r="I95" s="2"/>
    </row>
    <row r="96" spans="2:10" x14ac:dyDescent="0.2">
      <c r="B96" s="1329"/>
      <c r="C96" s="2480"/>
      <c r="D96" s="2480"/>
      <c r="E96" s="2480"/>
      <c r="F96" s="2480"/>
      <c r="G96" s="2481"/>
      <c r="H96" s="2"/>
      <c r="I96" s="2"/>
    </row>
    <row r="97" spans="2:10" x14ac:dyDescent="0.2">
      <c r="B97" s="1329"/>
      <c r="C97" s="2480"/>
      <c r="D97" s="2480"/>
      <c r="E97" s="2480"/>
      <c r="F97" s="2480"/>
      <c r="G97" s="2481"/>
      <c r="H97" s="2"/>
      <c r="I97" s="2"/>
    </row>
    <row r="98" spans="2:10" x14ac:dyDescent="0.2">
      <c r="B98" s="2484"/>
      <c r="C98" s="2485"/>
      <c r="D98" s="2485"/>
      <c r="E98" s="2485"/>
      <c r="F98" s="2485"/>
      <c r="G98" s="2486"/>
      <c r="H98" s="2"/>
      <c r="I98" s="2"/>
    </row>
    <row r="99" spans="2:10" x14ac:dyDescent="0.2">
      <c r="B99" s="4508" t="s">
        <v>2255</v>
      </c>
      <c r="C99" s="4509"/>
      <c r="D99" s="4509"/>
      <c r="E99" s="4509"/>
      <c r="F99" s="4509"/>
      <c r="G99" s="4510"/>
      <c r="H99" s="2"/>
      <c r="I99" s="2"/>
    </row>
    <row r="100" spans="2:10" ht="26.25" customHeight="1" thickBot="1" x14ac:dyDescent="0.25">
      <c r="B100" s="4511"/>
      <c r="C100" s="4512"/>
      <c r="D100" s="4512"/>
      <c r="E100" s="4512"/>
      <c r="F100" s="4512"/>
      <c r="G100" s="4513"/>
      <c r="H100" s="2"/>
      <c r="I100" s="2"/>
    </row>
    <row r="101" spans="2:10" x14ac:dyDescent="0.2">
      <c r="C101" s="1228"/>
      <c r="D101" s="1228"/>
      <c r="E101" s="1228"/>
      <c r="F101" s="1228"/>
      <c r="G101" s="1228"/>
      <c r="H101" s="1228"/>
      <c r="I101" s="2"/>
      <c r="J101" s="2"/>
    </row>
    <row r="102" spans="2:10" x14ac:dyDescent="0.2">
      <c r="C102" s="1228"/>
      <c r="D102" s="1228"/>
      <c r="E102" s="1228"/>
      <c r="F102" s="1228"/>
      <c r="G102" s="1228"/>
      <c r="H102" s="1228"/>
      <c r="I102" s="2"/>
      <c r="J102" s="2"/>
    </row>
    <row r="103" spans="2:10" x14ac:dyDescent="0.2">
      <c r="C103" s="1228"/>
      <c r="D103" s="1228"/>
      <c r="E103" s="1228"/>
      <c r="F103" s="1228"/>
      <c r="G103" s="1228"/>
      <c r="H103" s="1228"/>
      <c r="I103" s="1228"/>
      <c r="J103" s="1228"/>
    </row>
    <row r="104" spans="2:10" x14ac:dyDescent="0.2">
      <c r="C104" s="1228"/>
      <c r="D104" s="1228"/>
      <c r="E104" s="1228"/>
      <c r="F104" s="1228"/>
      <c r="G104" s="1228"/>
      <c r="H104" s="1228"/>
      <c r="I104" s="1228"/>
      <c r="J104" s="1228"/>
    </row>
    <row r="105" spans="2:10" x14ac:dyDescent="0.2">
      <c r="C105" s="1228"/>
      <c r="D105" s="1228"/>
      <c r="E105" s="1228"/>
      <c r="F105" s="1228"/>
      <c r="G105" s="1228"/>
      <c r="H105" s="1228"/>
      <c r="I105" s="1228"/>
      <c r="J105" s="1228"/>
    </row>
    <row r="106" spans="2:10" x14ac:dyDescent="0.2">
      <c r="C106" s="1228"/>
      <c r="D106" s="1228"/>
      <c r="E106" s="1228"/>
      <c r="F106" s="1228"/>
      <c r="G106" s="1228"/>
      <c r="H106" s="1228"/>
      <c r="I106" s="1228"/>
      <c r="J106" s="1228"/>
    </row>
    <row r="107" spans="2:10" x14ac:dyDescent="0.2">
      <c r="C107" s="1228"/>
      <c r="D107" s="1228"/>
      <c r="E107" s="1228"/>
      <c r="F107" s="1228"/>
      <c r="G107" s="1228"/>
      <c r="H107" s="1228"/>
      <c r="I107" s="1228"/>
      <c r="J107" s="1228"/>
    </row>
    <row r="108" spans="2:10" x14ac:dyDescent="0.2">
      <c r="C108" s="1228"/>
      <c r="D108" s="1228"/>
      <c r="E108" s="1228"/>
      <c r="F108" s="1228"/>
      <c r="G108" s="1228"/>
      <c r="H108" s="1228"/>
      <c r="I108" s="1228"/>
      <c r="J108" s="1228"/>
    </row>
    <row r="109" spans="2:10" x14ac:dyDescent="0.2">
      <c r="C109" s="1228"/>
      <c r="D109" s="1228"/>
      <c r="E109" s="1228"/>
      <c r="F109" s="1228"/>
      <c r="G109" s="1228"/>
      <c r="H109" s="1228"/>
      <c r="I109" s="1228"/>
      <c r="J109" s="1228"/>
    </row>
    <row r="110" spans="2:10" x14ac:dyDescent="0.2">
      <c r="C110" s="1228"/>
      <c r="D110" s="1228"/>
      <c r="E110" s="1228"/>
      <c r="F110" s="1228"/>
      <c r="G110" s="1228"/>
      <c r="H110" s="1228"/>
      <c r="I110" s="1228"/>
      <c r="J110" s="1228"/>
    </row>
    <row r="111" spans="2:10" x14ac:dyDescent="0.2">
      <c r="C111" s="1228"/>
      <c r="D111" s="1228"/>
      <c r="E111" s="1228"/>
      <c r="F111" s="1228"/>
      <c r="G111" s="1228"/>
      <c r="H111" s="1228"/>
      <c r="I111" s="1228"/>
      <c r="J111" s="1228"/>
    </row>
    <row r="112" spans="2:10" x14ac:dyDescent="0.2">
      <c r="C112" s="1228"/>
      <c r="D112" s="1228"/>
      <c r="E112" s="1228"/>
      <c r="F112" s="1228"/>
      <c r="G112" s="1228"/>
      <c r="H112" s="1228"/>
      <c r="I112" s="1228"/>
      <c r="J112" s="1228"/>
    </row>
  </sheetData>
  <mergeCells count="1">
    <mergeCell ref="B99:G100"/>
  </mergeCells>
  <dataValidations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11.42578125" defaultRowHeight="12.75" x14ac:dyDescent="0.2"/>
  <cols>
    <col min="1" max="1" width="1.85546875" customWidth="1"/>
    <col min="2" max="2" width="8.5703125" customWidth="1"/>
    <col min="3" max="3" width="12.5703125" customWidth="1"/>
    <col min="4" max="5" width="11.42578125" customWidth="1"/>
    <col min="6" max="6" width="12.5703125" customWidth="1"/>
    <col min="7" max="8" width="11.42578125" customWidth="1"/>
    <col min="9" max="9" width="12.5703125" customWidth="1"/>
    <col min="10" max="11" width="11.42578125" customWidth="1"/>
    <col min="12" max="12" width="12.5703125" customWidth="1"/>
    <col min="13" max="14" width="11.42578125" customWidth="1"/>
    <col min="15" max="15" width="5.85546875" customWidth="1"/>
    <col min="16" max="16" width="27.85546875" bestFit="1" customWidth="1"/>
    <col min="19" max="19" width="7.85546875" customWidth="1"/>
  </cols>
  <sheetData>
    <row r="1" spans="2:25" ht="15.75" x14ac:dyDescent="0.25">
      <c r="B1" s="13" t="s">
        <v>1353</v>
      </c>
      <c r="N1" s="14" t="s">
        <v>2521</v>
      </c>
      <c r="Q1" s="84"/>
    </row>
    <row r="2" spans="2:25" ht="18.75" x14ac:dyDescent="0.25">
      <c r="B2" s="13" t="s">
        <v>1301</v>
      </c>
      <c r="N2" s="14" t="s">
        <v>2522</v>
      </c>
      <c r="Q2" s="84"/>
    </row>
    <row r="3" spans="2:25" ht="15.75" x14ac:dyDescent="0.25">
      <c r="B3" s="13" t="s">
        <v>650</v>
      </c>
      <c r="N3" s="14" t="s">
        <v>2144</v>
      </c>
      <c r="Q3" s="84"/>
    </row>
    <row r="4" spans="2:25" ht="15.75" hidden="1" x14ac:dyDescent="0.25">
      <c r="B4" s="13"/>
      <c r="N4" s="84"/>
      <c r="Q4" s="84"/>
    </row>
    <row r="5" spans="2:25" x14ac:dyDescent="0.2">
      <c r="B5" s="2446" t="s">
        <v>64</v>
      </c>
      <c r="R5" s="159"/>
      <c r="S5" s="159"/>
      <c r="T5" s="159"/>
      <c r="U5" s="159"/>
      <c r="V5" s="159"/>
      <c r="W5" s="159"/>
      <c r="X5" s="159"/>
      <c r="Y5" s="159"/>
    </row>
    <row r="6" spans="2:25" ht="19.5" thickBot="1" x14ac:dyDescent="0.3">
      <c r="B6" s="13" t="s">
        <v>1354</v>
      </c>
      <c r="R6" s="159"/>
      <c r="S6" s="159"/>
      <c r="T6" s="159"/>
      <c r="U6" s="159"/>
      <c r="V6" s="159"/>
      <c r="W6" s="159"/>
      <c r="X6" s="159"/>
      <c r="Y6" s="159"/>
    </row>
    <row r="7" spans="2:25" ht="18" customHeight="1" x14ac:dyDescent="0.2">
      <c r="B7" s="1594"/>
      <c r="C7" s="1610" t="s">
        <v>1355</v>
      </c>
      <c r="D7" s="1611"/>
      <c r="E7" s="1612"/>
      <c r="F7" s="1610" t="s">
        <v>1356</v>
      </c>
      <c r="G7" s="1611"/>
      <c r="H7" s="1612"/>
      <c r="I7" s="1610" t="s">
        <v>1357</v>
      </c>
      <c r="J7" s="1611"/>
      <c r="K7" s="1612"/>
      <c r="L7" s="1610" t="s">
        <v>1358</v>
      </c>
      <c r="M7" s="1611"/>
      <c r="N7" s="1612"/>
      <c r="R7" s="159"/>
      <c r="S7" s="159"/>
      <c r="T7" s="159"/>
      <c r="U7" s="159"/>
      <c r="V7" s="159"/>
      <c r="W7" s="159"/>
      <c r="X7" s="159"/>
      <c r="Y7" s="159"/>
    </row>
    <row r="8" spans="2:25" ht="18" customHeight="1" x14ac:dyDescent="0.2">
      <c r="B8" s="1595"/>
      <c r="C8" s="562" t="s">
        <v>220</v>
      </c>
      <c r="D8" s="550" t="s">
        <v>221</v>
      </c>
      <c r="E8" s="538" t="s">
        <v>222</v>
      </c>
      <c r="F8" s="562" t="s">
        <v>220</v>
      </c>
      <c r="G8" s="550" t="s">
        <v>221</v>
      </c>
      <c r="H8" s="538" t="s">
        <v>222</v>
      </c>
      <c r="I8" s="562" t="s">
        <v>220</v>
      </c>
      <c r="J8" s="550" t="s">
        <v>221</v>
      </c>
      <c r="K8" s="538" t="s">
        <v>222</v>
      </c>
      <c r="L8" s="562" t="s">
        <v>220</v>
      </c>
      <c r="M8" s="550" t="s">
        <v>221</v>
      </c>
      <c r="N8" s="538" t="s">
        <v>222</v>
      </c>
      <c r="R8" s="159"/>
      <c r="S8" s="159"/>
      <c r="T8" s="159"/>
      <c r="U8" s="159"/>
      <c r="V8" s="159"/>
      <c r="W8" s="159"/>
      <c r="X8" s="159"/>
      <c r="Y8" s="159"/>
    </row>
    <row r="9" spans="2:25" ht="18" customHeight="1" thickBot="1" x14ac:dyDescent="0.25">
      <c r="B9" s="1596" t="s">
        <v>1360</v>
      </c>
      <c r="C9" s="1495" t="s">
        <v>1361</v>
      </c>
      <c r="D9" s="1496"/>
      <c r="E9" s="1497"/>
      <c r="F9" s="1495" t="s">
        <v>1361</v>
      </c>
      <c r="G9" s="1496"/>
      <c r="H9" s="1497"/>
      <c r="I9" s="1495" t="s">
        <v>1362</v>
      </c>
      <c r="J9" s="1496"/>
      <c r="K9" s="1497"/>
      <c r="L9" s="1495" t="s">
        <v>1363</v>
      </c>
      <c r="M9" s="1496"/>
      <c r="N9" s="1497"/>
      <c r="R9" s="159"/>
      <c r="S9" s="159"/>
      <c r="T9" s="159"/>
      <c r="U9" s="159"/>
      <c r="V9" s="159"/>
      <c r="W9" s="159"/>
      <c r="X9" s="159"/>
      <c r="Y9" s="159"/>
    </row>
    <row r="10" spans="2:25" ht="18" customHeight="1" x14ac:dyDescent="0.2">
      <c r="B10" s="1498">
        <v>1960</v>
      </c>
      <c r="C10" s="3688">
        <v>2629928.4142959276</v>
      </c>
      <c r="D10" s="3689">
        <v>1017121.9199999998</v>
      </c>
      <c r="E10" s="3690">
        <v>117374.30337937016</v>
      </c>
      <c r="F10" s="3688">
        <v>747786.31622406119</v>
      </c>
      <c r="G10" s="3689">
        <v>47441.659999999996</v>
      </c>
      <c r="H10" s="3691">
        <v>1473.16</v>
      </c>
      <c r="I10" s="3692">
        <v>513000</v>
      </c>
      <c r="J10" s="3689">
        <v>333799.99999999994</v>
      </c>
      <c r="K10" s="3691">
        <v>11900.000000000002</v>
      </c>
      <c r="L10" s="2857" t="s">
        <v>2147</v>
      </c>
      <c r="M10" s="2858" t="s">
        <v>2147</v>
      </c>
      <c r="N10" s="2859" t="s">
        <v>2147</v>
      </c>
      <c r="P10" s="2015" t="s">
        <v>417</v>
      </c>
      <c r="Q10" s="159"/>
      <c r="R10" s="159"/>
      <c r="S10" s="159"/>
      <c r="T10" s="159"/>
      <c r="U10" s="159"/>
      <c r="V10" s="159"/>
      <c r="W10" s="159"/>
      <c r="X10" s="159"/>
      <c r="Y10" s="159"/>
    </row>
    <row r="11" spans="2:25" ht="18" customHeight="1" thickBot="1" x14ac:dyDescent="0.25">
      <c r="B11" s="1499">
        <v>1961</v>
      </c>
      <c r="C11" s="3693">
        <v>2743420.6517729792</v>
      </c>
      <c r="D11" s="3694">
        <v>1005757.1499999999</v>
      </c>
      <c r="E11" s="3695">
        <v>100970.37576612341</v>
      </c>
      <c r="F11" s="3693">
        <v>760499.09962292807</v>
      </c>
      <c r="G11" s="3694">
        <v>45144.849999999991</v>
      </c>
      <c r="H11" s="3696">
        <v>1847.1400000000003</v>
      </c>
      <c r="I11" s="3697">
        <v>525300</v>
      </c>
      <c r="J11" s="3694">
        <v>435700</v>
      </c>
      <c r="K11" s="3696">
        <v>6830.0000000000009</v>
      </c>
      <c r="L11" s="2860" t="s">
        <v>2147</v>
      </c>
      <c r="M11" s="2861" t="s">
        <v>2147</v>
      </c>
      <c r="N11" s="2862" t="s">
        <v>2147</v>
      </c>
      <c r="P11" s="2566" t="s">
        <v>2083</v>
      </c>
      <c r="Q11" s="159"/>
      <c r="R11" s="159"/>
      <c r="S11" s="159"/>
      <c r="T11" s="159"/>
      <c r="U11" s="159"/>
      <c r="V11" s="159"/>
      <c r="W11" s="159"/>
      <c r="X11" s="159"/>
      <c r="Y11" s="159"/>
    </row>
    <row r="12" spans="2:25" ht="18" customHeight="1" x14ac:dyDescent="0.2">
      <c r="B12" s="1500">
        <v>1962</v>
      </c>
      <c r="C12" s="3693">
        <v>2557843.2010758282</v>
      </c>
      <c r="D12" s="3694">
        <v>829579.07999999973</v>
      </c>
      <c r="E12" s="3695">
        <v>114665.08704357578</v>
      </c>
      <c r="F12" s="3693">
        <v>747455.53426249127</v>
      </c>
      <c r="G12" s="3694">
        <v>42594.919999999991</v>
      </c>
      <c r="H12" s="3696">
        <v>2186.1800000000007</v>
      </c>
      <c r="I12" s="3697">
        <v>519600</v>
      </c>
      <c r="J12" s="3694">
        <v>309300</v>
      </c>
      <c r="K12" s="3696">
        <v>20780.000000000004</v>
      </c>
      <c r="L12" s="2860" t="s">
        <v>2147</v>
      </c>
      <c r="M12" s="2861" t="s">
        <v>2147</v>
      </c>
      <c r="N12" s="2862" t="s">
        <v>2147</v>
      </c>
      <c r="P12" s="604" t="s">
        <v>1991</v>
      </c>
      <c r="Q12" s="3686"/>
      <c r="R12" s="159"/>
      <c r="S12" s="159"/>
      <c r="T12" s="159"/>
      <c r="U12" s="159"/>
      <c r="V12" s="159"/>
      <c r="W12" s="159"/>
      <c r="X12" s="159"/>
      <c r="Y12" s="159"/>
    </row>
    <row r="13" spans="2:25" ht="18" customHeight="1" x14ac:dyDescent="0.2">
      <c r="B13" s="1500">
        <v>1963</v>
      </c>
      <c r="C13" s="3693">
        <v>2591273.9237823309</v>
      </c>
      <c r="D13" s="3694">
        <v>849706.14999999979</v>
      </c>
      <c r="E13" s="3695">
        <v>104905.54337937017</v>
      </c>
      <c r="F13" s="3693">
        <v>772629.12501247704</v>
      </c>
      <c r="G13" s="3694">
        <v>36142.849999999984</v>
      </c>
      <c r="H13" s="3696">
        <v>4758.9200000000019</v>
      </c>
      <c r="I13" s="3697">
        <v>597399.99999999988</v>
      </c>
      <c r="J13" s="3694">
        <v>342200</v>
      </c>
      <c r="K13" s="3696">
        <v>8330</v>
      </c>
      <c r="L13" s="2860" t="s">
        <v>2147</v>
      </c>
      <c r="M13" s="2861" t="s">
        <v>2147</v>
      </c>
      <c r="N13" s="2862" t="s">
        <v>2147</v>
      </c>
      <c r="P13" s="3713" t="s">
        <v>2278</v>
      </c>
      <c r="Q13" s="3687">
        <v>230</v>
      </c>
      <c r="R13" s="159"/>
      <c r="S13" s="159"/>
      <c r="T13" s="159"/>
      <c r="U13" s="159"/>
      <c r="V13" s="159"/>
      <c r="W13" s="159"/>
      <c r="X13" s="159"/>
      <c r="Y13" s="159"/>
    </row>
    <row r="14" spans="2:25" ht="18" customHeight="1" x14ac:dyDescent="0.2">
      <c r="B14" s="1500">
        <v>1964</v>
      </c>
      <c r="C14" s="3693">
        <v>2787049.3244242514</v>
      </c>
      <c r="D14" s="3694">
        <v>935420.29999999981</v>
      </c>
      <c r="E14" s="3695">
        <v>110959.82862410627</v>
      </c>
      <c r="F14" s="3693">
        <v>834501.38202819729</v>
      </c>
      <c r="G14" s="3694">
        <v>48485.69999999999</v>
      </c>
      <c r="H14" s="3696">
        <v>7703.8999999999987</v>
      </c>
      <c r="I14" s="3697">
        <v>658300</v>
      </c>
      <c r="J14" s="3694">
        <v>381200</v>
      </c>
      <c r="K14" s="3696">
        <v>16530.000000000004</v>
      </c>
      <c r="L14" s="2860" t="s">
        <v>2147</v>
      </c>
      <c r="M14" s="2861" t="s">
        <v>2147</v>
      </c>
      <c r="N14" s="2862" t="s">
        <v>2147</v>
      </c>
      <c r="P14" s="3713" t="s">
        <v>2279</v>
      </c>
      <c r="Q14" s="3687">
        <v>315</v>
      </c>
      <c r="R14" s="159"/>
      <c r="S14" s="159"/>
      <c r="T14" s="159"/>
      <c r="U14" s="159"/>
      <c r="V14" s="159"/>
      <c r="W14" s="159"/>
      <c r="X14" s="159"/>
      <c r="Y14" s="159"/>
    </row>
    <row r="15" spans="2:25" ht="18" customHeight="1" x14ac:dyDescent="0.2">
      <c r="B15" s="1500">
        <v>1965</v>
      </c>
      <c r="C15" s="3698">
        <v>2951690.8831298901</v>
      </c>
      <c r="D15" s="3699">
        <v>998264.63</v>
      </c>
      <c r="E15" s="3700">
        <v>94028.926616996629</v>
      </c>
      <c r="F15" s="3698">
        <v>856112.89065787755</v>
      </c>
      <c r="G15" s="3699">
        <v>47778.37</v>
      </c>
      <c r="H15" s="3701">
        <v>9750.42</v>
      </c>
      <c r="I15" s="3702">
        <v>744799.99999999988</v>
      </c>
      <c r="J15" s="3699">
        <v>439899.99999999988</v>
      </c>
      <c r="K15" s="3701">
        <v>25510.000000000004</v>
      </c>
      <c r="L15" s="2855" t="s">
        <v>2147</v>
      </c>
      <c r="M15" s="2617" t="s">
        <v>2147</v>
      </c>
      <c r="N15" s="2610" t="s">
        <v>2147</v>
      </c>
      <c r="P15" s="3713" t="s">
        <v>2281</v>
      </c>
      <c r="Q15" s="3687">
        <v>300</v>
      </c>
      <c r="R15" s="809"/>
      <c r="S15" s="809"/>
      <c r="V15" s="159"/>
      <c r="W15" s="159"/>
      <c r="X15" s="159"/>
      <c r="Y15" s="159"/>
    </row>
    <row r="16" spans="2:25" ht="18" customHeight="1" x14ac:dyDescent="0.2">
      <c r="B16" s="1500">
        <v>1966</v>
      </c>
      <c r="C16" s="3698">
        <v>2899643.0508653051</v>
      </c>
      <c r="D16" s="3699">
        <v>932351.64</v>
      </c>
      <c r="E16" s="3700">
        <v>71760.762400425665</v>
      </c>
      <c r="F16" s="3698">
        <v>839559.90387027478</v>
      </c>
      <c r="G16" s="3699">
        <v>44536.36</v>
      </c>
      <c r="H16" s="3701">
        <v>11491.640000000003</v>
      </c>
      <c r="I16" s="3702">
        <v>774299.99999999988</v>
      </c>
      <c r="J16" s="3699">
        <v>418799.99999999994</v>
      </c>
      <c r="K16" s="3701">
        <v>21670</v>
      </c>
      <c r="L16" s="2855" t="s">
        <v>2147</v>
      </c>
      <c r="M16" s="2617" t="s">
        <v>2147</v>
      </c>
      <c r="N16" s="2610" t="s">
        <v>2147</v>
      </c>
      <c r="P16" s="3713" t="s">
        <v>2280</v>
      </c>
      <c r="Q16" s="3687">
        <v>230</v>
      </c>
      <c r="R16" s="608"/>
      <c r="S16" s="608"/>
      <c r="V16" s="608"/>
      <c r="W16" s="608"/>
      <c r="X16" s="608"/>
      <c r="Y16" s="608"/>
    </row>
    <row r="17" spans="2:17" ht="18" customHeight="1" x14ac:dyDescent="0.2">
      <c r="B17" s="1500">
        <v>1967</v>
      </c>
      <c r="C17" s="3698">
        <v>2756109.2001149724</v>
      </c>
      <c r="D17" s="3699">
        <v>971410.37999999989</v>
      </c>
      <c r="E17" s="3700">
        <v>118329.05335888069</v>
      </c>
      <c r="F17" s="3698">
        <v>833588.84148911841</v>
      </c>
      <c r="G17" s="3699">
        <v>47502.62000000001</v>
      </c>
      <c r="H17" s="3701">
        <v>11439.74</v>
      </c>
      <c r="I17" s="3702">
        <v>830199.99999999988</v>
      </c>
      <c r="J17" s="3699">
        <v>442000</v>
      </c>
      <c r="K17" s="3701">
        <v>34569.999999999985</v>
      </c>
      <c r="L17" s="2855" t="s">
        <v>2147</v>
      </c>
      <c r="M17" s="2617" t="s">
        <v>2147</v>
      </c>
      <c r="N17" s="2610" t="s">
        <v>2147</v>
      </c>
      <c r="P17" s="3713" t="s">
        <v>2285</v>
      </c>
      <c r="Q17" s="3687">
        <v>270</v>
      </c>
    </row>
    <row r="18" spans="2:17" ht="18" customHeight="1" x14ac:dyDescent="0.2">
      <c r="B18" s="1500">
        <v>1968</v>
      </c>
      <c r="C18" s="3698">
        <v>2796963.7293567695</v>
      </c>
      <c r="D18" s="3699">
        <v>1045022.5299999999</v>
      </c>
      <c r="E18" s="3700">
        <v>71128.026095647612</v>
      </c>
      <c r="F18" s="3698">
        <v>858177.09821987455</v>
      </c>
      <c r="G18" s="3699">
        <v>54037.469999999987</v>
      </c>
      <c r="H18" s="3701">
        <v>12128.779999999999</v>
      </c>
      <c r="I18" s="3702">
        <v>824200.00000000012</v>
      </c>
      <c r="J18" s="3699">
        <v>470300</v>
      </c>
      <c r="K18" s="3701">
        <v>27670.000000000007</v>
      </c>
      <c r="L18" s="2855" t="s">
        <v>2147</v>
      </c>
      <c r="M18" s="2617" t="s">
        <v>2147</v>
      </c>
      <c r="N18" s="2610" t="s">
        <v>2147</v>
      </c>
      <c r="P18" s="3713" t="s">
        <v>2286</v>
      </c>
      <c r="Q18" s="3687">
        <v>208</v>
      </c>
    </row>
    <row r="19" spans="2:17" ht="18" customHeight="1" x14ac:dyDescent="0.2">
      <c r="B19" s="1500">
        <v>1969</v>
      </c>
      <c r="C19" s="3698">
        <v>2766283.0612708149</v>
      </c>
      <c r="D19" s="3699">
        <v>1114705.8600000003</v>
      </c>
      <c r="E19" s="3700">
        <v>80859.925866849866</v>
      </c>
      <c r="F19" s="3698">
        <v>918473.41213783179</v>
      </c>
      <c r="G19" s="3699">
        <v>52497.140000000007</v>
      </c>
      <c r="H19" s="3701">
        <v>13534.120000000003</v>
      </c>
      <c r="I19" s="3702">
        <v>921200</v>
      </c>
      <c r="J19" s="3699">
        <v>486899.99999999994</v>
      </c>
      <c r="K19" s="3701">
        <v>33960.000000000015</v>
      </c>
      <c r="L19" s="2855" t="s">
        <v>2147</v>
      </c>
      <c r="M19" s="2617" t="s">
        <v>2147</v>
      </c>
      <c r="N19" s="2610" t="s">
        <v>2147</v>
      </c>
      <c r="P19" s="3713" t="s">
        <v>2287</v>
      </c>
      <c r="Q19" s="3687">
        <v>240</v>
      </c>
    </row>
    <row r="20" spans="2:17" ht="18" customHeight="1" x14ac:dyDescent="0.2">
      <c r="B20" s="1500">
        <v>1970</v>
      </c>
      <c r="C20" s="3698">
        <v>2860114.9656996303</v>
      </c>
      <c r="D20" s="3699">
        <v>1078578.0999999999</v>
      </c>
      <c r="E20" s="3700">
        <v>91042.414950798469</v>
      </c>
      <c r="F20" s="3698">
        <v>961746.22320209676</v>
      </c>
      <c r="G20" s="3699">
        <v>49580.899999999987</v>
      </c>
      <c r="H20" s="3701">
        <v>15740.180000000002</v>
      </c>
      <c r="I20" s="3702">
        <v>1043999.9999999998</v>
      </c>
      <c r="J20" s="3699">
        <v>498800</v>
      </c>
      <c r="K20" s="3701">
        <v>40890.000000000015</v>
      </c>
      <c r="L20" s="2855" t="s">
        <v>2147</v>
      </c>
      <c r="M20" s="2617" t="s">
        <v>2147</v>
      </c>
      <c r="N20" s="2610" t="s">
        <v>2147</v>
      </c>
      <c r="P20" s="3713" t="s">
        <v>2288</v>
      </c>
      <c r="Q20" s="3687">
        <v>465</v>
      </c>
    </row>
    <row r="21" spans="2:17" ht="18" customHeight="1" x14ac:dyDescent="0.2">
      <c r="B21" s="1500">
        <v>1971</v>
      </c>
      <c r="C21" s="3698">
        <v>2876140.7582026049</v>
      </c>
      <c r="D21" s="3699">
        <v>1092090.49</v>
      </c>
      <c r="E21" s="3700">
        <v>96029.930547833399</v>
      </c>
      <c r="F21" s="3698">
        <v>937434.04634326708</v>
      </c>
      <c r="G21" s="3699">
        <v>53693.51</v>
      </c>
      <c r="H21" s="3701">
        <v>19374.900000000001</v>
      </c>
      <c r="I21" s="3702">
        <v>1071699.9999999998</v>
      </c>
      <c r="J21" s="3699">
        <v>536400.00000000012</v>
      </c>
      <c r="K21" s="3701">
        <v>41419.999999999993</v>
      </c>
      <c r="L21" s="2855" t="s">
        <v>2147</v>
      </c>
      <c r="M21" s="2617" t="s">
        <v>2147</v>
      </c>
      <c r="N21" s="2610" t="s">
        <v>2147</v>
      </c>
      <c r="P21" s="3713" t="s">
        <v>2289</v>
      </c>
      <c r="Q21" s="3687">
        <v>115</v>
      </c>
    </row>
    <row r="22" spans="2:17" ht="18" customHeight="1" x14ac:dyDescent="0.2">
      <c r="B22" s="1500">
        <v>1972</v>
      </c>
      <c r="C22" s="3698">
        <v>2912528.1845502453</v>
      </c>
      <c r="D22" s="3699">
        <v>1048931.47</v>
      </c>
      <c r="E22" s="3700">
        <v>90288.193659673692</v>
      </c>
      <c r="F22" s="3698">
        <v>920669.75220816839</v>
      </c>
      <c r="G22" s="3699">
        <v>56093.530000000006</v>
      </c>
      <c r="H22" s="3701">
        <v>17183.300000000003</v>
      </c>
      <c r="I22" s="3702">
        <v>1597016.7203068088</v>
      </c>
      <c r="J22" s="3699">
        <v>502999.99999999994</v>
      </c>
      <c r="K22" s="3701">
        <v>554326.72030680883</v>
      </c>
      <c r="L22" s="2855" t="s">
        <v>2147</v>
      </c>
      <c r="M22" s="2617" t="s">
        <v>2147</v>
      </c>
      <c r="N22" s="2610" t="s">
        <v>2147</v>
      </c>
      <c r="P22" s="3713" t="s">
        <v>2282</v>
      </c>
      <c r="Q22" s="3687">
        <v>207.5</v>
      </c>
    </row>
    <row r="23" spans="2:17" ht="18" customHeight="1" x14ac:dyDescent="0.2">
      <c r="B23" s="1500">
        <v>1973</v>
      </c>
      <c r="C23" s="3698">
        <v>2803538.6813875176</v>
      </c>
      <c r="D23" s="3699">
        <v>1235904.8299999996</v>
      </c>
      <c r="E23" s="3700">
        <v>118736.05239589371</v>
      </c>
      <c r="F23" s="3698">
        <v>929494.93100121396</v>
      </c>
      <c r="G23" s="3699">
        <v>75077.170000000013</v>
      </c>
      <c r="H23" s="3701">
        <v>22731.040000000005</v>
      </c>
      <c r="I23" s="3702">
        <v>1902243.5726261828</v>
      </c>
      <c r="J23" s="3699">
        <v>597700.00000000012</v>
      </c>
      <c r="K23" s="3701">
        <v>801923.57262618304</v>
      </c>
      <c r="L23" s="2855" t="s">
        <v>2147</v>
      </c>
      <c r="M23" s="2617" t="s">
        <v>2147</v>
      </c>
      <c r="N23" s="2610" t="s">
        <v>2147</v>
      </c>
      <c r="P23" s="3713" t="s">
        <v>2283</v>
      </c>
      <c r="Q23" s="3687">
        <v>315</v>
      </c>
    </row>
    <row r="24" spans="2:17" ht="18" customHeight="1" x14ac:dyDescent="0.2">
      <c r="B24" s="1500">
        <v>1974</v>
      </c>
      <c r="C24" s="3698">
        <v>2868529.6806907556</v>
      </c>
      <c r="D24" s="3699">
        <v>1355140.88</v>
      </c>
      <c r="E24" s="3700">
        <v>98851.218439997276</v>
      </c>
      <c r="F24" s="3698">
        <v>963027.36109579448</v>
      </c>
      <c r="G24" s="3699">
        <v>88919.12</v>
      </c>
      <c r="H24" s="3701">
        <v>16685.699999999997</v>
      </c>
      <c r="I24" s="3702">
        <v>2001336.0334560312</v>
      </c>
      <c r="J24" s="3699">
        <v>637000</v>
      </c>
      <c r="K24" s="3701">
        <v>757336.03345603135</v>
      </c>
      <c r="L24" s="2855" t="s">
        <v>2147</v>
      </c>
      <c r="M24" s="2617" t="s">
        <v>2147</v>
      </c>
      <c r="N24" s="2610" t="s">
        <v>2147</v>
      </c>
      <c r="P24" s="3713" t="s">
        <v>2284</v>
      </c>
      <c r="Q24" s="3687">
        <v>395</v>
      </c>
    </row>
    <row r="25" spans="2:17" ht="18" customHeight="1" x14ac:dyDescent="0.2">
      <c r="B25" s="1500">
        <v>1975</v>
      </c>
      <c r="C25" s="3698">
        <v>2775237.2228009547</v>
      </c>
      <c r="D25" s="3699">
        <v>962796.40999999992</v>
      </c>
      <c r="E25" s="3700">
        <v>86459.319402984227</v>
      </c>
      <c r="F25" s="3698">
        <v>922791.53228838556</v>
      </c>
      <c r="G25" s="3699">
        <v>78408.727755102052</v>
      </c>
      <c r="H25" s="3701">
        <v>11784.3</v>
      </c>
      <c r="I25" s="3702">
        <v>1830221.1193123786</v>
      </c>
      <c r="J25" s="3699">
        <v>652000</v>
      </c>
      <c r="K25" s="3701">
        <v>719021.11931237846</v>
      </c>
      <c r="L25" s="2855" t="s">
        <v>2147</v>
      </c>
      <c r="M25" s="2617" t="s">
        <v>2147</v>
      </c>
      <c r="N25" s="2610" t="s">
        <v>2147</v>
      </c>
      <c r="P25" s="606" t="s">
        <v>1992</v>
      </c>
      <c r="Q25" s="2856">
        <v>500</v>
      </c>
    </row>
    <row r="26" spans="2:17" ht="18" customHeight="1" thickBot="1" x14ac:dyDescent="0.25">
      <c r="B26" s="1500">
        <v>1976</v>
      </c>
      <c r="C26" s="3698">
        <v>2643684.3264781516</v>
      </c>
      <c r="D26" s="3699">
        <v>1083920.28</v>
      </c>
      <c r="E26" s="3700">
        <v>55126.597204910227</v>
      </c>
      <c r="F26" s="3698">
        <v>929841.37937368837</v>
      </c>
      <c r="G26" s="3699">
        <v>88923.862857142856</v>
      </c>
      <c r="H26" s="3701">
        <v>5736.8</v>
      </c>
      <c r="I26" s="3702">
        <v>1753761.6269344182</v>
      </c>
      <c r="J26" s="3699">
        <v>436000</v>
      </c>
      <c r="K26" s="3701">
        <v>647931.62693441776</v>
      </c>
      <c r="L26" s="2855" t="s">
        <v>2147</v>
      </c>
      <c r="M26" s="2617" t="s">
        <v>2147</v>
      </c>
      <c r="N26" s="2610" t="s">
        <v>2147</v>
      </c>
      <c r="P26" s="607" t="s">
        <v>1364</v>
      </c>
      <c r="Q26" s="2868" t="s">
        <v>2147</v>
      </c>
    </row>
    <row r="27" spans="2:17" ht="18" customHeight="1" thickBot="1" x14ac:dyDescent="0.25">
      <c r="B27" s="1500">
        <v>1977</v>
      </c>
      <c r="C27" s="3698">
        <v>2849780.7272318066</v>
      </c>
      <c r="D27" s="3699">
        <v>1219245.6999999997</v>
      </c>
      <c r="E27" s="3700">
        <v>51841.096789718351</v>
      </c>
      <c r="F27" s="3698">
        <v>990194.41848131036</v>
      </c>
      <c r="G27" s="3699">
        <v>92062.514285714278</v>
      </c>
      <c r="H27" s="3701">
        <v>1867.7199999999998</v>
      </c>
      <c r="I27" s="3702">
        <v>2094992.1667405425</v>
      </c>
      <c r="J27" s="3699">
        <v>618999.99999999988</v>
      </c>
      <c r="K27" s="3701">
        <v>900392.16674054239</v>
      </c>
      <c r="L27" s="2855" t="s">
        <v>2147</v>
      </c>
      <c r="M27" s="2617" t="s">
        <v>2147</v>
      </c>
      <c r="N27" s="2610" t="s">
        <v>2147</v>
      </c>
      <c r="P27" s="2867" t="s">
        <v>2254</v>
      </c>
      <c r="Q27" s="2869" t="s">
        <v>2147</v>
      </c>
    </row>
    <row r="28" spans="2:17" ht="18" customHeight="1" x14ac:dyDescent="0.2">
      <c r="B28" s="1500">
        <v>1978</v>
      </c>
      <c r="C28" s="3698">
        <v>2819990.2275505499</v>
      </c>
      <c r="D28" s="3699">
        <v>964111.59000000008</v>
      </c>
      <c r="E28" s="3700">
        <v>57923.085074299517</v>
      </c>
      <c r="F28" s="3698">
        <v>1005004.4412944256</v>
      </c>
      <c r="G28" s="3699">
        <v>77699.624285714293</v>
      </c>
      <c r="H28" s="3701">
        <v>1182.72</v>
      </c>
      <c r="I28" s="3702">
        <v>2068703.1744685774</v>
      </c>
      <c r="J28" s="3699">
        <v>549700.00000000012</v>
      </c>
      <c r="K28" s="3701">
        <v>884473.17446857726</v>
      </c>
      <c r="L28" s="2855" t="s">
        <v>2147</v>
      </c>
      <c r="M28" s="2617" t="s">
        <v>2147</v>
      </c>
      <c r="N28" s="2610" t="s">
        <v>2147</v>
      </c>
      <c r="P28" s="809" t="s">
        <v>1365</v>
      </c>
      <c r="Q28" s="809"/>
    </row>
    <row r="29" spans="2:17" ht="18" customHeight="1" x14ac:dyDescent="0.2">
      <c r="B29" s="1500">
        <v>1979</v>
      </c>
      <c r="C29" s="3698">
        <v>2784333.788707728</v>
      </c>
      <c r="D29" s="3699">
        <v>977060.87</v>
      </c>
      <c r="E29" s="3700">
        <v>69396.366179030185</v>
      </c>
      <c r="F29" s="3698">
        <v>1008058.945389936</v>
      </c>
      <c r="G29" s="3699">
        <v>89793.415714285729</v>
      </c>
      <c r="H29" s="3701">
        <v>2158.7199999999998</v>
      </c>
      <c r="I29" s="3702">
        <v>2211371.9129295228</v>
      </c>
      <c r="J29" s="3699">
        <v>631999.99999999988</v>
      </c>
      <c r="K29" s="3701">
        <v>940501.91292952269</v>
      </c>
      <c r="L29" s="2855" t="s">
        <v>2147</v>
      </c>
      <c r="M29" s="2617" t="s">
        <v>2147</v>
      </c>
      <c r="N29" s="2610" t="s">
        <v>2147</v>
      </c>
      <c r="P29" s="1442" t="s">
        <v>1366</v>
      </c>
      <c r="Q29" s="608"/>
    </row>
    <row r="30" spans="2:17" ht="18" customHeight="1" x14ac:dyDescent="0.2">
      <c r="B30" s="1500">
        <v>1980</v>
      </c>
      <c r="C30" s="3698">
        <v>3019315.8887018147</v>
      </c>
      <c r="D30" s="3699">
        <v>982510.5</v>
      </c>
      <c r="E30" s="3700">
        <v>83310.304537891716</v>
      </c>
      <c r="F30" s="3698">
        <v>1109430.0888785631</v>
      </c>
      <c r="G30" s="3699">
        <v>91139.857142857116</v>
      </c>
      <c r="H30" s="3701">
        <v>16343.719999999996</v>
      </c>
      <c r="I30" s="3702">
        <v>2627928.5935362023</v>
      </c>
      <c r="J30" s="3699">
        <v>694600.00000000012</v>
      </c>
      <c r="K30" s="3701">
        <v>1292708.5935362023</v>
      </c>
      <c r="L30" s="2855" t="s">
        <v>2147</v>
      </c>
      <c r="M30" s="2617" t="s">
        <v>2147</v>
      </c>
      <c r="N30" s="2610" t="s">
        <v>2147</v>
      </c>
    </row>
    <row r="31" spans="2:17" ht="18" customHeight="1" x14ac:dyDescent="0.2">
      <c r="B31" s="1500">
        <v>1981</v>
      </c>
      <c r="C31" s="3698">
        <v>3118722.004607725</v>
      </c>
      <c r="D31" s="3699">
        <v>1056079</v>
      </c>
      <c r="E31" s="3700">
        <v>63284.992817902646</v>
      </c>
      <c r="F31" s="3698">
        <v>1103905.2743208744</v>
      </c>
      <c r="G31" s="3699">
        <v>104968.42857142855</v>
      </c>
      <c r="H31" s="3701">
        <v>11063.999999999996</v>
      </c>
      <c r="I31" s="3702">
        <v>2562076.4213995254</v>
      </c>
      <c r="J31" s="3699">
        <v>703500</v>
      </c>
      <c r="K31" s="3701">
        <v>1223396.4213995258</v>
      </c>
      <c r="L31" s="2855" t="s">
        <v>2147</v>
      </c>
      <c r="M31" s="2617" t="s">
        <v>2147</v>
      </c>
      <c r="N31" s="2610" t="s">
        <v>2147</v>
      </c>
    </row>
    <row r="32" spans="2:17" ht="18" customHeight="1" x14ac:dyDescent="0.2">
      <c r="B32" s="1500">
        <v>1982</v>
      </c>
      <c r="C32" s="3698">
        <v>2963399.324904216</v>
      </c>
      <c r="D32" s="3699">
        <v>1136226</v>
      </c>
      <c r="E32" s="3700">
        <v>55741.866053244019</v>
      </c>
      <c r="F32" s="3698">
        <v>1092692.1515409772</v>
      </c>
      <c r="G32" s="3699">
        <v>118922.49999999997</v>
      </c>
      <c r="H32" s="3701">
        <v>6879</v>
      </c>
      <c r="I32" s="3702">
        <v>2491321.1320703812</v>
      </c>
      <c r="J32" s="3699">
        <v>747600</v>
      </c>
      <c r="K32" s="3701">
        <v>1106123.132070381</v>
      </c>
      <c r="L32" s="2855" t="s">
        <v>2147</v>
      </c>
      <c r="M32" s="2617" t="s">
        <v>2147</v>
      </c>
      <c r="N32" s="2610" t="s">
        <v>2147</v>
      </c>
    </row>
    <row r="33" spans="2:14" ht="18" customHeight="1" x14ac:dyDescent="0.2">
      <c r="B33" s="1500">
        <v>1983</v>
      </c>
      <c r="C33" s="3698">
        <v>2542938.2178073353</v>
      </c>
      <c r="D33" s="3699">
        <v>821733.49000000011</v>
      </c>
      <c r="E33" s="3700">
        <v>51279.998675612071</v>
      </c>
      <c r="F33" s="3698">
        <v>936451.78714595339</v>
      </c>
      <c r="G33" s="3699">
        <v>98264.081428571415</v>
      </c>
      <c r="H33" s="3701">
        <v>14998.999999999998</v>
      </c>
      <c r="I33" s="3702">
        <v>2420544.5538360737</v>
      </c>
      <c r="J33" s="3699">
        <v>521299.99999999994</v>
      </c>
      <c r="K33" s="3701">
        <v>1063268.553836073</v>
      </c>
      <c r="L33" s="2855" t="s">
        <v>2147</v>
      </c>
      <c r="M33" s="2617" t="s">
        <v>2147</v>
      </c>
      <c r="N33" s="2610" t="s">
        <v>2147</v>
      </c>
    </row>
    <row r="34" spans="2:14" ht="18" customHeight="1" x14ac:dyDescent="0.2">
      <c r="B34" s="1500">
        <v>1984</v>
      </c>
      <c r="C34" s="3698">
        <v>2721568.4734499231</v>
      </c>
      <c r="D34" s="3699">
        <v>1065815.7499999995</v>
      </c>
      <c r="E34" s="3700">
        <v>44691.321776065073</v>
      </c>
      <c r="F34" s="3698">
        <v>1070272.5505016921</v>
      </c>
      <c r="G34" s="3699">
        <v>115203.89285714286</v>
      </c>
      <c r="H34" s="3701">
        <v>7192.9999999999982</v>
      </c>
      <c r="I34" s="3702">
        <v>2713508.2810229533</v>
      </c>
      <c r="J34" s="3699">
        <v>650400.00000000012</v>
      </c>
      <c r="K34" s="3701">
        <v>1250032.2810229526</v>
      </c>
      <c r="L34" s="2855" t="s">
        <v>2147</v>
      </c>
      <c r="M34" s="2617" t="s">
        <v>2147</v>
      </c>
      <c r="N34" s="2610" t="s">
        <v>2147</v>
      </c>
    </row>
    <row r="35" spans="2:14" ht="18" customHeight="1" x14ac:dyDescent="0.2">
      <c r="B35" s="1500">
        <v>1985</v>
      </c>
      <c r="C35" s="3698">
        <v>3055950.1586885224</v>
      </c>
      <c r="D35" s="3699">
        <v>1374133.5899999994</v>
      </c>
      <c r="E35" s="3700">
        <v>39370.056531328948</v>
      </c>
      <c r="F35" s="3698">
        <v>1192865.5262455374</v>
      </c>
      <c r="G35" s="3699">
        <v>143881.12428571429</v>
      </c>
      <c r="H35" s="3701">
        <v>6591</v>
      </c>
      <c r="I35" s="3702">
        <v>2778310.6639364795</v>
      </c>
      <c r="J35" s="3699">
        <v>814300</v>
      </c>
      <c r="K35" s="3701">
        <v>1307891.6639364795</v>
      </c>
      <c r="L35" s="2855" t="s">
        <v>2147</v>
      </c>
      <c r="M35" s="2617" t="s">
        <v>2147</v>
      </c>
      <c r="N35" s="2610" t="s">
        <v>2147</v>
      </c>
    </row>
    <row r="36" spans="2:14" ht="18" customHeight="1" x14ac:dyDescent="0.2">
      <c r="B36" s="1500">
        <v>1986</v>
      </c>
      <c r="C36" s="3698">
        <v>3131899.015065222</v>
      </c>
      <c r="D36" s="3699">
        <v>1243722.3399999999</v>
      </c>
      <c r="E36" s="3700">
        <v>41583.104773506515</v>
      </c>
      <c r="F36" s="3698">
        <v>1192066.0718926892</v>
      </c>
      <c r="G36" s="3699">
        <v>151372.44571428574</v>
      </c>
      <c r="H36" s="3701">
        <v>7629.9999999999991</v>
      </c>
      <c r="I36" s="3702">
        <v>2789401.3591512651</v>
      </c>
      <c r="J36" s="3699">
        <v>709500</v>
      </c>
      <c r="K36" s="3701">
        <v>1280946.3591512649</v>
      </c>
      <c r="L36" s="2855" t="s">
        <v>2147</v>
      </c>
      <c r="M36" s="2617" t="s">
        <v>2147</v>
      </c>
      <c r="N36" s="2610" t="s">
        <v>2147</v>
      </c>
    </row>
    <row r="37" spans="2:14" ht="18" customHeight="1" x14ac:dyDescent="0.2">
      <c r="B37" s="1500">
        <v>1987</v>
      </c>
      <c r="C37" s="3698">
        <v>2839367.1186839067</v>
      </c>
      <c r="D37" s="3699">
        <v>1054747.9000000001</v>
      </c>
      <c r="E37" s="3700">
        <v>38872.6194635922</v>
      </c>
      <c r="F37" s="3698">
        <v>1104355.5189492593</v>
      </c>
      <c r="G37" s="3699">
        <v>133002.95714285711</v>
      </c>
      <c r="H37" s="3701">
        <v>1096.9999999999998</v>
      </c>
      <c r="I37" s="3702">
        <v>3017894.0510320109</v>
      </c>
      <c r="J37" s="3699">
        <v>735900</v>
      </c>
      <c r="K37" s="3701">
        <v>1462278.0510320105</v>
      </c>
      <c r="L37" s="2855" t="s">
        <v>2147</v>
      </c>
      <c r="M37" s="2617" t="s">
        <v>2147</v>
      </c>
      <c r="N37" s="2610" t="s">
        <v>2147</v>
      </c>
    </row>
    <row r="38" spans="2:14" ht="18" customHeight="1" x14ac:dyDescent="0.2">
      <c r="B38" s="1500">
        <v>1988</v>
      </c>
      <c r="C38" s="3698">
        <v>2782138.1278550671</v>
      </c>
      <c r="D38" s="3699">
        <v>1247423.1199999999</v>
      </c>
      <c r="E38" s="3700">
        <v>34510.71757088141</v>
      </c>
      <c r="F38" s="3698">
        <v>1158236.7747721777</v>
      </c>
      <c r="G38" s="3699">
        <v>151122.80857142853</v>
      </c>
      <c r="H38" s="3701">
        <v>1284.9999999999998</v>
      </c>
      <c r="I38" s="3702">
        <v>3088033.7698548818</v>
      </c>
      <c r="J38" s="3699">
        <v>932700</v>
      </c>
      <c r="K38" s="3701">
        <v>1453897.7698548825</v>
      </c>
      <c r="L38" s="2855" t="s">
        <v>2147</v>
      </c>
      <c r="M38" s="2617" t="s">
        <v>2147</v>
      </c>
      <c r="N38" s="2610" t="s">
        <v>2147</v>
      </c>
    </row>
    <row r="39" spans="2:14" ht="18" customHeight="1" x14ac:dyDescent="0.2">
      <c r="B39" s="1500">
        <v>1989</v>
      </c>
      <c r="C39" s="3698">
        <v>2882578.2655291008</v>
      </c>
      <c r="D39" s="3699">
        <v>1705360.7427200002</v>
      </c>
      <c r="E39" s="3700">
        <v>39377.351727379995</v>
      </c>
      <c r="F39" s="3698">
        <v>1245675.5572426387</v>
      </c>
      <c r="G39" s="3699">
        <v>198141.48927999998</v>
      </c>
      <c r="H39" s="3701">
        <v>7070.1402906199992</v>
      </c>
      <c r="I39" s="3702">
        <v>3372899.6470676693</v>
      </c>
      <c r="J39" s="3699">
        <v>994134.57000000007</v>
      </c>
      <c r="K39" s="3701">
        <v>1656342.6330676691</v>
      </c>
      <c r="L39" s="2855" t="s">
        <v>2147</v>
      </c>
      <c r="M39" s="2617" t="s">
        <v>2147</v>
      </c>
      <c r="N39" s="2610" t="s">
        <v>2147</v>
      </c>
    </row>
    <row r="40" spans="2:14" ht="18" customHeight="1" x14ac:dyDescent="0.2">
      <c r="B40" s="1500">
        <v>1990</v>
      </c>
      <c r="C40" s="3698">
        <v>3128462.6475456739</v>
      </c>
      <c r="D40" s="3699">
        <v>1388592.2007599997</v>
      </c>
      <c r="E40" s="3700">
        <v>29993.54076009</v>
      </c>
      <c r="F40" s="3698">
        <v>1323234.9724089385</v>
      </c>
      <c r="G40" s="3699">
        <v>189550.42924</v>
      </c>
      <c r="H40" s="3701">
        <v>43226.973288910005</v>
      </c>
      <c r="I40" s="3702">
        <v>3373571.7772681699</v>
      </c>
      <c r="J40" s="3699">
        <v>930564.69200000004</v>
      </c>
      <c r="K40" s="3701">
        <v>1534265.4032681703</v>
      </c>
      <c r="L40" s="2855" t="s">
        <v>2147</v>
      </c>
      <c r="M40" s="2617" t="s">
        <v>2147</v>
      </c>
      <c r="N40" s="2610" t="s">
        <v>2147</v>
      </c>
    </row>
    <row r="41" spans="2:14" ht="18" customHeight="1" x14ac:dyDescent="0.2">
      <c r="B41" s="1500">
        <v>1991</v>
      </c>
      <c r="C41" s="3698">
        <v>3016975.298603232</v>
      </c>
      <c r="D41" s="3699">
        <v>1206700.5135999999</v>
      </c>
      <c r="E41" s="3700">
        <v>36661.49561107</v>
      </c>
      <c r="F41" s="3698">
        <v>1310011.4937661132</v>
      </c>
      <c r="G41" s="3699">
        <v>201433.4204</v>
      </c>
      <c r="H41" s="3701">
        <v>79869.66441592999</v>
      </c>
      <c r="I41" s="3702">
        <v>3503010.5661403509</v>
      </c>
      <c r="J41" s="3699">
        <v>777396.15700000001</v>
      </c>
      <c r="K41" s="3701">
        <v>1701479.2321403509</v>
      </c>
      <c r="L41" s="2855" t="s">
        <v>2147</v>
      </c>
      <c r="M41" s="2617" t="s">
        <v>2147</v>
      </c>
      <c r="N41" s="2610" t="s">
        <v>2147</v>
      </c>
    </row>
    <row r="42" spans="2:14" ht="18" customHeight="1" x14ac:dyDescent="0.2">
      <c r="B42" s="1500">
        <v>1992</v>
      </c>
      <c r="C42" s="3698">
        <v>3112116.3759568939</v>
      </c>
      <c r="D42" s="3699">
        <v>1174032.6581599999</v>
      </c>
      <c r="E42" s="3700">
        <v>50361.73401968</v>
      </c>
      <c r="F42" s="3698">
        <v>1372732.9621833514</v>
      </c>
      <c r="G42" s="3699">
        <v>217741.15583999999</v>
      </c>
      <c r="H42" s="3701">
        <v>137072.66602832</v>
      </c>
      <c r="I42" s="3702">
        <v>3550907.4430952384</v>
      </c>
      <c r="J42" s="3699">
        <v>906145.04299999995</v>
      </c>
      <c r="K42" s="3701">
        <v>1704109.7320952381</v>
      </c>
      <c r="L42" s="2855" t="s">
        <v>2147</v>
      </c>
      <c r="M42" s="2617" t="s">
        <v>2147</v>
      </c>
      <c r="N42" s="2610" t="s">
        <v>2147</v>
      </c>
    </row>
    <row r="43" spans="2:14" ht="18" customHeight="1" x14ac:dyDescent="0.2">
      <c r="B43" s="1500">
        <v>1993</v>
      </c>
      <c r="C43" s="3698">
        <v>3232519.2793222247</v>
      </c>
      <c r="D43" s="3699">
        <v>1224738.1149999998</v>
      </c>
      <c r="E43" s="3700">
        <v>72383.295746010001</v>
      </c>
      <c r="F43" s="3698">
        <v>1495986.2299000004</v>
      </c>
      <c r="G43" s="3699">
        <v>213009.79500000004</v>
      </c>
      <c r="H43" s="3701">
        <v>134346.35241498999</v>
      </c>
      <c r="I43" s="3702">
        <v>3720215.5414285716</v>
      </c>
      <c r="J43" s="3699">
        <v>957450.0410000002</v>
      </c>
      <c r="K43" s="3701">
        <v>1840120.8474285717</v>
      </c>
      <c r="L43" s="2855" t="s">
        <v>2147</v>
      </c>
      <c r="M43" s="2617" t="s">
        <v>2147</v>
      </c>
      <c r="N43" s="2610" t="s">
        <v>2147</v>
      </c>
    </row>
    <row r="44" spans="2:14" ht="18" customHeight="1" x14ac:dyDescent="0.2">
      <c r="B44" s="1500">
        <v>1994</v>
      </c>
      <c r="C44" s="3698">
        <v>3631009.5819375711</v>
      </c>
      <c r="D44" s="3699">
        <v>1088378.8641199998</v>
      </c>
      <c r="E44" s="3700">
        <v>183466.98483288998</v>
      </c>
      <c r="F44" s="3698">
        <v>1725557.2122353145</v>
      </c>
      <c r="G44" s="3699">
        <v>174921.71788000001</v>
      </c>
      <c r="H44" s="3701">
        <v>176519.17329611001</v>
      </c>
      <c r="I44" s="3702">
        <v>4071898.5569423568</v>
      </c>
      <c r="J44" s="3699">
        <v>1044655.389</v>
      </c>
      <c r="K44" s="3701">
        <v>2099493.0959423562</v>
      </c>
      <c r="L44" s="2855" t="s">
        <v>2147</v>
      </c>
      <c r="M44" s="2617" t="s">
        <v>2147</v>
      </c>
      <c r="N44" s="2610" t="s">
        <v>2147</v>
      </c>
    </row>
    <row r="45" spans="2:14" ht="18" customHeight="1" x14ac:dyDescent="0.2">
      <c r="B45" s="1500">
        <v>1995</v>
      </c>
      <c r="C45" s="3698">
        <v>3462626.6932059075</v>
      </c>
      <c r="D45" s="3699">
        <v>1040043.9695000001</v>
      </c>
      <c r="E45" s="3700">
        <v>149806.62782459997</v>
      </c>
      <c r="F45" s="3698">
        <v>1752573.1669083443</v>
      </c>
      <c r="G45" s="3699">
        <v>227616.48950000008</v>
      </c>
      <c r="H45" s="3701">
        <v>164770.95223540001</v>
      </c>
      <c r="I45" s="3702">
        <v>4285085.0986215537</v>
      </c>
      <c r="J45" s="3699">
        <v>1359356.4079999998</v>
      </c>
      <c r="K45" s="3701">
        <v>2220079.0906215543</v>
      </c>
      <c r="L45" s="2855" t="s">
        <v>2147</v>
      </c>
      <c r="M45" s="2617" t="s">
        <v>2147</v>
      </c>
      <c r="N45" s="2610" t="s">
        <v>2147</v>
      </c>
    </row>
    <row r="46" spans="2:14" ht="18" customHeight="1" x14ac:dyDescent="0.2">
      <c r="B46" s="1500">
        <v>1996</v>
      </c>
      <c r="C46" s="3698">
        <v>3519843.1774735195</v>
      </c>
      <c r="D46" s="3699">
        <v>729435.93649999995</v>
      </c>
      <c r="E46" s="3700">
        <v>135332.73339607997</v>
      </c>
      <c r="F46" s="3698">
        <v>1683020.5859440158</v>
      </c>
      <c r="G46" s="3699">
        <v>180977.45649999997</v>
      </c>
      <c r="H46" s="3701">
        <v>185178.76269191995</v>
      </c>
      <c r="I46" s="3702">
        <v>4151916.8888847125</v>
      </c>
      <c r="J46" s="3699">
        <v>1110704.5400000005</v>
      </c>
      <c r="K46" s="3701">
        <v>2052364.2798847123</v>
      </c>
      <c r="L46" s="2855" t="s">
        <v>2147</v>
      </c>
      <c r="M46" s="2617" t="s">
        <v>2147</v>
      </c>
      <c r="N46" s="2610" t="s">
        <v>2147</v>
      </c>
    </row>
    <row r="47" spans="2:14" ht="18" customHeight="1" x14ac:dyDescent="0.2">
      <c r="B47" s="1500">
        <v>1997</v>
      </c>
      <c r="C47" s="3698">
        <v>4010801.7929096073</v>
      </c>
      <c r="D47" s="3699">
        <v>747232.61204000004</v>
      </c>
      <c r="E47" s="3700">
        <v>572064.33905485005</v>
      </c>
      <c r="F47" s="3698">
        <v>1715027.6012910379</v>
      </c>
      <c r="G47" s="3699">
        <v>183994.41596000004</v>
      </c>
      <c r="H47" s="3701">
        <v>189665.68303014999</v>
      </c>
      <c r="I47" s="3702">
        <v>4179555.0367293237</v>
      </c>
      <c r="J47" s="3699">
        <v>1217746.8580000002</v>
      </c>
      <c r="K47" s="3701">
        <v>2158888.6677293242</v>
      </c>
      <c r="L47" s="2855" t="s">
        <v>2147</v>
      </c>
      <c r="M47" s="2617" t="s">
        <v>2147</v>
      </c>
      <c r="N47" s="2610" t="s">
        <v>2147</v>
      </c>
    </row>
    <row r="48" spans="2:14" ht="18" customHeight="1" x14ac:dyDescent="0.2">
      <c r="B48" s="1500">
        <v>1998</v>
      </c>
      <c r="C48" s="3698">
        <v>4156902.0425469703</v>
      </c>
      <c r="D48" s="3699">
        <v>790705.33087999991</v>
      </c>
      <c r="E48" s="3700">
        <v>398775.49293648999</v>
      </c>
      <c r="F48" s="3698">
        <v>1910515.056285358</v>
      </c>
      <c r="G48" s="3699">
        <v>192284.40011999995</v>
      </c>
      <c r="H48" s="3701">
        <v>208927.19715251002</v>
      </c>
      <c r="I48" s="3702">
        <v>4789606.295726818</v>
      </c>
      <c r="J48" s="3699">
        <v>1339247.1410000003</v>
      </c>
      <c r="K48" s="3701">
        <v>2652970.8877268177</v>
      </c>
      <c r="L48" s="2855" t="s">
        <v>2147</v>
      </c>
      <c r="M48" s="2617" t="s">
        <v>2147</v>
      </c>
      <c r="N48" s="2610" t="s">
        <v>2147</v>
      </c>
    </row>
    <row r="49" spans="2:14" ht="18" customHeight="1" x14ac:dyDescent="0.2">
      <c r="B49" s="1500">
        <v>1999</v>
      </c>
      <c r="C49" s="3698">
        <v>4326232.1717174808</v>
      </c>
      <c r="D49" s="3699">
        <v>751650.49853999983</v>
      </c>
      <c r="E49" s="3700">
        <v>848885.55098149995</v>
      </c>
      <c r="F49" s="3698">
        <v>1892125.2047857156</v>
      </c>
      <c r="G49" s="3699">
        <v>229409.42745999998</v>
      </c>
      <c r="H49" s="3701">
        <v>224543.06116850005</v>
      </c>
      <c r="I49" s="3702">
        <v>4581821.7478571441</v>
      </c>
      <c r="J49" s="3699">
        <v>1297220.0039999997</v>
      </c>
      <c r="K49" s="3701">
        <v>2402884.3298571426</v>
      </c>
      <c r="L49" s="2855" t="s">
        <v>2147</v>
      </c>
      <c r="M49" s="2617" t="s">
        <v>2147</v>
      </c>
      <c r="N49" s="2610" t="s">
        <v>2147</v>
      </c>
    </row>
    <row r="50" spans="2:14" ht="18" customHeight="1" x14ac:dyDescent="0.2">
      <c r="B50" s="1500">
        <v>2000</v>
      </c>
      <c r="C50" s="3698">
        <v>5013507.1072768886</v>
      </c>
      <c r="D50" s="3699">
        <v>951794.77627999999</v>
      </c>
      <c r="E50" s="3700">
        <v>1186643.0043764</v>
      </c>
      <c r="F50" s="3698">
        <v>2108506.9300064533</v>
      </c>
      <c r="G50" s="3699">
        <v>320101.5467200001</v>
      </c>
      <c r="H50" s="3701">
        <v>232470.00187559999</v>
      </c>
      <c r="I50" s="3702">
        <v>5269897.3059147866</v>
      </c>
      <c r="J50" s="3699">
        <v>1510591.9250000003</v>
      </c>
      <c r="K50" s="3701">
        <v>2910246.702914787</v>
      </c>
      <c r="L50" s="2855" t="s">
        <v>2147</v>
      </c>
      <c r="M50" s="2617" t="s">
        <v>2147</v>
      </c>
      <c r="N50" s="2610" t="s">
        <v>2147</v>
      </c>
    </row>
    <row r="51" spans="2:14" ht="18" customHeight="1" x14ac:dyDescent="0.2">
      <c r="B51" s="1500">
        <v>2001</v>
      </c>
      <c r="C51" s="3698">
        <v>4922473.9083004314</v>
      </c>
      <c r="D51" s="3699">
        <v>718920.62997999985</v>
      </c>
      <c r="E51" s="3700">
        <v>1075488.0502506001</v>
      </c>
      <c r="F51" s="3698">
        <v>2121655.4264477696</v>
      </c>
      <c r="G51" s="3699">
        <v>259535.48902000001</v>
      </c>
      <c r="H51" s="3701">
        <v>428699.45010740007</v>
      </c>
      <c r="I51" s="3702">
        <v>5343028.9695238089</v>
      </c>
      <c r="J51" s="3699">
        <v>1409822.0429999998</v>
      </c>
      <c r="K51" s="3701">
        <v>3172449.2765238099</v>
      </c>
      <c r="L51" s="2855" t="s">
        <v>2147</v>
      </c>
      <c r="M51" s="2617" t="s">
        <v>2147</v>
      </c>
      <c r="N51" s="2610" t="s">
        <v>2147</v>
      </c>
    </row>
    <row r="52" spans="2:14" ht="18" customHeight="1" x14ac:dyDescent="0.2">
      <c r="B52" s="1500">
        <v>2002</v>
      </c>
      <c r="C52" s="3698">
        <v>5248710.6626437306</v>
      </c>
      <c r="D52" s="3699">
        <v>755902.48</v>
      </c>
      <c r="E52" s="3700">
        <v>1225198.1584492</v>
      </c>
      <c r="F52" s="3698">
        <v>2211729.8911758112</v>
      </c>
      <c r="G52" s="3699">
        <v>279441.51999999996</v>
      </c>
      <c r="H52" s="3701">
        <v>451286.66790679988</v>
      </c>
      <c r="I52" s="3702">
        <v>5388635.3130200496</v>
      </c>
      <c r="J52" s="3699">
        <v>1335502.2549769506</v>
      </c>
      <c r="K52" s="3701">
        <v>3218445.8460200489</v>
      </c>
      <c r="L52" s="2855" t="s">
        <v>2147</v>
      </c>
      <c r="M52" s="2617" t="s">
        <v>2147</v>
      </c>
      <c r="N52" s="2610" t="s">
        <v>2147</v>
      </c>
    </row>
    <row r="53" spans="2:14" ht="18" customHeight="1" x14ac:dyDescent="0.2">
      <c r="B53" s="1500">
        <v>2003</v>
      </c>
      <c r="C53" s="3698">
        <v>5353393.6697444208</v>
      </c>
      <c r="D53" s="3699">
        <v>820830.3</v>
      </c>
      <c r="E53" s="3700">
        <v>1303607.9424135</v>
      </c>
      <c r="F53" s="3698">
        <v>2286313.6502323076</v>
      </c>
      <c r="G53" s="3699">
        <v>310815.7</v>
      </c>
      <c r="H53" s="3701">
        <v>425142.60389149992</v>
      </c>
      <c r="I53" s="3702">
        <v>5887072.7636215538</v>
      </c>
      <c r="J53" s="3699">
        <v>1465836.2938338059</v>
      </c>
      <c r="K53" s="3701">
        <v>3567381.1556215542</v>
      </c>
      <c r="L53" s="2855" t="s">
        <v>2147</v>
      </c>
      <c r="M53" s="2617" t="s">
        <v>2147</v>
      </c>
      <c r="N53" s="2610" t="s">
        <v>2147</v>
      </c>
    </row>
    <row r="54" spans="2:14" ht="18" customHeight="1" x14ac:dyDescent="0.2">
      <c r="B54" s="1500">
        <v>2004</v>
      </c>
      <c r="C54" s="3698">
        <v>5593543.9469213914</v>
      </c>
      <c r="D54" s="3699">
        <v>874977.20999999985</v>
      </c>
      <c r="E54" s="3700">
        <v>1428066.5236779</v>
      </c>
      <c r="F54" s="3698">
        <v>2321078.2419727989</v>
      </c>
      <c r="G54" s="3699">
        <v>252927.37999999998</v>
      </c>
      <c r="H54" s="3701">
        <v>415905.13871910021</v>
      </c>
      <c r="I54" s="3702">
        <v>5907309.0617669169</v>
      </c>
      <c r="J54" s="3699">
        <v>1740468.7642332453</v>
      </c>
      <c r="K54" s="3701">
        <v>3539646.6927669174</v>
      </c>
      <c r="L54" s="2855" t="s">
        <v>2147</v>
      </c>
      <c r="M54" s="2617" t="s">
        <v>2147</v>
      </c>
      <c r="N54" s="2610" t="s">
        <v>2147</v>
      </c>
    </row>
    <row r="55" spans="2:14" ht="18" customHeight="1" x14ac:dyDescent="0.2">
      <c r="B55" s="1500">
        <v>2005</v>
      </c>
      <c r="C55" s="3698">
        <v>5235683.7380820503</v>
      </c>
      <c r="D55" s="3699">
        <v>883894.58000000019</v>
      </c>
      <c r="E55" s="3700">
        <v>997316.27812459995</v>
      </c>
      <c r="F55" s="3698">
        <v>2259594.5438162345</v>
      </c>
      <c r="G55" s="3699">
        <v>236834.68000000008</v>
      </c>
      <c r="H55" s="3701">
        <v>471397.46205340017</v>
      </c>
      <c r="I55" s="3702">
        <v>6158912.8551629074</v>
      </c>
      <c r="J55" s="3699">
        <v>1889003.0333751184</v>
      </c>
      <c r="K55" s="3701">
        <v>3697259.1501629087</v>
      </c>
      <c r="L55" s="2855" t="s">
        <v>2147</v>
      </c>
      <c r="M55" s="2617" t="s">
        <v>2147</v>
      </c>
      <c r="N55" s="2610" t="s">
        <v>2147</v>
      </c>
    </row>
    <row r="56" spans="2:14" ht="18" customHeight="1" x14ac:dyDescent="0.2">
      <c r="B56" s="1500">
        <v>2006</v>
      </c>
      <c r="C56" s="3698">
        <v>5379066.7610183572</v>
      </c>
      <c r="D56" s="3699">
        <v>741530.32559999998</v>
      </c>
      <c r="E56" s="3700">
        <v>1156206.0056965998</v>
      </c>
      <c r="F56" s="3698">
        <v>2328506.0624912512</v>
      </c>
      <c r="G56" s="3699">
        <v>251517.14439999999</v>
      </c>
      <c r="H56" s="3701">
        <v>441707.40244139999</v>
      </c>
      <c r="I56" s="3702">
        <v>5990338.1018421063</v>
      </c>
      <c r="J56" s="3699">
        <v>2125367.4403825295</v>
      </c>
      <c r="K56" s="3701">
        <v>3596718.1758421063</v>
      </c>
      <c r="L56" s="2855" t="s">
        <v>2147</v>
      </c>
      <c r="M56" s="2617" t="s">
        <v>2147</v>
      </c>
      <c r="N56" s="2610" t="s">
        <v>2147</v>
      </c>
    </row>
    <row r="57" spans="2:14" ht="18" customHeight="1" x14ac:dyDescent="0.2">
      <c r="B57" s="1500">
        <v>2007</v>
      </c>
      <c r="C57" s="3698">
        <v>5584512.320065273</v>
      </c>
      <c r="D57" s="3699">
        <v>705607.04986000003</v>
      </c>
      <c r="E57" s="3700">
        <v>1566791.7163288</v>
      </c>
      <c r="F57" s="3698">
        <v>2171043.1622114293</v>
      </c>
      <c r="G57" s="3699">
        <v>297052.76814</v>
      </c>
      <c r="H57" s="3701">
        <v>304199.24985519948</v>
      </c>
      <c r="I57" s="3702">
        <v>6300466.7906892244</v>
      </c>
      <c r="J57" s="3699">
        <v>1882320.825007542</v>
      </c>
      <c r="K57" s="3701">
        <v>3910476.2946892236</v>
      </c>
      <c r="L57" s="2855" t="s">
        <v>2147</v>
      </c>
      <c r="M57" s="2617" t="s">
        <v>2147</v>
      </c>
      <c r="N57" s="2610" t="s">
        <v>2147</v>
      </c>
    </row>
    <row r="58" spans="2:14" ht="18" customHeight="1" x14ac:dyDescent="0.2">
      <c r="B58" s="1500">
        <v>2008</v>
      </c>
      <c r="C58" s="3698">
        <v>5494276.8854115317</v>
      </c>
      <c r="D58" s="3699">
        <v>838301.22981999989</v>
      </c>
      <c r="E58" s="3700">
        <v>1402405.6273563998</v>
      </c>
      <c r="F58" s="3698">
        <v>2214718.6248075338</v>
      </c>
      <c r="G58" s="3699">
        <v>324165.36317999993</v>
      </c>
      <c r="H58" s="3701">
        <v>244095.46029559994</v>
      </c>
      <c r="I58" s="3702">
        <v>6496912.2482706755</v>
      </c>
      <c r="J58" s="3699">
        <v>1853508.3144619358</v>
      </c>
      <c r="K58" s="3701">
        <v>4010441.5052406774</v>
      </c>
      <c r="L58" s="2855" t="s">
        <v>2147</v>
      </c>
      <c r="M58" s="2617" t="s">
        <v>2147</v>
      </c>
      <c r="N58" s="2610" t="s">
        <v>2147</v>
      </c>
    </row>
    <row r="59" spans="2:14" ht="18" customHeight="1" x14ac:dyDescent="0.2">
      <c r="B59" s="1502">
        <v>2009</v>
      </c>
      <c r="C59" s="3703">
        <v>4813340.382553611</v>
      </c>
      <c r="D59" s="3704">
        <v>672185.09002</v>
      </c>
      <c r="E59" s="3705">
        <v>1551571.5062524998</v>
      </c>
      <c r="F59" s="3703">
        <v>2027914.3204141171</v>
      </c>
      <c r="G59" s="3704">
        <v>263746.37897999998</v>
      </c>
      <c r="H59" s="3706">
        <v>270599.92982249992</v>
      </c>
      <c r="I59" s="3707">
        <v>6060057.4897744358</v>
      </c>
      <c r="J59" s="3704">
        <v>1676984.8218018175</v>
      </c>
      <c r="K59" s="3706">
        <v>3560271.964424436</v>
      </c>
      <c r="L59" s="2863" t="s">
        <v>2147</v>
      </c>
      <c r="M59" s="2864" t="s">
        <v>2147</v>
      </c>
      <c r="N59" s="2865" t="s">
        <v>2147</v>
      </c>
    </row>
    <row r="60" spans="2:14" ht="18" customHeight="1" x14ac:dyDescent="0.2">
      <c r="B60" s="1502">
        <v>2010</v>
      </c>
      <c r="C60" s="3703">
        <v>5388878.630476932</v>
      </c>
      <c r="D60" s="3704">
        <v>772823.82259999996</v>
      </c>
      <c r="E60" s="3705">
        <v>1980358.4855854998</v>
      </c>
      <c r="F60" s="3703">
        <v>2031060.9003293335</v>
      </c>
      <c r="G60" s="3704">
        <v>296507.19439999998</v>
      </c>
      <c r="H60" s="3706">
        <v>197447.70667949997</v>
      </c>
      <c r="I60" s="3707">
        <v>5647020.5049874689</v>
      </c>
      <c r="J60" s="3704">
        <v>1748609.6519635338</v>
      </c>
      <c r="K60" s="3706">
        <v>3533274.0624374682</v>
      </c>
      <c r="L60" s="2863" t="s">
        <v>2147</v>
      </c>
      <c r="M60" s="2864" t="s">
        <v>2147</v>
      </c>
      <c r="N60" s="2865" t="s">
        <v>2147</v>
      </c>
    </row>
    <row r="61" spans="2:14" ht="18" customHeight="1" x14ac:dyDescent="0.2">
      <c r="B61" s="1502">
        <v>2011</v>
      </c>
      <c r="C61" s="3703">
        <v>5276400.7018223517</v>
      </c>
      <c r="D61" s="3704">
        <v>865972.92440000002</v>
      </c>
      <c r="E61" s="3705">
        <v>2138890.2287556999</v>
      </c>
      <c r="F61" s="3703">
        <v>2038126.2910031497</v>
      </c>
      <c r="G61" s="3704">
        <v>333488.94560000004</v>
      </c>
      <c r="H61" s="3706">
        <v>159100.9608953</v>
      </c>
      <c r="I61" s="3707">
        <v>5888337.7333959909</v>
      </c>
      <c r="J61" s="3704">
        <v>1895493.0876581203</v>
      </c>
      <c r="K61" s="3706">
        <v>3766218.5338359904</v>
      </c>
      <c r="L61" s="2863" t="s">
        <v>2147</v>
      </c>
      <c r="M61" s="2864" t="s">
        <v>2147</v>
      </c>
      <c r="N61" s="2865" t="s">
        <v>2147</v>
      </c>
    </row>
    <row r="62" spans="2:14" ht="18" customHeight="1" x14ac:dyDescent="0.2">
      <c r="B62" s="1502">
        <v>2012</v>
      </c>
      <c r="C62" s="3703">
        <v>5298872.3747710995</v>
      </c>
      <c r="D62" s="3704">
        <v>806882.06850000017</v>
      </c>
      <c r="E62" s="3705">
        <v>2052726.9405436639</v>
      </c>
      <c r="F62" s="3703">
        <v>1791881.823981144</v>
      </c>
      <c r="G62" s="3704">
        <v>369224.55250000005</v>
      </c>
      <c r="H62" s="3706">
        <v>121329.81270540004</v>
      </c>
      <c r="I62" s="3707">
        <v>5423066.0992049724</v>
      </c>
      <c r="J62" s="3704">
        <v>1745770.2109147478</v>
      </c>
      <c r="K62" s="3706">
        <v>3349975.8556049736</v>
      </c>
      <c r="L62" s="2863" t="s">
        <v>2147</v>
      </c>
      <c r="M62" s="2864" t="s">
        <v>2147</v>
      </c>
      <c r="N62" s="2865" t="s">
        <v>2147</v>
      </c>
    </row>
    <row r="63" spans="2:14" ht="18" customHeight="1" x14ac:dyDescent="0.2">
      <c r="B63" s="1502">
        <v>2013</v>
      </c>
      <c r="C63" s="3703">
        <v>4929324.4326487388</v>
      </c>
      <c r="D63" s="3704">
        <v>767915.52032000013</v>
      </c>
      <c r="E63" s="3705">
        <v>1679164.8552712884</v>
      </c>
      <c r="F63" s="3703">
        <v>1755951.4380561926</v>
      </c>
      <c r="G63" s="3704">
        <v>347860.98267999996</v>
      </c>
      <c r="H63" s="3706">
        <v>81326.734135000006</v>
      </c>
      <c r="I63" s="3707">
        <v>5083149.3905738657</v>
      </c>
      <c r="J63" s="3704">
        <v>1798194.5744649328</v>
      </c>
      <c r="K63" s="3706">
        <v>3164740.4607638675</v>
      </c>
      <c r="L63" s="2863" t="s">
        <v>2147</v>
      </c>
      <c r="M63" s="2864" t="s">
        <v>2147</v>
      </c>
      <c r="N63" s="2865" t="s">
        <v>2147</v>
      </c>
    </row>
    <row r="64" spans="2:14" ht="18" customHeight="1" x14ac:dyDescent="0.2">
      <c r="B64" s="1502">
        <v>2014</v>
      </c>
      <c r="C64" s="3703">
        <v>5679961.9865752012</v>
      </c>
      <c r="D64" s="3704">
        <v>828621.18686000002</v>
      </c>
      <c r="E64" s="3705">
        <v>2456445.7723739706</v>
      </c>
      <c r="F64" s="3703">
        <v>1789256.7669089327</v>
      </c>
      <c r="G64" s="3704">
        <v>371799.12814000004</v>
      </c>
      <c r="H64" s="3706">
        <v>110992.41430810002</v>
      </c>
      <c r="I64" s="3707">
        <v>5671653.0839530984</v>
      </c>
      <c r="J64" s="3704">
        <v>1728724.0390927289</v>
      </c>
      <c r="K64" s="3706">
        <v>3812545.2126731006</v>
      </c>
      <c r="L64" s="2863" t="s">
        <v>2147</v>
      </c>
      <c r="M64" s="2864" t="s">
        <v>2147</v>
      </c>
      <c r="N64" s="2865" t="s">
        <v>2147</v>
      </c>
    </row>
    <row r="65" spans="2:14" ht="18" customHeight="1" x14ac:dyDescent="0.2">
      <c r="B65" s="1502">
        <v>2015</v>
      </c>
      <c r="C65" s="3703">
        <v>5973095.8705932386</v>
      </c>
      <c r="D65" s="3704">
        <v>988643.04079999996</v>
      </c>
      <c r="E65" s="3705">
        <v>2766225.5339847514</v>
      </c>
      <c r="F65" s="3703">
        <v>1862034.1068604595</v>
      </c>
      <c r="G65" s="3704">
        <v>428482.4032</v>
      </c>
      <c r="H65" s="3706">
        <v>111274.68371430006</v>
      </c>
      <c r="I65" s="3707">
        <v>6277543.5158731416</v>
      </c>
      <c r="J65" s="3704">
        <v>1650722.3526814783</v>
      </c>
      <c r="K65" s="3706">
        <v>4292046.8601831431</v>
      </c>
      <c r="L65" s="2863" t="s">
        <v>2147</v>
      </c>
      <c r="M65" s="2864" t="s">
        <v>2147</v>
      </c>
      <c r="N65" s="2865" t="s">
        <v>2147</v>
      </c>
    </row>
    <row r="66" spans="2:14" ht="18" customHeight="1" x14ac:dyDescent="0.2">
      <c r="B66" s="1502">
        <v>2016</v>
      </c>
      <c r="C66" s="3703">
        <v>6646910.006334601</v>
      </c>
      <c r="D66" s="3704">
        <v>904287.63964000007</v>
      </c>
      <c r="E66" s="3705">
        <v>3391824.1904279995</v>
      </c>
      <c r="F66" s="3703">
        <v>1946579.538354452</v>
      </c>
      <c r="G66" s="3704">
        <v>432348.31535999995</v>
      </c>
      <c r="H66" s="3706">
        <v>124266.42284410007</v>
      </c>
      <c r="I66" s="3707">
        <v>6774218.9947190313</v>
      </c>
      <c r="J66" s="3704">
        <v>1594790.1609875951</v>
      </c>
      <c r="K66" s="3706">
        <v>4670974.9091490349</v>
      </c>
      <c r="L66" s="2863" t="s">
        <v>2147</v>
      </c>
      <c r="M66" s="2864" t="s">
        <v>2147</v>
      </c>
      <c r="N66" s="2865" t="s">
        <v>2147</v>
      </c>
    </row>
    <row r="67" spans="2:14" ht="18" customHeight="1" x14ac:dyDescent="0.2">
      <c r="B67" s="1502">
        <v>2017</v>
      </c>
      <c r="C67" s="3703">
        <v>7382438.1357187163</v>
      </c>
      <c r="D67" s="3704">
        <v>871804.00048000005</v>
      </c>
      <c r="E67" s="3705">
        <v>3882785.6228409237</v>
      </c>
      <c r="F67" s="3703">
        <v>2017446.1811486157</v>
      </c>
      <c r="G67" s="3704">
        <v>500232.44352000009</v>
      </c>
      <c r="H67" s="3706">
        <v>106320.99271360012</v>
      </c>
      <c r="I67" s="3707">
        <v>7185946.4674198823</v>
      </c>
      <c r="J67" s="3704">
        <v>1516482.4662435791</v>
      </c>
      <c r="K67" s="3706">
        <v>5107421.3969698856</v>
      </c>
      <c r="L67" s="2863" t="s">
        <v>2147</v>
      </c>
      <c r="M67" s="2864" t="s">
        <v>2147</v>
      </c>
      <c r="N67" s="2865" t="s">
        <v>2147</v>
      </c>
    </row>
    <row r="68" spans="2:14" ht="18" customHeight="1" x14ac:dyDescent="0.2">
      <c r="B68" s="1502">
        <v>2018</v>
      </c>
      <c r="C68" s="3703">
        <v>7610839.262539722</v>
      </c>
      <c r="D68" s="3704">
        <v>1107257.8408599999</v>
      </c>
      <c r="E68" s="3705">
        <v>4298796.7664881181</v>
      </c>
      <c r="F68" s="3703">
        <v>1998936.8999699212</v>
      </c>
      <c r="G68" s="3704">
        <v>656539.16914000001</v>
      </c>
      <c r="H68" s="3706">
        <v>80327.110956400007</v>
      </c>
      <c r="I68" s="3707">
        <v>7334007.5576849831</v>
      </c>
      <c r="J68" s="3704">
        <v>1453200.4261838449</v>
      </c>
      <c r="K68" s="3706">
        <v>5219607.4872849844</v>
      </c>
      <c r="L68" s="2863" t="s">
        <v>2147</v>
      </c>
      <c r="M68" s="2864" t="s">
        <v>2147</v>
      </c>
      <c r="N68" s="2865" t="s">
        <v>2147</v>
      </c>
    </row>
    <row r="69" spans="2:14" ht="18" customHeight="1" x14ac:dyDescent="0.2">
      <c r="B69" s="1502">
        <v>2019</v>
      </c>
      <c r="C69" s="3703">
        <v>7283134.1408999339</v>
      </c>
      <c r="D69" s="3704">
        <v>1075727.16402</v>
      </c>
      <c r="E69" s="3705">
        <v>3999829.8011455322</v>
      </c>
      <c r="F69" s="3703">
        <v>1995255.8051399831</v>
      </c>
      <c r="G69" s="3704">
        <v>580146.62297999999</v>
      </c>
      <c r="H69" s="3706">
        <v>71966.392156791742</v>
      </c>
      <c r="I69" s="3707">
        <v>7327815.3294824464</v>
      </c>
      <c r="J69" s="3704">
        <v>1404844.8876910061</v>
      </c>
      <c r="K69" s="3706">
        <v>5252894.8287424473</v>
      </c>
      <c r="L69" s="2863" t="s">
        <v>2147</v>
      </c>
      <c r="M69" s="2864" t="s">
        <v>2147</v>
      </c>
      <c r="N69" s="2865" t="s">
        <v>2147</v>
      </c>
    </row>
    <row r="70" spans="2:14" ht="18" customHeight="1" x14ac:dyDescent="0.2">
      <c r="B70" s="1502">
        <v>2020</v>
      </c>
      <c r="C70" s="3703">
        <v>7364966.4889035225</v>
      </c>
      <c r="D70" s="3704">
        <v>743447.80053999997</v>
      </c>
      <c r="E70" s="3705">
        <v>3965518.7568024015</v>
      </c>
      <c r="F70" s="3703">
        <v>2027190.6297984037</v>
      </c>
      <c r="G70" s="3704">
        <v>471711.41245999996</v>
      </c>
      <c r="H70" s="3706">
        <v>94888.333058536751</v>
      </c>
      <c r="I70" s="3707">
        <v>6067338.6893050754</v>
      </c>
      <c r="J70" s="3704">
        <v>1335820.5264948118</v>
      </c>
      <c r="K70" s="3706">
        <v>4118752.9172950746</v>
      </c>
      <c r="L70" s="2863" t="s">
        <v>2147</v>
      </c>
      <c r="M70" s="2864" t="s">
        <v>2147</v>
      </c>
      <c r="N70" s="2865" t="s">
        <v>2147</v>
      </c>
    </row>
    <row r="71" spans="2:14" ht="18" customHeight="1" thickBot="1" x14ac:dyDescent="0.25">
      <c r="B71" s="1501">
        <v>2021</v>
      </c>
      <c r="C71" s="3708">
        <v>6647265.8971617045</v>
      </c>
      <c r="D71" s="3709">
        <v>896160.43604000018</v>
      </c>
      <c r="E71" s="3710">
        <v>2887457.7656253991</v>
      </c>
      <c r="F71" s="3708">
        <v>2077613.5151912225</v>
      </c>
      <c r="G71" s="3709">
        <v>550170.68996000011</v>
      </c>
      <c r="H71" s="3711">
        <v>99003.386347999956</v>
      </c>
      <c r="I71" s="3712">
        <v>5659919.1999140857</v>
      </c>
      <c r="J71" s="3709">
        <v>1138116.4840166802</v>
      </c>
      <c r="K71" s="3711">
        <v>3719705.2844440881</v>
      </c>
      <c r="L71" s="2866" t="s">
        <v>2147</v>
      </c>
      <c r="M71" s="2624" t="s">
        <v>2147</v>
      </c>
      <c r="N71" s="2615" t="s">
        <v>2147</v>
      </c>
    </row>
    <row r="73" spans="2:14" ht="15.75" x14ac:dyDescent="0.2">
      <c r="B73" s="603"/>
      <c r="C73" s="608"/>
      <c r="D73" s="608"/>
      <c r="E73" s="608"/>
      <c r="F73" s="608"/>
      <c r="G73" s="608"/>
      <c r="H73" s="608"/>
      <c r="I73" s="608"/>
      <c r="J73" s="608"/>
      <c r="K73" s="608"/>
      <c r="L73" s="608"/>
      <c r="M73" s="608"/>
      <c r="N73" s="608"/>
    </row>
    <row r="74" spans="2:14" ht="15.75" x14ac:dyDescent="0.2">
      <c r="B74" s="603"/>
      <c r="C74" s="608"/>
      <c r="D74" s="608"/>
      <c r="E74" s="608"/>
      <c r="F74" s="608"/>
      <c r="G74" s="608"/>
      <c r="H74" s="608"/>
      <c r="I74" s="608"/>
      <c r="J74" s="608"/>
      <c r="K74" s="608"/>
      <c r="L74" s="608"/>
      <c r="M74" s="608"/>
      <c r="N74" s="608"/>
    </row>
    <row r="75" spans="2:14" ht="15.75" x14ac:dyDescent="0.2">
      <c r="B75" s="603"/>
      <c r="C75" s="608"/>
      <c r="D75" s="608"/>
      <c r="E75" s="608"/>
      <c r="F75" s="608"/>
      <c r="G75" s="608"/>
      <c r="H75" s="608"/>
      <c r="I75" s="608"/>
      <c r="J75" s="608"/>
      <c r="K75" s="608"/>
      <c r="L75" s="608"/>
      <c r="M75" s="608"/>
      <c r="N75" s="608"/>
    </row>
    <row r="76" spans="2:14" ht="15.75" x14ac:dyDescent="0.2">
      <c r="B76" s="603"/>
      <c r="C76" s="608"/>
      <c r="D76" s="608"/>
      <c r="E76" s="608"/>
      <c r="F76" s="608"/>
      <c r="G76" s="608"/>
      <c r="H76" s="608"/>
      <c r="I76" s="608"/>
      <c r="J76" s="608"/>
      <c r="K76" s="608"/>
      <c r="L76" s="608"/>
      <c r="M76" s="608"/>
      <c r="N76" s="608"/>
    </row>
    <row r="77" spans="2:14" ht="15.75" x14ac:dyDescent="0.2">
      <c r="B77" s="609"/>
      <c r="C77" s="610"/>
      <c r="D77" s="610"/>
      <c r="E77" s="610"/>
      <c r="F77" s="610"/>
      <c r="G77" s="610"/>
      <c r="H77" s="610"/>
      <c r="I77" s="610"/>
      <c r="J77" s="610"/>
      <c r="K77" s="610"/>
      <c r="L77" s="610"/>
      <c r="M77" s="610"/>
      <c r="N77" s="610"/>
    </row>
    <row r="78" spans="2:14" ht="15.75" x14ac:dyDescent="0.2">
      <c r="B78" s="609"/>
      <c r="C78" s="610"/>
      <c r="D78" s="610"/>
      <c r="E78" s="610"/>
      <c r="F78" s="610"/>
      <c r="G78" s="610"/>
      <c r="H78" s="610"/>
      <c r="I78" s="610"/>
      <c r="J78" s="610"/>
      <c r="K78" s="610"/>
      <c r="L78" s="610"/>
      <c r="M78" s="610"/>
      <c r="N78" s="610"/>
    </row>
    <row r="79" spans="2:14" ht="16.5" thickBot="1" x14ac:dyDescent="0.25">
      <c r="B79" s="609"/>
      <c r="C79" s="610"/>
      <c r="D79" s="610"/>
      <c r="E79" s="610"/>
      <c r="F79" s="610"/>
      <c r="G79" s="610"/>
      <c r="H79" s="610"/>
      <c r="I79" s="610"/>
      <c r="J79" s="610"/>
      <c r="K79" s="610"/>
      <c r="L79" s="610"/>
      <c r="M79" s="610"/>
      <c r="N79" s="610"/>
    </row>
    <row r="80" spans="2:14" x14ac:dyDescent="0.2">
      <c r="B80" s="849" t="s">
        <v>390</v>
      </c>
      <c r="C80" s="900"/>
      <c r="D80" s="900"/>
      <c r="E80" s="900"/>
      <c r="F80" s="900"/>
      <c r="G80" s="900"/>
      <c r="H80" s="900"/>
      <c r="I80" s="900"/>
      <c r="J80" s="900"/>
      <c r="K80" s="900"/>
      <c r="L80" s="900"/>
      <c r="M80" s="900"/>
      <c r="N80" s="1115"/>
    </row>
    <row r="81" spans="2:14" x14ac:dyDescent="0.2">
      <c r="B81" s="1329"/>
      <c r="C81" s="1342"/>
      <c r="D81" s="1342"/>
      <c r="E81" s="1342"/>
      <c r="F81" s="1342"/>
      <c r="G81" s="1342"/>
      <c r="H81" s="1342"/>
      <c r="I81" s="1342"/>
      <c r="J81" s="1342"/>
      <c r="K81" s="1342"/>
      <c r="L81" s="1342"/>
      <c r="M81" s="1342"/>
      <c r="N81" s="1343"/>
    </row>
    <row r="82" spans="2:14" x14ac:dyDescent="0.2">
      <c r="B82" s="1329"/>
      <c r="C82" s="1342"/>
      <c r="D82" s="1342"/>
      <c r="E82" s="1342"/>
      <c r="F82" s="1342"/>
      <c r="G82" s="1342"/>
      <c r="H82" s="1342"/>
      <c r="I82" s="1342"/>
      <c r="J82" s="1342"/>
      <c r="K82" s="1342"/>
      <c r="L82" s="1342"/>
      <c r="M82" s="1342"/>
      <c r="N82" s="1343"/>
    </row>
    <row r="83" spans="2:14" x14ac:dyDescent="0.2">
      <c r="B83" s="1329"/>
      <c r="C83" s="1342"/>
      <c r="D83" s="1342"/>
      <c r="E83" s="1342"/>
      <c r="F83" s="1342"/>
      <c r="G83" s="1342"/>
      <c r="H83" s="1342"/>
      <c r="I83" s="1342"/>
      <c r="J83" s="1342"/>
      <c r="K83" s="1342"/>
      <c r="L83" s="1342"/>
      <c r="M83" s="1342"/>
      <c r="N83" s="1343"/>
    </row>
    <row r="84" spans="2:14" x14ac:dyDescent="0.2">
      <c r="B84" s="4508" t="s">
        <v>2290</v>
      </c>
      <c r="C84" s="4509"/>
      <c r="D84" s="4509"/>
      <c r="E84" s="4509"/>
      <c r="F84" s="4509"/>
      <c r="G84" s="4509"/>
      <c r="H84" s="4509"/>
      <c r="I84" s="4509"/>
      <c r="J84" s="4509"/>
      <c r="K84" s="4509"/>
      <c r="L84" s="4509"/>
      <c r="M84" s="4509"/>
      <c r="N84" s="4510"/>
    </row>
    <row r="85" spans="2:14" ht="13.5" thickBot="1" x14ac:dyDescent="0.25">
      <c r="B85" s="4511"/>
      <c r="C85" s="4512"/>
      <c r="D85" s="4512"/>
      <c r="E85" s="4512"/>
      <c r="F85" s="4512"/>
      <c r="G85" s="4512"/>
      <c r="H85" s="4512"/>
      <c r="I85" s="4512"/>
      <c r="J85" s="4512"/>
      <c r="K85" s="4512"/>
      <c r="L85" s="4512"/>
      <c r="M85" s="4512"/>
      <c r="N85" s="4513"/>
    </row>
    <row r="86" spans="2:14" ht="15.75" x14ac:dyDescent="0.2">
      <c r="L86" s="610"/>
      <c r="M86" s="610"/>
      <c r="N86" s="610"/>
    </row>
  </sheetData>
  <mergeCells count="1">
    <mergeCell ref="B84:N85"/>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23.5703125" style="110" customWidth="1"/>
    <col min="11" max="16384" width="8" style="110"/>
  </cols>
  <sheetData>
    <row r="1" spans="1:10" ht="15.75" customHeight="1" x14ac:dyDescent="0.2">
      <c r="B1" s="811" t="s">
        <v>1367</v>
      </c>
      <c r="C1" s="811"/>
      <c r="I1" s="2"/>
      <c r="J1" s="14" t="s">
        <v>2521</v>
      </c>
    </row>
    <row r="2" spans="1:10" ht="15.75" customHeight="1" x14ac:dyDescent="0.2">
      <c r="B2" s="138" t="s">
        <v>62</v>
      </c>
      <c r="I2" s="2"/>
      <c r="J2" s="14" t="s">
        <v>2522</v>
      </c>
    </row>
    <row r="3" spans="1:10" ht="15.75" customHeight="1" x14ac:dyDescent="0.2">
      <c r="I3" s="2"/>
      <c r="J3" s="14" t="s">
        <v>2144</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46" t="s">
        <v>64</v>
      </c>
      <c r="I7" s="137"/>
    </row>
    <row r="8" spans="1:10" ht="13.5" x14ac:dyDescent="0.2">
      <c r="B8" s="4514" t="s">
        <v>1368</v>
      </c>
      <c r="C8" s="1871" t="s">
        <v>1854</v>
      </c>
      <c r="D8" s="1871" t="s">
        <v>67</v>
      </c>
      <c r="E8" s="1871" t="s">
        <v>68</v>
      </c>
      <c r="F8" s="1871" t="s">
        <v>442</v>
      </c>
      <c r="G8" s="1872" t="s">
        <v>70</v>
      </c>
      <c r="H8" s="1873" t="s">
        <v>71</v>
      </c>
      <c r="I8" s="1874" t="s">
        <v>1369</v>
      </c>
      <c r="J8" s="2473" t="s">
        <v>2034</v>
      </c>
    </row>
    <row r="9" spans="1:10" ht="16.5" customHeight="1" thickBot="1" x14ac:dyDescent="0.25">
      <c r="A9" s="83"/>
      <c r="B9" s="4515"/>
      <c r="C9" s="1875" t="s">
        <v>73</v>
      </c>
      <c r="D9" s="1876"/>
      <c r="E9" s="1876"/>
      <c r="F9" s="1876"/>
      <c r="G9" s="1876"/>
      <c r="H9" s="1876"/>
      <c r="I9" s="1877"/>
      <c r="J9" s="1800" t="s">
        <v>2022</v>
      </c>
    </row>
    <row r="10" spans="1:10" ht="18" customHeight="1" thickTop="1" thickBot="1" x14ac:dyDescent="0.25">
      <c r="B10" s="1503" t="s">
        <v>1370</v>
      </c>
      <c r="C10" s="4371">
        <f>IF(SUM(C11,C15,C18,C21)=0,"NO",SUM(C11,C15,C18,C21))</f>
        <v>29.308601056242154</v>
      </c>
      <c r="D10" s="4371">
        <f t="shared" ref="D10:I10" si="0">IF(SUM(D11,D15,D18,D21)=0,"NO",SUM(D11,D15,D18,D21))</f>
        <v>542.94436186458563</v>
      </c>
      <c r="E10" s="4371">
        <f t="shared" si="0"/>
        <v>0.94487305994812654</v>
      </c>
      <c r="F10" s="4371" t="str">
        <f t="shared" si="0"/>
        <v>NO</v>
      </c>
      <c r="G10" s="4371" t="str">
        <f t="shared" si="0"/>
        <v>NO</v>
      </c>
      <c r="H10" s="4371">
        <f t="shared" si="0"/>
        <v>257.8715773858176</v>
      </c>
      <c r="I10" s="4372" t="str">
        <f t="shared" si="0"/>
        <v>NO</v>
      </c>
      <c r="J10" s="4373">
        <f>IF(SUM(C10:E10)=0,"NO",SUM(C10,IFERROR(28*D10,0),IFERROR(265*E10,0)))</f>
        <v>15482.142094150893</v>
      </c>
    </row>
    <row r="11" spans="1:10" ht="18" customHeight="1" x14ac:dyDescent="0.2">
      <c r="B11" s="1504" t="s">
        <v>1371</v>
      </c>
      <c r="C11" s="4374"/>
      <c r="D11" s="2883">
        <f>IF(SUM(D12:D14)=0,"NO",SUM(D12:D14))</f>
        <v>427.25933203</v>
      </c>
      <c r="E11" s="4374"/>
      <c r="F11" s="2883" t="str">
        <f>IF(SUM(F12:F14)=0,"NO",SUM(F12:F14))</f>
        <v>NO</v>
      </c>
      <c r="G11" s="2883" t="str">
        <f t="shared" ref="G11:H11" si="1">IF(SUM(G12:G14)=0,"NO",SUM(G12:G14))</f>
        <v>NO</v>
      </c>
      <c r="H11" s="2883">
        <f t="shared" si="1"/>
        <v>2.8855970310683268</v>
      </c>
      <c r="I11" s="2153"/>
      <c r="J11" s="2872">
        <f t="shared" ref="J11:J18" si="2">IF(SUM(C11:E11)=0,"NO",SUM(C11,IFERROR(28*D11,0),IFERROR(265*E11,0)))</f>
        <v>11963.261296839999</v>
      </c>
    </row>
    <row r="12" spans="1:10" ht="18" customHeight="1" x14ac:dyDescent="0.2">
      <c r="B12" s="1270" t="s">
        <v>1372</v>
      </c>
      <c r="C12" s="4375"/>
      <c r="D12" s="4376">
        <f>IF(SUM(Table5.A!F10:H10)=0,"NO",SUM(Table5.A!F10))</f>
        <v>427.25933203</v>
      </c>
      <c r="E12" s="4375"/>
      <c r="F12" s="4377" t="s">
        <v>2147</v>
      </c>
      <c r="G12" s="4377" t="s">
        <v>2147</v>
      </c>
      <c r="H12" s="4377">
        <v>2.8855970310683268</v>
      </c>
      <c r="I12" s="4378"/>
      <c r="J12" s="4379">
        <f t="shared" si="2"/>
        <v>11963.261296839999</v>
      </c>
    </row>
    <row r="13" spans="1:10" ht="18" customHeight="1" x14ac:dyDescent="0.2">
      <c r="B13" s="1270" t="s">
        <v>1373</v>
      </c>
      <c r="C13" s="4375"/>
      <c r="D13" s="4376" t="str">
        <f>Table5.A!F29</f>
        <v>NO</v>
      </c>
      <c r="E13" s="4375"/>
      <c r="F13" s="4377" t="s">
        <v>2146</v>
      </c>
      <c r="G13" s="4377" t="s">
        <v>2146</v>
      </c>
      <c r="H13" s="4377" t="s">
        <v>2146</v>
      </c>
      <c r="I13" s="4378"/>
      <c r="J13" s="4379" t="str">
        <f t="shared" si="2"/>
        <v>NO</v>
      </c>
    </row>
    <row r="14" spans="1:10" ht="18" customHeight="1" thickBot="1" x14ac:dyDescent="0.25">
      <c r="B14" s="2884" t="s">
        <v>1374</v>
      </c>
      <c r="C14" s="4380"/>
      <c r="D14" s="4381" t="str">
        <f>Table5.A!F35</f>
        <v>NO</v>
      </c>
      <c r="E14" s="4380"/>
      <c r="F14" s="4382" t="s">
        <v>2146</v>
      </c>
      <c r="G14" s="4382" t="s">
        <v>2146</v>
      </c>
      <c r="H14" s="4382" t="s">
        <v>2146</v>
      </c>
      <c r="I14" s="4383"/>
      <c r="J14" s="4384" t="str">
        <f t="shared" si="2"/>
        <v>NO</v>
      </c>
    </row>
    <row r="15" spans="1:10" ht="18" customHeight="1" x14ac:dyDescent="0.2">
      <c r="B15" s="1506" t="s">
        <v>1375</v>
      </c>
      <c r="C15" s="4385"/>
      <c r="D15" s="2881">
        <f>IF(SUM(D16:D17)=0,"NO",SUM(D16:D17))</f>
        <v>2.5227352500000002</v>
      </c>
      <c r="E15" s="2881">
        <f t="shared" ref="E15" si="3">IF(SUM(E16:E17)=0,"NO",SUM(E16:E17))</f>
        <v>0.32291011199999997</v>
      </c>
      <c r="F15" s="2881" t="s">
        <v>2256</v>
      </c>
      <c r="G15" s="2881" t="s">
        <v>2256</v>
      </c>
      <c r="H15" s="2881" t="s">
        <v>2256</v>
      </c>
      <c r="I15" s="4386"/>
      <c r="J15" s="2873">
        <f t="shared" si="2"/>
        <v>156.20776667999999</v>
      </c>
    </row>
    <row r="16" spans="1:10" ht="18" customHeight="1" x14ac:dyDescent="0.2">
      <c r="B16" s="1883" t="s">
        <v>1376</v>
      </c>
      <c r="C16" s="4387"/>
      <c r="D16" s="4376">
        <f>Table5.B!F10</f>
        <v>2.5227352500000002</v>
      </c>
      <c r="E16" s="4376">
        <f>Table5.B!G10</f>
        <v>0.32291011199999997</v>
      </c>
      <c r="F16" s="4388" t="s">
        <v>2147</v>
      </c>
      <c r="G16" s="4388" t="s">
        <v>2147</v>
      </c>
      <c r="H16" s="4388" t="s">
        <v>2147</v>
      </c>
      <c r="I16" s="4378"/>
      <c r="J16" s="4379">
        <f t="shared" si="2"/>
        <v>156.20776667999999</v>
      </c>
    </row>
    <row r="17" spans="2:12" ht="18" customHeight="1" thickBot="1" x14ac:dyDescent="0.25">
      <c r="B17" s="1884" t="s">
        <v>1377</v>
      </c>
      <c r="C17" s="4389"/>
      <c r="D17" s="4381" t="str">
        <f>Table5.B!F14</f>
        <v>NO,NE</v>
      </c>
      <c r="E17" s="4381" t="str">
        <f>Table5.B!G14</f>
        <v>NO,NE</v>
      </c>
      <c r="F17" s="4390" t="s">
        <v>2154</v>
      </c>
      <c r="G17" s="4390" t="s">
        <v>2154</v>
      </c>
      <c r="H17" s="4390" t="s">
        <v>2154</v>
      </c>
      <c r="I17" s="4383"/>
      <c r="J17" s="4384" t="str">
        <f t="shared" si="2"/>
        <v>NO</v>
      </c>
    </row>
    <row r="18" spans="2:12" ht="18" customHeight="1" x14ac:dyDescent="0.2">
      <c r="B18" s="1506" t="s">
        <v>1378</v>
      </c>
      <c r="C18" s="2871">
        <f>IF(SUM(C19:C20)=0,"NO",SUM(C19:C20))</f>
        <v>29.308601056242154</v>
      </c>
      <c r="D18" s="2871" t="str">
        <f>IF(SUM(D19:D20)=0,"NO,NE",SUM(D19:D20))</f>
        <v>NO,NE</v>
      </c>
      <c r="E18" s="2871" t="str">
        <f>IF(SUM(E19:E20)=0,"NO,NE",SUM(E19:E20))</f>
        <v>NO,NE</v>
      </c>
      <c r="F18" s="2871" t="s">
        <v>2147</v>
      </c>
      <c r="G18" s="2871" t="s">
        <v>2147</v>
      </c>
      <c r="H18" s="2871" t="s">
        <v>2147</v>
      </c>
      <c r="I18" s="2871" t="s">
        <v>2147</v>
      </c>
      <c r="J18" s="2874">
        <f t="shared" si="2"/>
        <v>29.308601056242154</v>
      </c>
    </row>
    <row r="19" spans="2:12" ht="18" customHeight="1" x14ac:dyDescent="0.2">
      <c r="B19" s="1270" t="s">
        <v>1379</v>
      </c>
      <c r="C19" s="4376">
        <f>Table5.C!G10</f>
        <v>29.308601056242154</v>
      </c>
      <c r="D19" s="4376" t="str">
        <f>Table5.C!H10</f>
        <v>NO,NE</v>
      </c>
      <c r="E19" s="4376" t="str">
        <f>Table5.C!I10</f>
        <v>NO,NE</v>
      </c>
      <c r="F19" s="4391" t="s">
        <v>2147</v>
      </c>
      <c r="G19" s="4391" t="s">
        <v>2147</v>
      </c>
      <c r="H19" s="4391" t="s">
        <v>2147</v>
      </c>
      <c r="I19" s="4391" t="s">
        <v>2147</v>
      </c>
      <c r="J19" s="4379">
        <f>IF(SUM(C19:E19)=0,"NO",SUM(C19,IFERROR(28*D19,0),IFERROR(265*E19,0)))</f>
        <v>29.308601056242154</v>
      </c>
    </row>
    <row r="20" spans="2:12" ht="18" customHeight="1" thickBot="1" x14ac:dyDescent="0.25">
      <c r="B20" s="1270" t="s">
        <v>1380</v>
      </c>
      <c r="C20" s="4381" t="str">
        <f>Table5.C!G32</f>
        <v>NO</v>
      </c>
      <c r="D20" s="4381" t="str">
        <f>Table5.C!H32</f>
        <v>NO</v>
      </c>
      <c r="E20" s="4381" t="str">
        <f>Table5.C!I32</f>
        <v>NO</v>
      </c>
      <c r="F20" s="4390" t="s">
        <v>2147</v>
      </c>
      <c r="G20" s="4390" t="s">
        <v>2147</v>
      </c>
      <c r="H20" s="4390" t="s">
        <v>2147</v>
      </c>
      <c r="I20" s="4390" t="s">
        <v>2147</v>
      </c>
      <c r="J20" s="4384" t="str">
        <f t="shared" ref="J20:J24" si="4">IF(SUM(C20:E20)=0,"NO",SUM(C20,IFERROR(28*D20,0),IFERROR(265*E20,0)))</f>
        <v>NO</v>
      </c>
    </row>
    <row r="21" spans="2:12" ht="18" customHeight="1" x14ac:dyDescent="0.2">
      <c r="B21" s="1504" t="s">
        <v>1381</v>
      </c>
      <c r="C21" s="4392"/>
      <c r="D21" s="2871">
        <f>IF(SUM(D22:D24)=0,"NO",SUM(D22:D24))</f>
        <v>113.16229458458568</v>
      </c>
      <c r="E21" s="2871">
        <f t="shared" ref="E21:H21" si="5">IF(SUM(E22:E24)=0,"NO",SUM(E22:E24))</f>
        <v>0.62196294794812657</v>
      </c>
      <c r="F21" s="2871" t="str">
        <f t="shared" si="5"/>
        <v>NO</v>
      </c>
      <c r="G21" s="2871" t="str">
        <f t="shared" si="5"/>
        <v>NO</v>
      </c>
      <c r="H21" s="2871">
        <f t="shared" si="5"/>
        <v>254.98598035474927</v>
      </c>
      <c r="I21" s="4393"/>
      <c r="J21" s="2874">
        <f t="shared" si="4"/>
        <v>3333.3644295746526</v>
      </c>
    </row>
    <row r="22" spans="2:12" ht="18" customHeight="1" x14ac:dyDescent="0.2">
      <c r="B22" s="1270" t="s">
        <v>1382</v>
      </c>
      <c r="C22" s="4394"/>
      <c r="D22" s="4376">
        <f>IF(SUM(Table5.D!H10)=0,"NO",SUM(Table5.D!H10))</f>
        <v>58.797586242088734</v>
      </c>
      <c r="E22" s="4376">
        <f>IF(SUM(Table5.D!I10:J10)=0,"NO",SUM(Table5.D!I10:J10))</f>
        <v>0.62196294794812657</v>
      </c>
      <c r="F22" s="4377" t="s">
        <v>2147</v>
      </c>
      <c r="G22" s="4377" t="s">
        <v>2147</v>
      </c>
      <c r="H22" s="4377">
        <v>6.7325757034428166</v>
      </c>
      <c r="I22" s="4378"/>
      <c r="J22" s="4379">
        <f t="shared" si="4"/>
        <v>1811.1525959847381</v>
      </c>
    </row>
    <row r="23" spans="2:12" ht="18" customHeight="1" x14ac:dyDescent="0.2">
      <c r="B23" s="1270" t="s">
        <v>1383</v>
      </c>
      <c r="C23" s="4394"/>
      <c r="D23" s="4376">
        <f>IF(SUM(Table5.D!H11)=0,"NO",SUM(Table5.D!H11))</f>
        <v>54.36470834249694</v>
      </c>
      <c r="E23" s="4376" t="str">
        <f>IF(SUM(Table5.D!I11:J11)=0,"IE",SUM(Table5.D!I11:J11))</f>
        <v>IE</v>
      </c>
      <c r="F23" s="4377" t="s">
        <v>2147</v>
      </c>
      <c r="G23" s="4377" t="s">
        <v>2147</v>
      </c>
      <c r="H23" s="4377">
        <v>248.25340465130645</v>
      </c>
      <c r="I23" s="4378"/>
      <c r="J23" s="4379">
        <f t="shared" si="4"/>
        <v>1522.2118335899142</v>
      </c>
    </row>
    <row r="24" spans="2:12" ht="18" customHeight="1" thickBot="1" x14ac:dyDescent="0.25">
      <c r="B24" s="1271" t="s">
        <v>2079</v>
      </c>
      <c r="C24" s="4395"/>
      <c r="D24" s="4381" t="str">
        <f>Table5.D!H12</f>
        <v>NO</v>
      </c>
      <c r="E24" s="4381" t="str">
        <f>IF(SUM(Table5.D!I12:J12)=0,"NO",SUM(Table5.D!I12:J12))</f>
        <v>NO</v>
      </c>
      <c r="F24" s="4382" t="s">
        <v>2146</v>
      </c>
      <c r="G24" s="4382" t="s">
        <v>2146</v>
      </c>
      <c r="H24" s="4382" t="s">
        <v>2146</v>
      </c>
      <c r="I24" s="4383"/>
      <c r="J24" s="4384" t="str">
        <f t="shared" si="4"/>
        <v>NO</v>
      </c>
    </row>
    <row r="25" spans="2:12" ht="18" customHeight="1" x14ac:dyDescent="0.2">
      <c r="B25" s="1504" t="s">
        <v>2064</v>
      </c>
      <c r="C25" s="2883" t="str">
        <f>C26</f>
        <v>NE</v>
      </c>
      <c r="D25" s="2883" t="str">
        <f t="shared" ref="D25:I25" si="6">D26</f>
        <v>NE</v>
      </c>
      <c r="E25" s="2883" t="str">
        <f t="shared" si="6"/>
        <v>NE</v>
      </c>
      <c r="F25" s="2883" t="str">
        <f t="shared" si="6"/>
        <v>NE</v>
      </c>
      <c r="G25" s="2883" t="str">
        <f t="shared" si="6"/>
        <v>NE</v>
      </c>
      <c r="H25" s="4396" t="str">
        <f t="shared" si="6"/>
        <v>NE</v>
      </c>
      <c r="I25" s="4397" t="str">
        <f t="shared" si="6"/>
        <v>NE</v>
      </c>
      <c r="J25" s="4398" t="s">
        <v>2154</v>
      </c>
      <c r="K25"/>
      <c r="L25"/>
    </row>
    <row r="26" spans="2:12" ht="18" customHeight="1" thickBot="1" x14ac:dyDescent="0.25">
      <c r="B26" s="2870" t="s">
        <v>2258</v>
      </c>
      <c r="C26" s="4390" t="s">
        <v>2154</v>
      </c>
      <c r="D26" s="4390" t="s">
        <v>2154</v>
      </c>
      <c r="E26" s="4390" t="s">
        <v>2154</v>
      </c>
      <c r="F26" s="4390" t="s">
        <v>2154</v>
      </c>
      <c r="G26" s="4390" t="s">
        <v>2154</v>
      </c>
      <c r="H26" s="4390" t="s">
        <v>2154</v>
      </c>
      <c r="I26" s="4399" t="s">
        <v>2154</v>
      </c>
      <c r="J26" s="4400" t="s">
        <v>2154</v>
      </c>
      <c r="K26"/>
      <c r="L26"/>
    </row>
    <row r="27" spans="2:12" ht="18" customHeight="1" x14ac:dyDescent="0.2">
      <c r="B27" s="1504" t="s">
        <v>2035</v>
      </c>
      <c r="C27" s="4401"/>
      <c r="D27" s="4401"/>
      <c r="E27" s="4401"/>
      <c r="F27" s="4401"/>
      <c r="G27" s="4401"/>
      <c r="H27" s="4401"/>
      <c r="I27" s="4402"/>
      <c r="J27" s="4402"/>
      <c r="K27"/>
      <c r="L27"/>
    </row>
    <row r="28" spans="2:12" ht="18" customHeight="1" x14ac:dyDescent="0.2">
      <c r="B28" s="1883" t="s">
        <v>2080</v>
      </c>
      <c r="C28" s="4403">
        <v>-259123.55020694385</v>
      </c>
      <c r="D28" s="4404"/>
      <c r="E28" s="4404"/>
      <c r="F28" s="4404"/>
      <c r="G28" s="4404"/>
      <c r="H28" s="4404"/>
      <c r="I28" s="4405"/>
      <c r="J28" s="4406"/>
      <c r="K28"/>
      <c r="L28"/>
    </row>
    <row r="29" spans="2:12" ht="18" customHeight="1" x14ac:dyDescent="0.2">
      <c r="B29" s="2487" t="s">
        <v>2081</v>
      </c>
      <c r="C29" s="4407">
        <v>-5802.3103864490649</v>
      </c>
      <c r="D29" s="4408"/>
      <c r="E29" s="4408"/>
      <c r="F29" s="4408"/>
      <c r="G29" s="4408"/>
      <c r="H29" s="4408"/>
      <c r="I29" s="4406"/>
      <c r="J29" s="4406"/>
      <c r="K29"/>
      <c r="L29"/>
    </row>
    <row r="30" spans="2:12" ht="29.25" customHeight="1" thickBot="1" x14ac:dyDescent="0.25">
      <c r="B30" s="2488" t="s">
        <v>2082</v>
      </c>
      <c r="C30" s="4409">
        <v>-3313.1195158568112</v>
      </c>
      <c r="D30" s="4410"/>
      <c r="E30" s="4410"/>
      <c r="F30" s="4410"/>
      <c r="G30" s="4410"/>
      <c r="H30" s="4410"/>
      <c r="I30" s="4411"/>
      <c r="J30" s="4411"/>
      <c r="K30"/>
      <c r="L30"/>
    </row>
    <row r="34" spans="2:10" ht="13.5" x14ac:dyDescent="0.2">
      <c r="B34" s="1507"/>
      <c r="C34" s="1507"/>
      <c r="D34" s="1507"/>
      <c r="E34" s="1507"/>
      <c r="F34" s="1507"/>
      <c r="G34" s="1507"/>
      <c r="H34" s="1507"/>
    </row>
    <row r="35" spans="2:10" ht="12.75" x14ac:dyDescent="0.2">
      <c r="B35" s="362"/>
      <c r="C35" s="362"/>
      <c r="D35" s="362"/>
      <c r="E35" s="362"/>
      <c r="F35" s="362"/>
      <c r="G35" s="362"/>
      <c r="H35" s="362"/>
      <c r="I35" s="362"/>
    </row>
    <row r="36" spans="2:10" ht="12.75" x14ac:dyDescent="0.2">
      <c r="B36" s="362"/>
      <c r="C36" s="362"/>
      <c r="D36" s="362"/>
      <c r="E36" s="362"/>
      <c r="F36" s="362"/>
      <c r="G36" s="362"/>
      <c r="H36" s="362"/>
      <c r="I36" s="362"/>
    </row>
    <row r="37" spans="2:10" ht="12.75" x14ac:dyDescent="0.2">
      <c r="B37" s="362"/>
      <c r="C37" s="362"/>
      <c r="D37" s="362"/>
      <c r="E37" s="362"/>
      <c r="F37" s="362"/>
      <c r="G37" s="362"/>
      <c r="H37" s="362"/>
      <c r="I37" s="362"/>
    </row>
    <row r="38" spans="2:10" ht="12.75" x14ac:dyDescent="0.2">
      <c r="B38" s="362"/>
      <c r="C38" s="362"/>
      <c r="D38" s="362"/>
      <c r="E38" s="362"/>
      <c r="F38" s="362"/>
      <c r="G38" s="362"/>
      <c r="H38" s="362"/>
      <c r="I38" s="362"/>
    </row>
    <row r="39" spans="2:10" ht="12.75" x14ac:dyDescent="0.2">
      <c r="B39" s="362"/>
      <c r="C39" s="362"/>
      <c r="D39" s="362"/>
      <c r="E39" s="362"/>
      <c r="F39" s="362"/>
      <c r="G39" s="362"/>
      <c r="H39" s="362"/>
      <c r="I39" s="362"/>
    </row>
    <row r="40" spans="2:10" ht="14.25" thickBot="1" x14ac:dyDescent="0.25">
      <c r="B40" s="1507"/>
      <c r="C40" s="1507"/>
      <c r="D40" s="1507"/>
      <c r="E40" s="1507"/>
      <c r="F40" s="1507"/>
      <c r="G40" s="1507"/>
      <c r="H40" s="1507"/>
      <c r="I40" s="1507"/>
    </row>
    <row r="41" spans="2:10" ht="12.75" x14ac:dyDescent="0.2">
      <c r="B41" s="1364" t="s">
        <v>1384</v>
      </c>
      <c r="C41" s="948"/>
      <c r="D41" s="948"/>
      <c r="E41" s="948"/>
      <c r="F41" s="948"/>
      <c r="G41" s="948"/>
      <c r="H41" s="948"/>
      <c r="I41" s="948"/>
      <c r="J41" s="949"/>
    </row>
    <row r="42" spans="2:10" ht="12.75" x14ac:dyDescent="0.2">
      <c r="B42" s="1365"/>
      <c r="C42" s="1508"/>
      <c r="D42" s="1508"/>
      <c r="E42" s="1508"/>
      <c r="F42" s="1508"/>
      <c r="G42" s="1508"/>
      <c r="H42" s="1508"/>
      <c r="I42" s="1508"/>
      <c r="J42" s="1366"/>
    </row>
    <row r="43" spans="2:10" ht="12.75" x14ac:dyDescent="0.2">
      <c r="B43" s="1365"/>
      <c r="C43" s="1508"/>
      <c r="D43" s="1508"/>
      <c r="E43" s="1508"/>
      <c r="F43" s="1508"/>
      <c r="G43" s="1508"/>
      <c r="H43" s="1508"/>
      <c r="I43" s="1508"/>
      <c r="J43" s="1366"/>
    </row>
    <row r="44" spans="2:10" ht="12.75" x14ac:dyDescent="0.2">
      <c r="B44" s="1365"/>
      <c r="C44" s="1508"/>
      <c r="D44" s="1508"/>
      <c r="E44" s="1508"/>
      <c r="F44" s="1508"/>
      <c r="G44" s="1508"/>
      <c r="H44" s="1508"/>
      <c r="I44" s="1508"/>
      <c r="J44" s="1366"/>
    </row>
    <row r="45" spans="2:10" ht="12.75" x14ac:dyDescent="0.2">
      <c r="B45" s="1365"/>
      <c r="C45" s="1508"/>
      <c r="D45" s="1508"/>
      <c r="E45" s="1508"/>
      <c r="F45" s="1508"/>
      <c r="G45" s="1508"/>
      <c r="H45" s="1508"/>
      <c r="I45" s="1508"/>
      <c r="J45" s="1366"/>
    </row>
    <row r="46" spans="2:10" ht="12.75" x14ac:dyDescent="0.2">
      <c r="B46" s="950"/>
      <c r="C46" s="951"/>
      <c r="D46" s="951"/>
      <c r="E46" s="951"/>
      <c r="F46" s="951"/>
      <c r="G46" s="951"/>
      <c r="H46" s="951"/>
      <c r="I46" s="951"/>
      <c r="J46" s="952"/>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D27:H33 J1:J8 D1:I26 C2:C33 B1:B40 A41:I65550 K41:XFD65550 J10:J65550 I27:I34 M1:IV40 K1:L24 K31:L40"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6" width="16.85546875" style="110" customWidth="1"/>
    <col min="7" max="8" width="22.5703125" style="110" customWidth="1"/>
    <col min="9"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1" t="s">
        <v>1385</v>
      </c>
      <c r="C1" s="811"/>
      <c r="D1" s="811"/>
      <c r="H1" s="14" t="s">
        <v>2521</v>
      </c>
      <c r="J1" s="2"/>
      <c r="K1" s="2"/>
    </row>
    <row r="2" spans="1:13" ht="15.75" customHeight="1" x14ac:dyDescent="0.2">
      <c r="B2" s="138" t="s">
        <v>1386</v>
      </c>
      <c r="H2" s="14" t="s">
        <v>2522</v>
      </c>
      <c r="J2" s="2"/>
      <c r="K2" s="2"/>
    </row>
    <row r="3" spans="1:13" ht="15.75" customHeight="1" x14ac:dyDescent="0.2">
      <c r="B3" s="138" t="s">
        <v>62</v>
      </c>
      <c r="E3" s="125"/>
      <c r="F3" s="125"/>
      <c r="H3" s="14" t="s">
        <v>2144</v>
      </c>
      <c r="J3" s="2"/>
      <c r="K3" s="2"/>
    </row>
    <row r="4" spans="1:13" ht="12.75" x14ac:dyDescent="0.2">
      <c r="B4" s="2234"/>
      <c r="M4" s="136"/>
    </row>
    <row r="5" spans="1:13" ht="12.75" customHeight="1" thickBot="1" x14ac:dyDescent="0.25">
      <c r="B5" s="2446" t="s">
        <v>64</v>
      </c>
      <c r="L5" s="4"/>
    </row>
    <row r="6" spans="1:13" ht="36" x14ac:dyDescent="0.2">
      <c r="B6" s="1743" t="s">
        <v>65</v>
      </c>
      <c r="C6" s="1885" t="s">
        <v>1387</v>
      </c>
      <c r="D6" s="1886"/>
      <c r="E6" s="431" t="s">
        <v>305</v>
      </c>
      <c r="F6" s="1887" t="s">
        <v>124</v>
      </c>
      <c r="G6" s="1744" t="s">
        <v>2036</v>
      </c>
      <c r="H6" s="1665"/>
      <c r="I6" s="44"/>
    </row>
    <row r="7" spans="1:13" ht="14.25" x14ac:dyDescent="0.2">
      <c r="B7" s="1861"/>
      <c r="C7" s="1679" t="s">
        <v>1388</v>
      </c>
      <c r="D7" s="1721"/>
      <c r="E7" s="433" t="s">
        <v>2037</v>
      </c>
      <c r="F7" s="1827" t="s">
        <v>330</v>
      </c>
      <c r="G7" s="335" t="s">
        <v>330</v>
      </c>
      <c r="H7" s="331"/>
      <c r="I7" s="44"/>
    </row>
    <row r="8" spans="1:13" ht="21" customHeight="1" x14ac:dyDescent="0.2">
      <c r="A8" s="83"/>
      <c r="B8" s="1861"/>
      <c r="C8" s="1888" t="s">
        <v>1389</v>
      </c>
      <c r="D8" s="1807" t="s">
        <v>1390</v>
      </c>
      <c r="E8" s="92"/>
      <c r="F8" s="92" t="s">
        <v>2038</v>
      </c>
      <c r="G8" s="92" t="s">
        <v>1391</v>
      </c>
      <c r="H8" s="1746" t="s">
        <v>1392</v>
      </c>
      <c r="I8" s="44"/>
    </row>
    <row r="9" spans="1:13" ht="18" customHeight="1" thickBot="1" x14ac:dyDescent="0.25">
      <c r="B9" s="1862"/>
      <c r="C9" s="415" t="s">
        <v>1393</v>
      </c>
      <c r="D9" s="1472"/>
      <c r="E9" s="1821" t="s">
        <v>1394</v>
      </c>
      <c r="F9" s="1747" t="s">
        <v>73</v>
      </c>
      <c r="G9" s="1748" t="s">
        <v>73</v>
      </c>
      <c r="H9" s="345"/>
      <c r="I9" s="44"/>
    </row>
    <row r="10" spans="1:13" ht="18" customHeight="1" thickTop="1" x14ac:dyDescent="0.2">
      <c r="B10" s="1749" t="s">
        <v>1372</v>
      </c>
      <c r="C10" s="3751">
        <f>C11</f>
        <v>20547.886947051717</v>
      </c>
      <c r="D10" s="3752"/>
      <c r="E10" s="3751">
        <f>IF(SUM(C10)=0,"NA",(F10-SUM(G10:H10))/C10)</f>
        <v>3.1597377078384115E-2</v>
      </c>
      <c r="F10" s="3753">
        <f>F11</f>
        <v>427.25933203</v>
      </c>
      <c r="G10" s="3753" t="str">
        <f>G11</f>
        <v>IE</v>
      </c>
      <c r="H10" s="3754">
        <f>H11</f>
        <v>-222</v>
      </c>
      <c r="I10" s="44"/>
    </row>
    <row r="11" spans="1:13" ht="18" customHeight="1" x14ac:dyDescent="0.2">
      <c r="B11" s="1750" t="s">
        <v>1395</v>
      </c>
      <c r="C11" s="3755">
        <f>IF(SUM(C13:C16)=0,"NO",SUM(C13:C16))</f>
        <v>20547.886947051717</v>
      </c>
      <c r="D11" s="3755">
        <v>1</v>
      </c>
      <c r="E11" s="3755">
        <f>IF(SUM(C11)=0,"NA",(F11-SUM(G11:H11))/C11)</f>
        <v>3.1597377078384115E-2</v>
      </c>
      <c r="F11" s="3755">
        <f>IF(SUM(F13:F16)=0,"NO",SUM(F13:F16))</f>
        <v>427.25933203</v>
      </c>
      <c r="G11" s="3756" t="s">
        <v>2153</v>
      </c>
      <c r="H11" s="3757">
        <v>-222</v>
      </c>
      <c r="I11" s="44"/>
    </row>
    <row r="12" spans="1:13" ht="18" customHeight="1" x14ac:dyDescent="0.2">
      <c r="B12" s="1242" t="s">
        <v>1396</v>
      </c>
      <c r="C12" s="3758"/>
      <c r="D12" s="3759"/>
      <c r="E12" s="3760"/>
      <c r="F12" s="3759"/>
      <c r="G12" s="3759"/>
      <c r="H12" s="3761"/>
      <c r="I12" s="44"/>
    </row>
    <row r="13" spans="1:13" ht="18" customHeight="1" x14ac:dyDescent="0.2">
      <c r="B13" s="1751" t="s">
        <v>1397</v>
      </c>
      <c r="C13" s="3762">
        <v>11970.139940818863</v>
      </c>
      <c r="D13" s="3762">
        <v>1</v>
      </c>
      <c r="E13" s="3755" t="s">
        <v>2153</v>
      </c>
      <c r="F13" s="3762">
        <v>15.81155963</v>
      </c>
      <c r="G13" s="3763"/>
      <c r="H13" s="3764"/>
      <c r="I13" s="44"/>
    </row>
    <row r="14" spans="1:13" ht="18" customHeight="1" x14ac:dyDescent="0.2">
      <c r="B14" s="1751" t="s">
        <v>1398</v>
      </c>
      <c r="C14" s="3762">
        <v>3258.9863505114931</v>
      </c>
      <c r="D14" s="3762">
        <v>1</v>
      </c>
      <c r="E14" s="3755" t="s">
        <v>2153</v>
      </c>
      <c r="F14" s="3762">
        <v>185.95456369999999</v>
      </c>
      <c r="G14" s="3763"/>
      <c r="H14" s="3764"/>
      <c r="I14" s="44"/>
    </row>
    <row r="15" spans="1:13" ht="18" customHeight="1" x14ac:dyDescent="0.2">
      <c r="B15" s="1751" t="s">
        <v>1399</v>
      </c>
      <c r="C15" s="3762">
        <v>5318.7606557213585</v>
      </c>
      <c r="D15" s="3762">
        <v>1</v>
      </c>
      <c r="E15" s="3755" t="s">
        <v>2153</v>
      </c>
      <c r="F15" s="3762">
        <v>225.4932087</v>
      </c>
      <c r="G15" s="3763"/>
      <c r="H15" s="3764"/>
      <c r="I15" s="44"/>
    </row>
    <row r="16" spans="1:13" ht="18" customHeight="1" x14ac:dyDescent="0.2">
      <c r="B16" s="1751" t="s">
        <v>1400</v>
      </c>
      <c r="C16" s="3762" t="s">
        <v>2147</v>
      </c>
      <c r="D16" s="3762" t="s">
        <v>2147</v>
      </c>
      <c r="E16" s="3755" t="str">
        <f>IF(SUM(C16)=0,"NA",F16/C16)</f>
        <v>NA</v>
      </c>
      <c r="F16" s="3762" t="s">
        <v>2147</v>
      </c>
      <c r="G16" s="3763"/>
      <c r="H16" s="3764"/>
      <c r="I16" s="44"/>
    </row>
    <row r="17" spans="2:10" ht="18" customHeight="1" x14ac:dyDescent="0.2">
      <c r="B17" s="1750" t="s">
        <v>1401</v>
      </c>
      <c r="C17" s="276" t="s">
        <v>2146</v>
      </c>
      <c r="D17" s="276" t="s">
        <v>2147</v>
      </c>
      <c r="E17" s="276" t="s">
        <v>2146</v>
      </c>
      <c r="F17" s="276" t="s">
        <v>2146</v>
      </c>
      <c r="G17" s="1890" t="s">
        <v>2146</v>
      </c>
      <c r="H17" s="1891" t="s">
        <v>2146</v>
      </c>
      <c r="I17" s="44"/>
    </row>
    <row r="18" spans="2:10" ht="18" customHeight="1" x14ac:dyDescent="0.2">
      <c r="B18" s="1242" t="s">
        <v>1396</v>
      </c>
      <c r="C18" s="2291"/>
      <c r="D18" s="2292"/>
      <c r="E18" s="2286"/>
      <c r="F18" s="2292"/>
      <c r="G18" s="2292"/>
      <c r="H18" s="2293"/>
      <c r="I18" s="44"/>
    </row>
    <row r="19" spans="2:10" ht="18" customHeight="1" x14ac:dyDescent="0.2">
      <c r="B19" s="1751" t="s">
        <v>1397</v>
      </c>
      <c r="C19" s="1889" t="s">
        <v>2146</v>
      </c>
      <c r="D19" s="1889" t="s">
        <v>2147</v>
      </c>
      <c r="E19" s="276" t="str">
        <f>IF(SUM(C19)=0,"NA",F19/C19)</f>
        <v>NA</v>
      </c>
      <c r="F19" s="1889" t="s">
        <v>2146</v>
      </c>
      <c r="G19" s="1893"/>
      <c r="H19" s="1894"/>
      <c r="I19" s="44"/>
    </row>
    <row r="20" spans="2:10" ht="18" customHeight="1" x14ac:dyDescent="0.2">
      <c r="B20" s="1751" t="s">
        <v>1398</v>
      </c>
      <c r="C20" s="1889" t="s">
        <v>2146</v>
      </c>
      <c r="D20" s="1889" t="s">
        <v>2147</v>
      </c>
      <c r="E20" s="276" t="str">
        <f>IF(SUM(C20)=0,"NA",F20/C20)</f>
        <v>NA</v>
      </c>
      <c r="F20" s="1889" t="s">
        <v>2146</v>
      </c>
      <c r="G20" s="1893"/>
      <c r="H20" s="1894"/>
      <c r="I20" s="44"/>
    </row>
    <row r="21" spans="2:10" ht="18" customHeight="1" x14ac:dyDescent="0.2">
      <c r="B21" s="1751" t="s">
        <v>1399</v>
      </c>
      <c r="C21" s="1889" t="s">
        <v>2146</v>
      </c>
      <c r="D21" s="1889" t="s">
        <v>2147</v>
      </c>
      <c r="E21" s="276" t="str">
        <f>IF(SUM(C21)=0,"NA",F21/C21)</f>
        <v>NA</v>
      </c>
      <c r="F21" s="1889" t="s">
        <v>2146</v>
      </c>
      <c r="G21" s="1893"/>
      <c r="H21" s="1894"/>
      <c r="I21" s="44"/>
    </row>
    <row r="22" spans="2:10" ht="18" customHeight="1" x14ac:dyDescent="0.2">
      <c r="B22" s="1751" t="s">
        <v>1400</v>
      </c>
      <c r="C22" s="1889" t="s">
        <v>2146</v>
      </c>
      <c r="D22" s="1889" t="s">
        <v>2147</v>
      </c>
      <c r="E22" s="276" t="str">
        <f>IF(SUM(C22)=0,"NA",F22/C22)</f>
        <v>NA</v>
      </c>
      <c r="F22" s="1889" t="s">
        <v>2146</v>
      </c>
      <c r="G22" s="1893"/>
      <c r="H22" s="1894"/>
      <c r="I22" s="44"/>
    </row>
    <row r="23" spans="2:10" ht="18" customHeight="1" x14ac:dyDescent="0.2">
      <c r="B23" s="1750" t="s">
        <v>1402</v>
      </c>
      <c r="C23" s="276" t="s">
        <v>2146</v>
      </c>
      <c r="D23" s="276" t="s">
        <v>2147</v>
      </c>
      <c r="E23" s="276" t="s">
        <v>2146</v>
      </c>
      <c r="F23" s="276" t="s">
        <v>2146</v>
      </c>
      <c r="G23" s="1890" t="s">
        <v>2146</v>
      </c>
      <c r="H23" s="1891" t="s">
        <v>2146</v>
      </c>
      <c r="I23" s="44"/>
    </row>
    <row r="24" spans="2:10" ht="18" customHeight="1" x14ac:dyDescent="0.2">
      <c r="B24" s="1242" t="s">
        <v>1396</v>
      </c>
      <c r="C24" s="2291"/>
      <c r="D24" s="2292"/>
      <c r="E24" s="2286"/>
      <c r="F24" s="2292"/>
      <c r="G24" s="2292"/>
      <c r="H24" s="2293"/>
      <c r="I24" s="44"/>
    </row>
    <row r="25" spans="2:10" ht="18" customHeight="1" x14ac:dyDescent="0.2">
      <c r="B25" s="1751" t="s">
        <v>1397</v>
      </c>
      <c r="C25" s="1889" t="s">
        <v>2146</v>
      </c>
      <c r="D25" s="1889" t="s">
        <v>2147</v>
      </c>
      <c r="E25" s="276" t="str">
        <f>IF(SUM(C25)=0,"NA",F25/C25)</f>
        <v>NA</v>
      </c>
      <c r="F25" s="1889" t="s">
        <v>2146</v>
      </c>
      <c r="G25" s="1893"/>
      <c r="H25" s="1894"/>
      <c r="I25" s="44"/>
    </row>
    <row r="26" spans="2:10" ht="18" customHeight="1" x14ac:dyDescent="0.2">
      <c r="B26" s="1751" t="s">
        <v>1398</v>
      </c>
      <c r="C26" s="1889" t="s">
        <v>2146</v>
      </c>
      <c r="D26" s="1889" t="s">
        <v>2147</v>
      </c>
      <c r="E26" s="276" t="str">
        <f>IF(SUM(C26)=0,"NA",F26/C26)</f>
        <v>NA</v>
      </c>
      <c r="F26" s="1889" t="s">
        <v>2146</v>
      </c>
      <c r="G26" s="1893"/>
      <c r="H26" s="1894"/>
      <c r="I26" s="44"/>
    </row>
    <row r="27" spans="2:10" ht="18" customHeight="1" x14ac:dyDescent="0.2">
      <c r="B27" s="1751" t="s">
        <v>1399</v>
      </c>
      <c r="C27" s="1889" t="s">
        <v>2146</v>
      </c>
      <c r="D27" s="1889" t="s">
        <v>2147</v>
      </c>
      <c r="E27" s="276" t="str">
        <f>IF(SUM(C27)=0,"NA",F27/C27)</f>
        <v>NA</v>
      </c>
      <c r="F27" s="1889" t="s">
        <v>2146</v>
      </c>
      <c r="G27" s="1893"/>
      <c r="H27" s="1894"/>
      <c r="I27" s="44"/>
      <c r="J27" s="1509"/>
    </row>
    <row r="28" spans="2:10" ht="18" customHeight="1" x14ac:dyDescent="0.2">
      <c r="B28" s="1751" t="s">
        <v>1400</v>
      </c>
      <c r="C28" s="1889" t="s">
        <v>2146</v>
      </c>
      <c r="D28" s="1889" t="s">
        <v>2147</v>
      </c>
      <c r="E28" s="276" t="str">
        <f>IF(SUM(C28)=0,"NA",F28/C28)</f>
        <v>NA</v>
      </c>
      <c r="F28" s="1889" t="s">
        <v>2146</v>
      </c>
      <c r="G28" s="1893"/>
      <c r="H28" s="1894"/>
      <c r="I28" s="44"/>
    </row>
    <row r="29" spans="2:10" ht="18" customHeight="1" x14ac:dyDescent="0.2">
      <c r="B29" s="1749" t="s">
        <v>1373</v>
      </c>
      <c r="C29" s="276" t="s">
        <v>2146</v>
      </c>
      <c r="D29" s="276" t="s">
        <v>2147</v>
      </c>
      <c r="E29" s="276" t="s">
        <v>2146</v>
      </c>
      <c r="F29" s="276" t="s">
        <v>2146</v>
      </c>
      <c r="G29" s="1890" t="s">
        <v>2146</v>
      </c>
      <c r="H29" s="1891" t="s">
        <v>2146</v>
      </c>
      <c r="I29" s="44"/>
    </row>
    <row r="30" spans="2:10" ht="18" customHeight="1" x14ac:dyDescent="0.2">
      <c r="B30" s="1242" t="s">
        <v>1396</v>
      </c>
      <c r="C30" s="2291"/>
      <c r="D30" s="2292"/>
      <c r="E30" s="2286"/>
      <c r="F30" s="2292"/>
      <c r="G30" s="2292"/>
      <c r="H30" s="2293"/>
      <c r="I30" s="44"/>
    </row>
    <row r="31" spans="2:10" ht="18" customHeight="1" x14ac:dyDescent="0.2">
      <c r="B31" s="1751" t="s">
        <v>1397</v>
      </c>
      <c r="C31" s="1889" t="s">
        <v>2146</v>
      </c>
      <c r="D31" s="1889" t="s">
        <v>2147</v>
      </c>
      <c r="E31" s="276" t="str">
        <f>IF(SUM(C31)=0,"NA",F31/C31)</f>
        <v>NA</v>
      </c>
      <c r="F31" s="1889" t="s">
        <v>2146</v>
      </c>
      <c r="G31" s="1893"/>
      <c r="H31" s="1894"/>
      <c r="I31" s="44"/>
    </row>
    <row r="32" spans="2:10" ht="18" customHeight="1" x14ac:dyDescent="0.2">
      <c r="B32" s="1751" t="s">
        <v>1398</v>
      </c>
      <c r="C32" s="1889" t="s">
        <v>2146</v>
      </c>
      <c r="D32" s="1889" t="s">
        <v>2147</v>
      </c>
      <c r="E32" s="276" t="str">
        <f>IF(SUM(C32)=0,"NA",F32/C32)</f>
        <v>NA</v>
      </c>
      <c r="F32" s="1889" t="s">
        <v>2146</v>
      </c>
      <c r="G32" s="1893"/>
      <c r="H32" s="1894"/>
      <c r="I32" s="44"/>
    </row>
    <row r="33" spans="2:12" ht="18" customHeight="1" x14ac:dyDescent="0.2">
      <c r="B33" s="1751" t="s">
        <v>1399</v>
      </c>
      <c r="C33" s="1889" t="s">
        <v>2146</v>
      </c>
      <c r="D33" s="1889" t="s">
        <v>2147</v>
      </c>
      <c r="E33" s="276" t="str">
        <f>IF(SUM(C33)=0,"NA",F33/C33)</f>
        <v>NA</v>
      </c>
      <c r="F33" s="1889" t="s">
        <v>2146</v>
      </c>
      <c r="G33" s="1893"/>
      <c r="H33" s="1894"/>
      <c r="I33" s="44"/>
    </row>
    <row r="34" spans="2:12" ht="18" customHeight="1" x14ac:dyDescent="0.2">
      <c r="B34" s="1751" t="s">
        <v>1400</v>
      </c>
      <c r="C34" s="1889" t="s">
        <v>2146</v>
      </c>
      <c r="D34" s="1889" t="s">
        <v>2147</v>
      </c>
      <c r="E34" s="276" t="str">
        <f>IF(SUM(C34)=0,"NA",F34/C34)</f>
        <v>NA</v>
      </c>
      <c r="F34" s="1889" t="s">
        <v>2146</v>
      </c>
      <c r="G34" s="1893"/>
      <c r="H34" s="1894"/>
      <c r="I34" s="44"/>
    </row>
    <row r="35" spans="2:12" ht="18" customHeight="1" x14ac:dyDescent="0.2">
      <c r="B35" s="1749" t="s">
        <v>1374</v>
      </c>
      <c r="C35" s="276" t="s">
        <v>2146</v>
      </c>
      <c r="D35" s="276" t="s">
        <v>2147</v>
      </c>
      <c r="E35" s="276" t="s">
        <v>2146</v>
      </c>
      <c r="F35" s="276" t="s">
        <v>2146</v>
      </c>
      <c r="G35" s="1895" t="s">
        <v>2146</v>
      </c>
      <c r="H35" s="1896" t="s">
        <v>2146</v>
      </c>
      <c r="I35" s="44"/>
    </row>
    <row r="36" spans="2:12" ht="18" customHeight="1" x14ac:dyDescent="0.2">
      <c r="B36" s="1242" t="s">
        <v>1396</v>
      </c>
      <c r="C36" s="2291"/>
      <c r="D36" s="2292"/>
      <c r="E36" s="2286"/>
      <c r="F36" s="2292"/>
      <c r="G36" s="2292"/>
      <c r="H36" s="2293"/>
      <c r="I36" s="44"/>
    </row>
    <row r="37" spans="2:12" ht="18" customHeight="1" x14ac:dyDescent="0.2">
      <c r="B37" s="1751" t="s">
        <v>1397</v>
      </c>
      <c r="C37" s="1511" t="s">
        <v>2146</v>
      </c>
      <c r="D37" s="1511" t="s">
        <v>2147</v>
      </c>
      <c r="E37" s="118" t="str">
        <f>IF(SUM(C37)=0,"NA",F37/C37)</f>
        <v>NA</v>
      </c>
      <c r="F37" s="1511" t="s">
        <v>2146</v>
      </c>
      <c r="G37" s="1510"/>
      <c r="H37" s="1547"/>
      <c r="I37" s="44"/>
    </row>
    <row r="38" spans="2:12" ht="18" customHeight="1" x14ac:dyDescent="0.2">
      <c r="B38" s="1751" t="s">
        <v>1398</v>
      </c>
      <c r="C38" s="1511" t="s">
        <v>2146</v>
      </c>
      <c r="D38" s="1511" t="s">
        <v>2147</v>
      </c>
      <c r="E38" s="118" t="str">
        <f>IF(SUM(C38)=0,"NA",F38/C38)</f>
        <v>NA</v>
      </c>
      <c r="F38" s="1511" t="s">
        <v>2146</v>
      </c>
      <c r="G38" s="1510"/>
      <c r="H38" s="1547"/>
      <c r="I38" s="44"/>
    </row>
    <row r="39" spans="2:12" ht="18" customHeight="1" x14ac:dyDescent="0.2">
      <c r="B39" s="1751" t="s">
        <v>1399</v>
      </c>
      <c r="C39" s="1511" t="s">
        <v>2146</v>
      </c>
      <c r="D39" s="1511" t="s">
        <v>2147</v>
      </c>
      <c r="E39" s="118" t="str">
        <f>IF(SUM(C39)=0,"NA",F39/C39)</f>
        <v>NA</v>
      </c>
      <c r="F39" s="1511" t="s">
        <v>2146</v>
      </c>
      <c r="G39" s="1510"/>
      <c r="H39" s="1547"/>
      <c r="I39" s="44"/>
    </row>
    <row r="40" spans="2:12" ht="18" customHeight="1" thickBot="1" x14ac:dyDescent="0.25">
      <c r="B40" s="1858" t="s">
        <v>1400</v>
      </c>
      <c r="C40" s="1512" t="s">
        <v>2146</v>
      </c>
      <c r="D40" s="1512" t="s">
        <v>2147</v>
      </c>
      <c r="E40" s="56" t="str">
        <f>IF(SUM(C40)=0,"NA",F40/C40)</f>
        <v>NA</v>
      </c>
      <c r="F40" s="1512" t="s">
        <v>2146</v>
      </c>
      <c r="G40" s="1513"/>
      <c r="H40" s="1548"/>
      <c r="I40" s="44"/>
    </row>
    <row r="41" spans="2:12" ht="7.5" customHeight="1" x14ac:dyDescent="0.2">
      <c r="B41" s="1514"/>
      <c r="C41" s="1514"/>
      <c r="D41" s="1514"/>
      <c r="E41" s="1514"/>
      <c r="F41" s="1514"/>
      <c r="G41" s="1514"/>
      <c r="H41" s="1514"/>
      <c r="I41" s="1514"/>
      <c r="J41" s="1514"/>
      <c r="K41" s="1514"/>
      <c r="L41" s="44"/>
    </row>
    <row r="42" spans="2:12" ht="12.75" x14ac:dyDescent="0.2">
      <c r="B42" s="1515"/>
      <c r="L42" s="44"/>
    </row>
    <row r="43" spans="2:12" ht="12.75" x14ac:dyDescent="0.2">
      <c r="B43" s="1516"/>
      <c r="C43" s="159"/>
      <c r="D43" s="159"/>
      <c r="E43" s="159"/>
      <c r="F43" s="159"/>
      <c r="G43" s="159"/>
      <c r="H43" s="159"/>
      <c r="I43" s="159"/>
      <c r="J43" s="159"/>
      <c r="K43" s="159"/>
      <c r="L43" s="44"/>
    </row>
    <row r="44" spans="2:12" ht="12.75" x14ac:dyDescent="0.2">
      <c r="B44" s="1515"/>
      <c r="L44" s="44"/>
    </row>
    <row r="45" spans="2:12" ht="12.75" x14ac:dyDescent="0.2">
      <c r="L45" s="44"/>
    </row>
    <row r="46" spans="2:12" ht="13.5" x14ac:dyDescent="0.2">
      <c r="B46" s="312"/>
      <c r="C46" s="312"/>
      <c r="D46" s="312"/>
      <c r="E46" s="312"/>
      <c r="F46" s="312"/>
      <c r="G46" s="312"/>
      <c r="L46" s="44"/>
    </row>
    <row r="47" spans="2:12" ht="13.5" x14ac:dyDescent="0.2">
      <c r="B47" s="312"/>
      <c r="C47" s="312"/>
      <c r="L47" s="44"/>
    </row>
    <row r="48" spans="2:12" ht="15" x14ac:dyDescent="0.25">
      <c r="B48" s="1517"/>
      <c r="C48" s="139"/>
      <c r="D48" s="139"/>
      <c r="E48" s="139"/>
      <c r="F48" s="139"/>
      <c r="G48" s="139"/>
      <c r="H48" s="139"/>
      <c r="I48" s="139"/>
      <c r="J48" s="139"/>
      <c r="K48" s="139"/>
      <c r="L48" s="44"/>
    </row>
    <row r="49" spans="2:12" ht="15" x14ac:dyDescent="0.25">
      <c r="B49" s="1517"/>
      <c r="C49" s="139"/>
      <c r="D49" s="139"/>
      <c r="E49" s="139"/>
      <c r="F49" s="139"/>
      <c r="G49" s="139"/>
      <c r="H49" s="139"/>
      <c r="I49" s="139"/>
      <c r="J49" s="139"/>
      <c r="K49" s="139"/>
      <c r="L49" s="44"/>
    </row>
    <row r="50" spans="2:12" ht="13.5" x14ac:dyDescent="0.2">
      <c r="B50" s="1518"/>
      <c r="L50" s="44"/>
    </row>
    <row r="51" spans="2:12" ht="12.75" x14ac:dyDescent="0.2"/>
    <row r="52" spans="2:12" ht="12.75" x14ac:dyDescent="0.2"/>
    <row r="53" spans="2:12" ht="13.5" thickBot="1" x14ac:dyDescent="0.25"/>
    <row r="54" spans="2:12" ht="12.75" x14ac:dyDescent="0.2">
      <c r="B54" s="991" t="s">
        <v>352</v>
      </c>
      <c r="C54" s="992"/>
      <c r="D54" s="992"/>
      <c r="E54" s="992"/>
      <c r="F54" s="992"/>
      <c r="G54" s="992"/>
      <c r="H54" s="993"/>
      <c r="J54" s="4"/>
    </row>
    <row r="55" spans="2:12" ht="12.75" x14ac:dyDescent="0.2">
      <c r="B55" s="186"/>
      <c r="C55" s="1519"/>
      <c r="D55" s="1519"/>
      <c r="E55" s="1519"/>
      <c r="F55" s="1519"/>
      <c r="G55" s="1519"/>
      <c r="H55" s="187"/>
      <c r="J55" s="4"/>
    </row>
    <row r="56" spans="2:12" ht="12.75" x14ac:dyDescent="0.2">
      <c r="B56" s="186"/>
      <c r="C56" s="1519"/>
      <c r="D56" s="1519"/>
      <c r="E56" s="1519"/>
      <c r="F56" s="1519"/>
      <c r="G56" s="1519"/>
      <c r="H56" s="187"/>
      <c r="J56" s="4"/>
    </row>
    <row r="57" spans="2:12" ht="12.75" x14ac:dyDescent="0.2">
      <c r="B57" s="186"/>
      <c r="C57" s="1519"/>
      <c r="D57" s="1519"/>
      <c r="E57" s="1519"/>
      <c r="F57" s="1519"/>
      <c r="G57" s="1519"/>
      <c r="H57" s="187"/>
      <c r="J57" s="4"/>
    </row>
    <row r="58" spans="2:12" ht="12.75" x14ac:dyDescent="0.2">
      <c r="B58" s="186"/>
      <c r="C58" s="1519"/>
      <c r="D58" s="1519"/>
      <c r="E58" s="1519"/>
      <c r="F58" s="1519"/>
      <c r="G58" s="1519"/>
      <c r="H58" s="187"/>
      <c r="J58" s="4"/>
    </row>
    <row r="59" spans="2:12" ht="12.75" x14ac:dyDescent="0.2">
      <c r="B59" s="186"/>
      <c r="C59" s="1519"/>
      <c r="D59" s="1519"/>
      <c r="E59" s="1519"/>
      <c r="F59" s="1519"/>
      <c r="G59" s="1519"/>
      <c r="H59" s="187"/>
      <c r="J59" s="4"/>
    </row>
    <row r="60" spans="2:12" ht="12.75" x14ac:dyDescent="0.2">
      <c r="B60" s="186"/>
      <c r="C60" s="1519"/>
      <c r="D60" s="1519"/>
      <c r="E60" s="1519"/>
      <c r="F60" s="1519"/>
      <c r="G60" s="1519"/>
      <c r="H60" s="187"/>
      <c r="J60" s="4"/>
    </row>
    <row r="61" spans="2:12" ht="12.75" x14ac:dyDescent="0.2">
      <c r="B61" s="186"/>
      <c r="C61" s="1519"/>
      <c r="D61" s="1519"/>
      <c r="E61" s="1519"/>
      <c r="F61" s="1519"/>
      <c r="G61" s="1519"/>
      <c r="H61" s="187"/>
      <c r="J61" s="4"/>
    </row>
    <row r="62" spans="2:12" ht="12.75" x14ac:dyDescent="0.2">
      <c r="B62" s="188"/>
      <c r="C62" s="189"/>
      <c r="D62" s="189"/>
      <c r="E62" s="189"/>
      <c r="F62" s="189"/>
      <c r="G62" s="189"/>
      <c r="H62" s="190"/>
      <c r="J62" s="4"/>
    </row>
    <row r="63" spans="2:12" ht="13.5" thickBot="1" x14ac:dyDescent="0.25">
      <c r="B63" s="1520"/>
      <c r="C63" s="1521"/>
      <c r="D63" s="1521"/>
      <c r="E63" s="1521"/>
      <c r="F63" s="1521"/>
      <c r="G63" s="1521"/>
      <c r="H63" s="1522"/>
    </row>
  </sheetData>
  <dataValidations count="1">
    <dataValidation allowBlank="1" showInputMessage="1" showErrorMessage="1" sqref="C48:C49 H45:K49 C45:G45 D47:G49 D2:D5 H8 N1:IW5 M4:M5 E41:K41 E1:L5 I54:IU63 C64:IW65541 C62:H63 C51:K53 L41:IW53 B1:B65541 C2:C41 H10:H40 D7:D41 E6:G40 I6:IT10 I12:IT40 I11 K11:IT11"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7" width="10" style="110" customWidth="1"/>
    <col min="8" max="9" width="23.85546875" style="110" customWidth="1"/>
    <col min="10" max="16384" width="9.140625" style="110"/>
  </cols>
  <sheetData>
    <row r="1" spans="1:9" ht="15.75" x14ac:dyDescent="0.25">
      <c r="B1" s="811" t="s">
        <v>1403</v>
      </c>
      <c r="C1" s="811"/>
      <c r="D1" s="811"/>
      <c r="E1" s="811"/>
      <c r="H1" s="139"/>
      <c r="I1" s="14" t="s">
        <v>2521</v>
      </c>
    </row>
    <row r="2" spans="1:9" ht="15.75" x14ac:dyDescent="0.2">
      <c r="B2" s="811" t="s">
        <v>1404</v>
      </c>
      <c r="C2" s="811"/>
      <c r="I2" s="14" t="s">
        <v>2522</v>
      </c>
    </row>
    <row r="3" spans="1:9" ht="15.75" x14ac:dyDescent="0.2">
      <c r="B3" s="138" t="s">
        <v>62</v>
      </c>
      <c r="I3" s="14" t="s">
        <v>2144</v>
      </c>
    </row>
    <row r="4" spans="1:9" ht="15.75" hidden="1" x14ac:dyDescent="0.2">
      <c r="B4" s="138"/>
      <c r="I4" s="2"/>
    </row>
    <row r="5" spans="1:9" ht="13.5" thickBot="1" x14ac:dyDescent="0.25">
      <c r="B5" s="2458" t="s">
        <v>64</v>
      </c>
    </row>
    <row r="6" spans="1:9" ht="24" x14ac:dyDescent="0.2">
      <c r="B6" s="2459" t="s">
        <v>65</v>
      </c>
      <c r="C6" s="1897" t="s">
        <v>1387</v>
      </c>
      <c r="D6" s="1898" t="s">
        <v>1405</v>
      </c>
      <c r="E6" s="1899"/>
      <c r="F6" s="1752" t="s">
        <v>124</v>
      </c>
      <c r="G6" s="1753"/>
      <c r="H6" s="1754" t="s">
        <v>2036</v>
      </c>
      <c r="I6" s="1755"/>
    </row>
    <row r="7" spans="1:9" ht="14.25" x14ac:dyDescent="0.2">
      <c r="B7" s="1901"/>
      <c r="C7" s="1900"/>
      <c r="D7" s="1900" t="s">
        <v>2037</v>
      </c>
      <c r="E7" s="1765" t="s">
        <v>68</v>
      </c>
      <c r="F7" s="1756" t="s">
        <v>2039</v>
      </c>
      <c r="G7" s="1757" t="s">
        <v>68</v>
      </c>
      <c r="H7" s="1758" t="s">
        <v>67</v>
      </c>
      <c r="I7" s="1759"/>
    </row>
    <row r="8" spans="1:9" ht="27" x14ac:dyDescent="0.2">
      <c r="A8" s="83"/>
      <c r="B8" s="1901"/>
      <c r="C8" s="1760" t="s">
        <v>1406</v>
      </c>
      <c r="D8" s="1760"/>
      <c r="E8" s="1768"/>
      <c r="F8" s="1760"/>
      <c r="G8" s="1761"/>
      <c r="H8" s="92" t="s">
        <v>1407</v>
      </c>
      <c r="I8" s="1746" t="s">
        <v>1408</v>
      </c>
    </row>
    <row r="9" spans="1:9" ht="18" customHeight="1" thickBot="1" x14ac:dyDescent="0.25">
      <c r="B9" s="1902"/>
      <c r="C9" s="1903" t="s">
        <v>1409</v>
      </c>
      <c r="D9" s="1904" t="s">
        <v>1410</v>
      </c>
      <c r="E9" s="1904"/>
      <c r="F9" s="1905" t="s">
        <v>73</v>
      </c>
      <c r="G9" s="1906"/>
      <c r="H9" s="1906"/>
      <c r="I9" s="1907"/>
    </row>
    <row r="10" spans="1:9" ht="18" customHeight="1" thickTop="1" x14ac:dyDescent="0.2">
      <c r="B10" s="1908" t="s">
        <v>1376</v>
      </c>
      <c r="C10" s="1909">
        <f>IF(SUM(C11:C12)=0,"NO",SUM(C11:C12))</f>
        <v>3363.6469999999999</v>
      </c>
      <c r="D10" s="1913">
        <f>IF(SUM($C10)=0,"NA",F10*1000/$C10)</f>
        <v>0.75000000000000011</v>
      </c>
      <c r="E10" s="1913">
        <f>IF(SUM($C10)=0,"NA",G10*1000/$C10)</f>
        <v>9.5999999999999988E-2</v>
      </c>
      <c r="F10" s="1909">
        <f>IF(SUM(F11:F12)=0,"NO",SUM(F11:F12))</f>
        <v>2.5227352500000002</v>
      </c>
      <c r="G10" s="1909">
        <f>IF(SUM(G11:G12)=0,"NO",SUM(G11:G12))</f>
        <v>0.32291011199999997</v>
      </c>
      <c r="H10" s="1910"/>
      <c r="I10" s="1911"/>
    </row>
    <row r="11" spans="1:9" ht="18" customHeight="1" x14ac:dyDescent="0.2">
      <c r="B11" s="1526" t="s">
        <v>1411</v>
      </c>
      <c r="C11" s="1912">
        <v>3363.6469999999999</v>
      </c>
      <c r="D11" s="1913">
        <f>IF(SUM($C11)=0,"NA",F11*1000/$C11)</f>
        <v>0.75000000000000011</v>
      </c>
      <c r="E11" s="1913">
        <f>IF(SUM($C11)=0,"NA",G11*1000/$C11)</f>
        <v>9.5999999999999988E-2</v>
      </c>
      <c r="F11" s="1912">
        <v>2.5227352500000002</v>
      </c>
      <c r="G11" s="1912">
        <v>0.32291011199999997</v>
      </c>
      <c r="H11" s="1914"/>
      <c r="I11" s="1915"/>
    </row>
    <row r="12" spans="1:9" ht="18" customHeight="1" x14ac:dyDescent="0.2">
      <c r="B12" s="1526" t="s">
        <v>1412</v>
      </c>
      <c r="C12" s="1916" t="str">
        <f>C13</f>
        <v>NO</v>
      </c>
      <c r="D12" s="1913" t="str">
        <f t="shared" ref="D12:D17" si="0">IF(SUM($C12)=0,"NA",F12*1000/$C12)</f>
        <v>NA</v>
      </c>
      <c r="E12" s="1913" t="str">
        <f t="shared" ref="E12:E17" si="1">IF(SUM($C12)=0,"NA",G12*1000/$C12)</f>
        <v>NA</v>
      </c>
      <c r="F12" s="1916" t="str">
        <f>F13</f>
        <v>NO</v>
      </c>
      <c r="G12" s="1916" t="str">
        <f>G13</f>
        <v>NO</v>
      </c>
      <c r="H12" s="1914"/>
      <c r="I12" s="1917"/>
    </row>
    <row r="13" spans="1:9" ht="18" customHeight="1" x14ac:dyDescent="0.2">
      <c r="B13" s="2875" t="s">
        <v>2147</v>
      </c>
      <c r="C13" s="1912" t="s">
        <v>2146</v>
      </c>
      <c r="D13" s="1913" t="str">
        <f t="shared" si="0"/>
        <v>NA</v>
      </c>
      <c r="E13" s="1913" t="str">
        <f t="shared" si="1"/>
        <v>NA</v>
      </c>
      <c r="F13" s="1912" t="s">
        <v>2146</v>
      </c>
      <c r="G13" s="1912" t="s">
        <v>2146</v>
      </c>
      <c r="H13" s="1918"/>
      <c r="I13" s="1917"/>
    </row>
    <row r="14" spans="1:9" ht="32.25" customHeight="1" x14ac:dyDescent="0.2">
      <c r="B14" s="1919" t="s">
        <v>1413</v>
      </c>
      <c r="C14" s="1913" t="str">
        <f>IF(SUM(C15:C16)=0,"NO,NE",SUM(C15:C16))</f>
        <v>NO,NE</v>
      </c>
      <c r="D14" s="1913" t="str">
        <f t="shared" si="0"/>
        <v>NA</v>
      </c>
      <c r="E14" s="1913" t="str">
        <f t="shared" si="1"/>
        <v>NA</v>
      </c>
      <c r="F14" s="1913" t="str">
        <f>IF(SUM(F15:F16)=0,"NO,NE",SUM(F15:F16))</f>
        <v>NO,NE</v>
      </c>
      <c r="G14" s="1913" t="str">
        <f>IF(SUM(G15:G16)=0,"NO,NE",SUM(G15:G16))</f>
        <v>NO,NE</v>
      </c>
      <c r="H14" s="1913" t="str">
        <f>IF(SUM(H15:H16)=0,"NO,NE",SUM(H15:H16))</f>
        <v>NO,NE</v>
      </c>
      <c r="I14" s="2876" t="str">
        <f>IF(SUM(I15:I16)=0,"NO,NE",SUM(I15:I16))</f>
        <v>NO,NE</v>
      </c>
    </row>
    <row r="15" spans="1:9" ht="18" customHeight="1" x14ac:dyDescent="0.2">
      <c r="B15" s="1526" t="s">
        <v>1414</v>
      </c>
      <c r="C15" s="1912" t="s">
        <v>2154</v>
      </c>
      <c r="D15" s="1913" t="str">
        <f t="shared" si="0"/>
        <v>NA</v>
      </c>
      <c r="E15" s="1913" t="str">
        <f t="shared" si="1"/>
        <v>NA</v>
      </c>
      <c r="F15" s="1912" t="s">
        <v>2154</v>
      </c>
      <c r="G15" s="1912" t="s">
        <v>2154</v>
      </c>
      <c r="H15" s="1912" t="s">
        <v>2154</v>
      </c>
      <c r="I15" s="1920" t="s">
        <v>2154</v>
      </c>
    </row>
    <row r="16" spans="1:9" ht="18" customHeight="1" x14ac:dyDescent="0.2">
      <c r="B16" s="1526" t="s">
        <v>1415</v>
      </c>
      <c r="C16" s="2877" t="str">
        <f>C17</f>
        <v>NO</v>
      </c>
      <c r="D16" s="1913" t="str">
        <f t="shared" si="0"/>
        <v>NA</v>
      </c>
      <c r="E16" s="1913" t="str">
        <f t="shared" si="1"/>
        <v>NA</v>
      </c>
      <c r="F16" s="2877" t="str">
        <f>F17</f>
        <v>NO</v>
      </c>
      <c r="G16" s="2877" t="str">
        <f>G17</f>
        <v>NO</v>
      </c>
      <c r="H16" s="2877" t="str">
        <f>H17</f>
        <v>NO</v>
      </c>
      <c r="I16" s="2878" t="str">
        <f>I17</f>
        <v>NO</v>
      </c>
    </row>
    <row r="17" spans="2:10" ht="18" customHeight="1" thickBot="1" x14ac:dyDescent="0.25">
      <c r="B17" s="2879" t="s">
        <v>2147</v>
      </c>
      <c r="C17" s="141" t="s">
        <v>2146</v>
      </c>
      <c r="D17" s="2880" t="str">
        <f t="shared" si="0"/>
        <v>NA</v>
      </c>
      <c r="E17" s="2880" t="str">
        <f t="shared" si="1"/>
        <v>NA</v>
      </c>
      <c r="F17" s="141" t="s">
        <v>2146</v>
      </c>
      <c r="G17" s="141" t="s">
        <v>2146</v>
      </c>
      <c r="H17" s="141" t="s">
        <v>2146</v>
      </c>
      <c r="I17" s="155" t="s">
        <v>2146</v>
      </c>
    </row>
    <row r="19" spans="2:10" ht="13.5" x14ac:dyDescent="0.2">
      <c r="B19" s="1527"/>
      <c r="C19"/>
      <c r="D19"/>
      <c r="E19"/>
      <c r="F19"/>
      <c r="G19"/>
      <c r="H19"/>
      <c r="I19"/>
    </row>
    <row r="20" spans="2:10" ht="13.5" x14ac:dyDescent="0.2">
      <c r="B20" s="1517"/>
    </row>
    <row r="21" spans="2:10" ht="15" x14ac:dyDescent="0.25">
      <c r="B21" s="1517"/>
      <c r="C21" s="139"/>
      <c r="D21" s="139"/>
      <c r="E21" s="139"/>
      <c r="F21" s="139"/>
      <c r="G21" s="139"/>
      <c r="H21" s="139"/>
      <c r="I21" s="139"/>
      <c r="J21" s="139"/>
    </row>
    <row r="22" spans="2:10" ht="15" x14ac:dyDescent="0.25">
      <c r="B22" s="1517"/>
      <c r="C22" s="139"/>
      <c r="D22" s="139"/>
      <c r="E22" s="139"/>
      <c r="F22" s="139"/>
      <c r="G22" s="139"/>
      <c r="H22" s="139"/>
      <c r="I22" s="139"/>
      <c r="J22" s="139"/>
    </row>
    <row r="23" spans="2:10" ht="15" x14ac:dyDescent="0.25">
      <c r="B23" s="1517"/>
      <c r="C23" s="139"/>
      <c r="D23" s="139"/>
      <c r="E23" s="139"/>
      <c r="F23" s="139"/>
      <c r="G23" s="139"/>
      <c r="H23" s="139"/>
      <c r="I23" s="139"/>
      <c r="J23" s="139"/>
    </row>
    <row r="24" spans="2:10" ht="15" x14ac:dyDescent="0.25">
      <c r="B24" s="1517"/>
      <c r="C24" s="139"/>
      <c r="D24" s="139"/>
      <c r="E24" s="139"/>
      <c r="F24" s="139"/>
      <c r="G24" s="139"/>
      <c r="H24" s="139"/>
      <c r="I24" s="139"/>
      <c r="J24" s="139"/>
    </row>
    <row r="25" spans="2:10" ht="15" x14ac:dyDescent="0.25">
      <c r="B25" s="1517"/>
      <c r="C25" s="139"/>
      <c r="D25" s="139"/>
      <c r="E25" s="139"/>
      <c r="F25" s="139"/>
      <c r="G25" s="139"/>
      <c r="H25" s="139"/>
      <c r="I25" s="139"/>
      <c r="J25" s="139"/>
    </row>
    <row r="26" spans="2:10" ht="15.75" thickBot="1" x14ac:dyDescent="0.3">
      <c r="B26" s="1517"/>
      <c r="C26" s="139"/>
      <c r="D26" s="139"/>
      <c r="E26" s="139"/>
      <c r="F26" s="139"/>
      <c r="G26" s="139"/>
      <c r="H26" s="139"/>
      <c r="I26" s="139"/>
      <c r="J26" s="139"/>
    </row>
    <row r="27" spans="2:10" x14ac:dyDescent="0.2">
      <c r="B27" s="183" t="s">
        <v>352</v>
      </c>
      <c r="C27" s="184"/>
      <c r="D27" s="184"/>
      <c r="E27" s="184"/>
      <c r="F27" s="184"/>
      <c r="G27" s="184"/>
      <c r="H27" s="184"/>
      <c r="I27" s="185"/>
    </row>
    <row r="28" spans="2:10" x14ac:dyDescent="0.2">
      <c r="B28" s="946"/>
      <c r="C28" s="1528"/>
      <c r="D28" s="1528"/>
      <c r="E28" s="1528"/>
      <c r="F28" s="1528"/>
      <c r="G28" s="1528"/>
      <c r="H28" s="1528"/>
      <c r="I28" s="947"/>
    </row>
    <row r="29" spans="2:10" x14ac:dyDescent="0.2">
      <c r="B29" s="946"/>
      <c r="C29" s="1528"/>
      <c r="D29" s="1528"/>
      <c r="E29" s="1528"/>
      <c r="F29" s="1528"/>
      <c r="G29" s="1528"/>
      <c r="H29" s="1528"/>
      <c r="I29" s="947"/>
    </row>
    <row r="30" spans="2:10" x14ac:dyDescent="0.2">
      <c r="B30" s="946"/>
      <c r="C30" s="1528"/>
      <c r="D30" s="1528"/>
      <c r="E30" s="1528"/>
      <c r="F30" s="1528"/>
      <c r="G30" s="1528"/>
      <c r="H30" s="1528"/>
      <c r="I30" s="947"/>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1416</v>
      </c>
      <c r="C1" s="214"/>
      <c r="D1" s="214"/>
      <c r="E1" s="214"/>
      <c r="F1" s="1529"/>
      <c r="G1" s="1529"/>
      <c r="H1" s="1529" t="s">
        <v>389</v>
      </c>
      <c r="I1" s="14" t="s">
        <v>2521</v>
      </c>
    </row>
    <row r="2" spans="1:9" ht="15.75" x14ac:dyDescent="0.2">
      <c r="B2" s="811" t="s">
        <v>1417</v>
      </c>
      <c r="C2" s="214"/>
      <c r="D2" s="214"/>
      <c r="E2" s="214"/>
      <c r="F2" s="214"/>
      <c r="G2" s="214"/>
      <c r="H2" s="214"/>
      <c r="I2" s="14" t="s">
        <v>2522</v>
      </c>
    </row>
    <row r="3" spans="1:9" ht="15.75" x14ac:dyDescent="0.2">
      <c r="B3" s="955" t="s">
        <v>62</v>
      </c>
      <c r="C3" s="1529"/>
      <c r="D3" s="1529"/>
      <c r="E3" s="1529"/>
      <c r="F3" s="1529"/>
      <c r="G3" s="1529"/>
      <c r="H3" s="1529"/>
      <c r="I3" s="14" t="s">
        <v>2144</v>
      </c>
    </row>
    <row r="4" spans="1:9" ht="15.75" hidden="1" x14ac:dyDescent="0.2">
      <c r="B4" s="955"/>
      <c r="C4" s="1529"/>
      <c r="D4" s="1529"/>
      <c r="E4" s="1529"/>
      <c r="F4" s="1529"/>
      <c r="G4" s="1529"/>
      <c r="H4" s="1529"/>
      <c r="I4" s="1530"/>
    </row>
    <row r="5" spans="1:9" ht="15.75" hidden="1" x14ac:dyDescent="0.2">
      <c r="B5" s="955"/>
      <c r="C5" s="1529"/>
      <c r="D5" s="1529"/>
      <c r="E5" s="1529"/>
      <c r="F5" s="1529"/>
      <c r="G5" s="1529"/>
      <c r="H5" s="1529"/>
      <c r="I5" s="1530"/>
    </row>
    <row r="6" spans="1:9" ht="13.5" thickBot="1" x14ac:dyDescent="0.25">
      <c r="B6" s="2460" t="s">
        <v>64</v>
      </c>
      <c r="C6" s="1529"/>
      <c r="D6" s="1529"/>
      <c r="E6" s="1529"/>
      <c r="F6" s="1529"/>
      <c r="G6" s="1529"/>
      <c r="H6" s="1529"/>
      <c r="I6" s="1531"/>
    </row>
    <row r="7" spans="1:9" x14ac:dyDescent="0.2">
      <c r="B7" s="156" t="s">
        <v>1418</v>
      </c>
      <c r="C7" s="11" t="s">
        <v>419</v>
      </c>
      <c r="D7" s="1532" t="s">
        <v>305</v>
      </c>
      <c r="E7" s="1533"/>
      <c r="F7" s="1534"/>
      <c r="G7" s="1532" t="s">
        <v>124</v>
      </c>
      <c r="H7" s="1533"/>
      <c r="I7" s="1535"/>
    </row>
    <row r="8" spans="1:9" ht="20.25" customHeight="1" x14ac:dyDescent="0.2">
      <c r="B8" s="157" t="s">
        <v>328</v>
      </c>
      <c r="C8" s="1536" t="s">
        <v>1419</v>
      </c>
      <c r="D8" s="182" t="s">
        <v>1420</v>
      </c>
      <c r="E8" s="182" t="s">
        <v>424</v>
      </c>
      <c r="F8" s="1537" t="s">
        <v>425</v>
      </c>
      <c r="G8" s="86" t="s">
        <v>1421</v>
      </c>
      <c r="H8" s="86" t="s">
        <v>424</v>
      </c>
      <c r="I8" s="1538" t="s">
        <v>425</v>
      </c>
    </row>
    <row r="9" spans="1:9" ht="18" customHeight="1" thickBot="1" x14ac:dyDescent="0.25">
      <c r="A9" s="83"/>
      <c r="B9" s="206"/>
      <c r="C9" s="207" t="s">
        <v>1422</v>
      </c>
      <c r="D9" s="1523" t="s">
        <v>1423</v>
      </c>
      <c r="E9" s="1524"/>
      <c r="F9" s="1539"/>
      <c r="G9" s="1523" t="s">
        <v>73</v>
      </c>
      <c r="H9" s="1524"/>
      <c r="I9" s="1525"/>
    </row>
    <row r="10" spans="1:9" ht="18" customHeight="1" thickTop="1" x14ac:dyDescent="0.2">
      <c r="B10" s="2550" t="s">
        <v>1424</v>
      </c>
      <c r="C10" s="2886">
        <f>IF(SUM(C11,C21)=0,"NO",SUM(C11,C21))</f>
        <v>13.73932123134256</v>
      </c>
      <c r="D10" s="2887">
        <f>IF(SUM(G10)=0,"NA",G10*1000/$C10)</f>
        <v>2133.1913391312578</v>
      </c>
      <c r="E10" s="2887" t="str">
        <f t="shared" ref="E10:E20" si="0">IF(SUM(H10)=0,"NA",H10*1000/$C10)</f>
        <v>NA</v>
      </c>
      <c r="F10" s="2887" t="str">
        <f t="shared" ref="F10:F20" si="1">IF(SUM(I10)=0,"NA",I10*1000/$C10)</f>
        <v>NA</v>
      </c>
      <c r="G10" s="2887">
        <f>IF(SUM(G11,G21)=0,"NO",SUM(G11,G21))</f>
        <v>29.308601056242154</v>
      </c>
      <c r="H10" s="2887" t="str">
        <f>IF(SUM(H11,H21)=0,"NO,NE",SUM(H11,H21))</f>
        <v>NO,NE</v>
      </c>
      <c r="I10" s="2888" t="str">
        <f>IF(SUM(I11,I21)=0,"NO,NE",SUM(I11,I21))</f>
        <v>NO,NE</v>
      </c>
    </row>
    <row r="11" spans="1:9" ht="18" customHeight="1" x14ac:dyDescent="0.2">
      <c r="B11" s="1367" t="s">
        <v>1425</v>
      </c>
      <c r="C11" s="2889" t="str">
        <f>IF(SUM(C12:C13)=0,"NO",SUM(C12:C13))</f>
        <v>NO</v>
      </c>
      <c r="D11" s="2893" t="str">
        <f t="shared" ref="D11:D20" si="2">IF(SUM(G11)=0,"NA",G11*1000/$C11)</f>
        <v>NA</v>
      </c>
      <c r="E11" s="2893" t="str">
        <f t="shared" si="0"/>
        <v>NA</v>
      </c>
      <c r="F11" s="2893" t="str">
        <f t="shared" si="1"/>
        <v>NA</v>
      </c>
      <c r="G11" s="2889" t="str">
        <f>IF(SUM(G12:G13)=0,"NO",SUM(G12:G13))</f>
        <v>NO</v>
      </c>
      <c r="H11" s="116" t="str">
        <f>IF(SUM(H12:H13)=0,"NO",SUM(H12:H13))</f>
        <v>NO</v>
      </c>
      <c r="I11" s="2890" t="str">
        <f>IF(SUM(I12:I13)=0,"NO",SUM(I12:I13))</f>
        <v>NO</v>
      </c>
    </row>
    <row r="12" spans="1:9" ht="18" customHeight="1" x14ac:dyDescent="0.2">
      <c r="B12" s="1526" t="s">
        <v>1426</v>
      </c>
      <c r="C12" s="143" t="s">
        <v>2146</v>
      </c>
      <c r="D12" s="116" t="str">
        <f t="shared" si="2"/>
        <v>NA</v>
      </c>
      <c r="E12" s="116" t="str">
        <f t="shared" si="0"/>
        <v>NA</v>
      </c>
      <c r="F12" s="116" t="str">
        <f t="shared" si="1"/>
        <v>NA</v>
      </c>
      <c r="G12" s="143" t="s">
        <v>2146</v>
      </c>
      <c r="H12" s="143" t="s">
        <v>2146</v>
      </c>
      <c r="I12" s="140" t="s">
        <v>2146</v>
      </c>
    </row>
    <row r="13" spans="1:9" ht="18" customHeight="1" x14ac:dyDescent="0.2">
      <c r="B13" s="1526" t="s">
        <v>1427</v>
      </c>
      <c r="C13" s="2889" t="str">
        <f>IF(SUM(C15:C19)=0,"NO",SUM(C15:C19))</f>
        <v>NO</v>
      </c>
      <c r="D13" s="151" t="str">
        <f t="shared" si="2"/>
        <v>NA</v>
      </c>
      <c r="E13" s="151" t="str">
        <f t="shared" si="0"/>
        <v>NA</v>
      </c>
      <c r="F13" s="151" t="str">
        <f t="shared" si="1"/>
        <v>NA</v>
      </c>
      <c r="G13" s="151" t="str">
        <f>IF(SUM(G15:G19)=0,"NO",SUM(G15:G19))</f>
        <v>NO</v>
      </c>
      <c r="H13" s="151" t="str">
        <f>IF(SUM(H15:H19)=0,"NO",SUM(H15:H19))</f>
        <v>NO</v>
      </c>
      <c r="I13" s="152" t="str">
        <f>IF(SUM(I15:I19)=0,"NO",SUM(I15:I19))</f>
        <v>NO</v>
      </c>
    </row>
    <row r="14" spans="1:9" ht="18" customHeight="1" x14ac:dyDescent="0.2">
      <c r="B14" s="1279" t="s">
        <v>1359</v>
      </c>
      <c r="C14" s="2294"/>
      <c r="D14" s="2295"/>
      <c r="E14" s="2295"/>
      <c r="F14" s="2295"/>
      <c r="G14" s="2295"/>
      <c r="H14" s="2295"/>
      <c r="I14" s="2296"/>
    </row>
    <row r="15" spans="1:9" ht="18" customHeight="1" x14ac:dyDescent="0.2">
      <c r="B15" s="1540" t="s">
        <v>1428</v>
      </c>
      <c r="C15" s="143" t="s">
        <v>2146</v>
      </c>
      <c r="D15" s="116" t="str">
        <f t="shared" si="2"/>
        <v>NA</v>
      </c>
      <c r="E15" s="116" t="str">
        <f t="shared" si="0"/>
        <v>NA</v>
      </c>
      <c r="F15" s="116" t="str">
        <f t="shared" si="1"/>
        <v>NA</v>
      </c>
      <c r="G15" s="143" t="s">
        <v>2146</v>
      </c>
      <c r="H15" s="143" t="s">
        <v>2146</v>
      </c>
      <c r="I15" s="140" t="s">
        <v>2146</v>
      </c>
    </row>
    <row r="16" spans="1:9" ht="18" customHeight="1" x14ac:dyDescent="0.2">
      <c r="B16" s="1540" t="s">
        <v>1429</v>
      </c>
      <c r="C16" s="143" t="s">
        <v>2146</v>
      </c>
      <c r="D16" s="116" t="str">
        <f t="shared" si="2"/>
        <v>NA</v>
      </c>
      <c r="E16" s="116" t="str">
        <f t="shared" si="0"/>
        <v>NA</v>
      </c>
      <c r="F16" s="116" t="str">
        <f t="shared" si="1"/>
        <v>NA</v>
      </c>
      <c r="G16" s="143" t="s">
        <v>2146</v>
      </c>
      <c r="H16" s="143" t="s">
        <v>2146</v>
      </c>
      <c r="I16" s="140" t="s">
        <v>2146</v>
      </c>
    </row>
    <row r="17" spans="2:9" ht="18" customHeight="1" x14ac:dyDescent="0.2">
      <c r="B17" s="1540" t="s">
        <v>1430</v>
      </c>
      <c r="C17" s="143" t="s">
        <v>2146</v>
      </c>
      <c r="D17" s="116" t="str">
        <f t="shared" si="2"/>
        <v>NA</v>
      </c>
      <c r="E17" s="116" t="str">
        <f t="shared" si="0"/>
        <v>NA</v>
      </c>
      <c r="F17" s="116" t="str">
        <f t="shared" si="1"/>
        <v>NA</v>
      </c>
      <c r="G17" s="143" t="s">
        <v>2146</v>
      </c>
      <c r="H17" s="143" t="s">
        <v>2146</v>
      </c>
      <c r="I17" s="140" t="s">
        <v>2146</v>
      </c>
    </row>
    <row r="18" spans="2:9" ht="18" customHeight="1" x14ac:dyDescent="0.2">
      <c r="B18" s="1540" t="s">
        <v>1431</v>
      </c>
      <c r="C18" s="143" t="s">
        <v>2146</v>
      </c>
      <c r="D18" s="116" t="str">
        <f t="shared" si="2"/>
        <v>NA</v>
      </c>
      <c r="E18" s="116" t="str">
        <f t="shared" si="0"/>
        <v>NA</v>
      </c>
      <c r="F18" s="116" t="str">
        <f t="shared" si="1"/>
        <v>NA</v>
      </c>
      <c r="G18" s="143" t="s">
        <v>2146</v>
      </c>
      <c r="H18" s="143" t="s">
        <v>2146</v>
      </c>
      <c r="I18" s="140" t="s">
        <v>2146</v>
      </c>
    </row>
    <row r="19" spans="2:9" ht="18" customHeight="1" x14ac:dyDescent="0.2">
      <c r="B19" s="1540" t="s">
        <v>1432</v>
      </c>
      <c r="C19" s="1541" t="str">
        <f>C20</f>
        <v>NO</v>
      </c>
      <c r="D19" s="153" t="str">
        <f t="shared" si="2"/>
        <v>NA</v>
      </c>
      <c r="E19" s="153" t="str">
        <f t="shared" si="0"/>
        <v>NA</v>
      </c>
      <c r="F19" s="153" t="str">
        <f t="shared" si="1"/>
        <v>NA</v>
      </c>
      <c r="G19" s="1541" t="str">
        <f>G20</f>
        <v>NO</v>
      </c>
      <c r="H19" s="1541" t="str">
        <f>H20</f>
        <v>NO</v>
      </c>
      <c r="I19" s="2894" t="str">
        <f>I20</f>
        <v>NO</v>
      </c>
    </row>
    <row r="20" spans="2:9" ht="18" customHeight="1" x14ac:dyDescent="0.2">
      <c r="B20" s="2891" t="s">
        <v>2147</v>
      </c>
      <c r="C20" s="143" t="s">
        <v>2146</v>
      </c>
      <c r="D20" s="116" t="str">
        <f t="shared" si="2"/>
        <v>NA</v>
      </c>
      <c r="E20" s="116" t="str">
        <f t="shared" si="0"/>
        <v>NA</v>
      </c>
      <c r="F20" s="116" t="str">
        <f t="shared" si="1"/>
        <v>NA</v>
      </c>
      <c r="G20" s="143" t="s">
        <v>2146</v>
      </c>
      <c r="H20" s="143" t="s">
        <v>2146</v>
      </c>
      <c r="I20" s="140" t="s">
        <v>2146</v>
      </c>
    </row>
    <row r="21" spans="2:9" ht="18" customHeight="1" x14ac:dyDescent="0.2">
      <c r="B21" s="1367" t="s">
        <v>1433</v>
      </c>
      <c r="C21" s="2889">
        <f>IF(SUM(C22:C23)=0,"NO",SUM(C22:C23))</f>
        <v>13.73932123134256</v>
      </c>
      <c r="D21" s="116">
        <f>IF(SUM(G21)=0,"NA",G21*1000/$C21)</f>
        <v>2133.1913391312578</v>
      </c>
      <c r="E21" s="116" t="str">
        <f t="shared" ref="E21:F21" si="3">IF(SUM(H21)=0,"NA",H21*1000/$C21)</f>
        <v>NA</v>
      </c>
      <c r="F21" s="116" t="str">
        <f t="shared" si="3"/>
        <v>NA</v>
      </c>
      <c r="G21" s="2889">
        <f>IF(SUM(G22:G23)=0,"NO",SUM(G22:G23))</f>
        <v>29.308601056242154</v>
      </c>
      <c r="H21" s="116" t="str">
        <f>IF(SUM(H22:H23)=0,"NO,NE",SUM(H22:H23))</f>
        <v>NO,NE</v>
      </c>
      <c r="I21" s="2890" t="str">
        <f>IF(SUM(I22:I23)=0,"NO,NE",SUM(I22:I23))</f>
        <v>NO,NE</v>
      </c>
    </row>
    <row r="22" spans="2:9" ht="18" customHeight="1" x14ac:dyDescent="0.2">
      <c r="B22" s="1526" t="s">
        <v>1434</v>
      </c>
      <c r="C22" s="143" t="s">
        <v>2146</v>
      </c>
      <c r="D22" s="116" t="str">
        <f t="shared" ref="D22:D38" si="4">IF(SUM(G22)=0,"NA",G22*1000/$C22)</f>
        <v>NA</v>
      </c>
      <c r="E22" s="116" t="str">
        <f t="shared" ref="E22:E38" si="5">IF(SUM(H22)=0,"NA",H22*1000/$C22)</f>
        <v>NA</v>
      </c>
      <c r="F22" s="116" t="str">
        <f t="shared" ref="F22:F38" si="6">IF(SUM(I22)=0,"NA",I22*1000/$C22)</f>
        <v>NA</v>
      </c>
      <c r="G22" s="143" t="s">
        <v>2146</v>
      </c>
      <c r="H22" s="143" t="s">
        <v>2146</v>
      </c>
      <c r="I22" s="140" t="s">
        <v>2146</v>
      </c>
    </row>
    <row r="23" spans="2:9" ht="18" customHeight="1" x14ac:dyDescent="0.2">
      <c r="B23" s="1526" t="s">
        <v>1435</v>
      </c>
      <c r="C23" s="2889">
        <f>IF(SUM(C25:C29)=0,"NO",SUM(C25:C29))</f>
        <v>13.73932123134256</v>
      </c>
      <c r="D23" s="116">
        <f t="shared" si="4"/>
        <v>2133.1913391312578</v>
      </c>
      <c r="E23" s="151" t="str">
        <f t="shared" si="5"/>
        <v>NA</v>
      </c>
      <c r="F23" s="151" t="str">
        <f t="shared" si="6"/>
        <v>NA</v>
      </c>
      <c r="G23" s="151">
        <f>IF(SUM(G25:G30)=0,"NO",SUM(G25:G30))</f>
        <v>29.308601056242154</v>
      </c>
      <c r="H23" s="151" t="str">
        <f>IF(SUM(H25:H30)=0,"NE",SUM(H25:H30))</f>
        <v>NE</v>
      </c>
      <c r="I23" s="152" t="str">
        <f>IF(SUM(I25:I30)=0,"NE",SUM(I25:I30))</f>
        <v>NE</v>
      </c>
    </row>
    <row r="24" spans="2:9" ht="18" customHeight="1" x14ac:dyDescent="0.2">
      <c r="B24" s="1279" t="s">
        <v>1359</v>
      </c>
      <c r="C24" s="2294"/>
      <c r="D24" s="2295"/>
      <c r="E24" s="2295"/>
      <c r="F24" s="2295"/>
      <c r="G24" s="2295"/>
      <c r="H24" s="2295"/>
      <c r="I24" s="2296"/>
    </row>
    <row r="25" spans="2:9" ht="18" customHeight="1" x14ac:dyDescent="0.2">
      <c r="B25" s="1540" t="s">
        <v>1436</v>
      </c>
      <c r="C25" s="2895" t="s">
        <v>2146</v>
      </c>
      <c r="D25" s="116" t="str">
        <f t="shared" si="4"/>
        <v>NA</v>
      </c>
      <c r="E25" s="116" t="str">
        <f t="shared" si="5"/>
        <v>NA</v>
      </c>
      <c r="F25" s="116" t="str">
        <f t="shared" si="6"/>
        <v>NA</v>
      </c>
      <c r="G25" s="2895" t="s">
        <v>2146</v>
      </c>
      <c r="H25" s="2895" t="s">
        <v>2146</v>
      </c>
      <c r="I25" s="2896" t="s">
        <v>2146</v>
      </c>
    </row>
    <row r="26" spans="2:9" ht="18" customHeight="1" x14ac:dyDescent="0.2">
      <c r="B26" s="1540" t="s">
        <v>1437</v>
      </c>
      <c r="C26" s="2895" t="s">
        <v>2146</v>
      </c>
      <c r="D26" s="116" t="str">
        <f t="shared" si="4"/>
        <v>NA</v>
      </c>
      <c r="E26" s="116" t="str">
        <f t="shared" si="5"/>
        <v>NA</v>
      </c>
      <c r="F26" s="116" t="str">
        <f t="shared" si="6"/>
        <v>NA</v>
      </c>
      <c r="G26" s="2895" t="s">
        <v>2146</v>
      </c>
      <c r="H26" s="2895" t="s">
        <v>2146</v>
      </c>
      <c r="I26" s="2896" t="s">
        <v>2146</v>
      </c>
    </row>
    <row r="27" spans="2:9" ht="18" customHeight="1" x14ac:dyDescent="0.2">
      <c r="B27" s="1540" t="s">
        <v>1438</v>
      </c>
      <c r="C27" s="3777">
        <v>13.73932123134256</v>
      </c>
      <c r="D27" s="116">
        <f t="shared" si="4"/>
        <v>880.00000000000011</v>
      </c>
      <c r="E27" s="116" t="str">
        <f t="shared" si="5"/>
        <v>NA</v>
      </c>
      <c r="F27" s="116" t="str">
        <f t="shared" si="6"/>
        <v>NA</v>
      </c>
      <c r="G27" s="2897">
        <v>12.090602683581453</v>
      </c>
      <c r="H27" s="2895" t="s">
        <v>2154</v>
      </c>
      <c r="I27" s="2896" t="s">
        <v>2154</v>
      </c>
    </row>
    <row r="28" spans="2:9" ht="18" customHeight="1" x14ac:dyDescent="0.2">
      <c r="B28" s="1540" t="s">
        <v>1439</v>
      </c>
      <c r="C28" s="2895" t="s">
        <v>2146</v>
      </c>
      <c r="D28" s="116" t="str">
        <f t="shared" si="4"/>
        <v>NA</v>
      </c>
      <c r="E28" s="116" t="str">
        <f t="shared" si="5"/>
        <v>NA</v>
      </c>
      <c r="F28" s="116" t="str">
        <f t="shared" si="6"/>
        <v>NA</v>
      </c>
      <c r="G28" s="2895" t="s">
        <v>2146</v>
      </c>
      <c r="H28" s="2895" t="s">
        <v>2146</v>
      </c>
      <c r="I28" s="2896" t="s">
        <v>2146</v>
      </c>
    </row>
    <row r="29" spans="2:9" ht="18" customHeight="1" x14ac:dyDescent="0.2">
      <c r="B29" s="1540" t="s">
        <v>1440</v>
      </c>
      <c r="C29" s="2895" t="s">
        <v>2146</v>
      </c>
      <c r="D29" s="116" t="str">
        <f t="shared" si="4"/>
        <v>NA</v>
      </c>
      <c r="E29" s="116" t="str">
        <f t="shared" si="5"/>
        <v>NA</v>
      </c>
      <c r="F29" s="116" t="str">
        <f t="shared" si="6"/>
        <v>NA</v>
      </c>
      <c r="G29" s="2895" t="s">
        <v>2146</v>
      </c>
      <c r="H29" s="2895" t="s">
        <v>2146</v>
      </c>
      <c r="I29" s="2896" t="s">
        <v>2146</v>
      </c>
    </row>
    <row r="30" spans="2:9" ht="18" customHeight="1" x14ac:dyDescent="0.2">
      <c r="B30" s="1540" t="s">
        <v>1441</v>
      </c>
      <c r="C30" s="1541">
        <f>C31</f>
        <v>5.6143205858421501</v>
      </c>
      <c r="D30" s="116">
        <f t="shared" si="4"/>
        <v>3066.7999999999988</v>
      </c>
      <c r="E30" s="153" t="str">
        <f t="shared" si="5"/>
        <v>NA</v>
      </c>
      <c r="F30" s="153" t="str">
        <f t="shared" si="6"/>
        <v>NA</v>
      </c>
      <c r="G30" s="1541">
        <f>G31</f>
        <v>17.217998372660698</v>
      </c>
      <c r="H30" s="1541" t="str">
        <f>H31</f>
        <v>NE</v>
      </c>
      <c r="I30" s="2894" t="str">
        <f>I31</f>
        <v>NE</v>
      </c>
    </row>
    <row r="31" spans="2:9" ht="18" customHeight="1" x14ac:dyDescent="0.2">
      <c r="B31" s="2891" t="s">
        <v>2257</v>
      </c>
      <c r="C31" s="162">
        <v>5.6143205858421501</v>
      </c>
      <c r="D31" s="116">
        <f t="shared" si="4"/>
        <v>3066.7999999999988</v>
      </c>
      <c r="E31" s="153" t="str">
        <f t="shared" si="5"/>
        <v>NA</v>
      </c>
      <c r="F31" s="153" t="str">
        <f t="shared" si="6"/>
        <v>NA</v>
      </c>
      <c r="G31" s="161">
        <v>17.217998372660698</v>
      </c>
      <c r="H31" s="2895" t="s">
        <v>2154</v>
      </c>
      <c r="I31" s="2896" t="s">
        <v>2154</v>
      </c>
    </row>
    <row r="32" spans="2:9" ht="18" customHeight="1" x14ac:dyDescent="0.2">
      <c r="B32" s="1368" t="s">
        <v>1380</v>
      </c>
      <c r="C32" s="116" t="s">
        <v>2146</v>
      </c>
      <c r="D32" s="116" t="str">
        <f t="shared" ref="D32" si="7">IF(SUM(G32)=0,"NA",G32*1000/$C32)</f>
        <v>NA</v>
      </c>
      <c r="E32" s="116" t="str">
        <f t="shared" ref="E32" si="8">IF(SUM(H32)=0,"NA",H32*1000/$C32)</f>
        <v>NA</v>
      </c>
      <c r="F32" s="116" t="str">
        <f t="shared" ref="F32" si="9">IF(SUM(I32)=0,"NA",I32*1000/$C32)</f>
        <v>NA</v>
      </c>
      <c r="G32" s="116" t="s">
        <v>2146</v>
      </c>
      <c r="H32" s="116" t="s">
        <v>2146</v>
      </c>
      <c r="I32" s="142" t="s">
        <v>2146</v>
      </c>
    </row>
    <row r="33" spans="2:9" ht="18" customHeight="1" x14ac:dyDescent="0.2">
      <c r="B33" s="1367" t="s">
        <v>1993</v>
      </c>
      <c r="C33" s="116" t="s">
        <v>2146</v>
      </c>
      <c r="D33" s="116" t="str">
        <f t="shared" si="4"/>
        <v>NA</v>
      </c>
      <c r="E33" s="116" t="str">
        <f t="shared" si="5"/>
        <v>NA</v>
      </c>
      <c r="F33" s="116" t="str">
        <f t="shared" si="6"/>
        <v>NA</v>
      </c>
      <c r="G33" s="116" t="s">
        <v>2146</v>
      </c>
      <c r="H33" s="116" t="s">
        <v>2146</v>
      </c>
      <c r="I33" s="142" t="s">
        <v>2146</v>
      </c>
    </row>
    <row r="34" spans="2:9" ht="18" customHeight="1" x14ac:dyDescent="0.2">
      <c r="B34" s="1526" t="s">
        <v>1442</v>
      </c>
      <c r="C34" s="2897" t="s">
        <v>2146</v>
      </c>
      <c r="D34" s="116" t="str">
        <f t="shared" si="4"/>
        <v>NA</v>
      </c>
      <c r="E34" s="116" t="str">
        <f t="shared" si="5"/>
        <v>NA</v>
      </c>
      <c r="F34" s="116" t="str">
        <f t="shared" si="6"/>
        <v>NA</v>
      </c>
      <c r="G34" s="2895" t="s">
        <v>2146</v>
      </c>
      <c r="H34" s="2895" t="s">
        <v>2146</v>
      </c>
      <c r="I34" s="2898" t="s">
        <v>2146</v>
      </c>
    </row>
    <row r="35" spans="2:9" ht="18" customHeight="1" x14ac:dyDescent="0.2">
      <c r="B35" s="1526" t="s">
        <v>1443</v>
      </c>
      <c r="C35" s="2899" t="s">
        <v>2146</v>
      </c>
      <c r="D35" s="151" t="str">
        <f t="shared" si="4"/>
        <v>NA</v>
      </c>
      <c r="E35" s="151" t="str">
        <f t="shared" si="5"/>
        <v>NA</v>
      </c>
      <c r="F35" s="151" t="str">
        <f t="shared" si="6"/>
        <v>NA</v>
      </c>
      <c r="G35" s="2900" t="s">
        <v>2146</v>
      </c>
      <c r="H35" s="2900" t="s">
        <v>2146</v>
      </c>
      <c r="I35" s="2901" t="s">
        <v>2146</v>
      </c>
    </row>
    <row r="36" spans="2:9" ht="18" customHeight="1" x14ac:dyDescent="0.2">
      <c r="B36" s="2892" t="s">
        <v>2147</v>
      </c>
      <c r="C36" s="2897" t="s">
        <v>2146</v>
      </c>
      <c r="D36" s="151" t="str">
        <f t="shared" si="4"/>
        <v>NA</v>
      </c>
      <c r="E36" s="151" t="str">
        <f t="shared" si="5"/>
        <v>NA</v>
      </c>
      <c r="F36" s="151" t="str">
        <f t="shared" si="6"/>
        <v>NA</v>
      </c>
      <c r="G36" s="2895" t="s">
        <v>2146</v>
      </c>
      <c r="H36" s="2895" t="s">
        <v>2146</v>
      </c>
      <c r="I36" s="2902" t="s">
        <v>2146</v>
      </c>
    </row>
    <row r="37" spans="2:9" ht="18" customHeight="1" x14ac:dyDescent="0.2">
      <c r="B37" s="1367" t="s">
        <v>1444</v>
      </c>
      <c r="C37" s="116" t="s">
        <v>2146</v>
      </c>
      <c r="D37" s="116" t="str">
        <f t="shared" ref="D37" si="10">IF(SUM(G37)=0,"NA",G37*1000/$C37)</f>
        <v>NA</v>
      </c>
      <c r="E37" s="116" t="str">
        <f t="shared" ref="E37" si="11">IF(SUM(H37)=0,"NA",H37*1000/$C37)</f>
        <v>NA</v>
      </c>
      <c r="F37" s="116" t="str">
        <f t="shared" ref="F37" si="12">IF(SUM(I37)=0,"NA",I37*1000/$C37)</f>
        <v>NA</v>
      </c>
      <c r="G37" s="116" t="s">
        <v>2146</v>
      </c>
      <c r="H37" s="116" t="s">
        <v>2146</v>
      </c>
      <c r="I37" s="142" t="s">
        <v>2146</v>
      </c>
    </row>
    <row r="38" spans="2:9" ht="18" customHeight="1" x14ac:dyDescent="0.2">
      <c r="B38" s="1526" t="s">
        <v>1445</v>
      </c>
      <c r="C38" s="2895" t="s">
        <v>2146</v>
      </c>
      <c r="D38" s="116" t="str">
        <f t="shared" si="4"/>
        <v>NA</v>
      </c>
      <c r="E38" s="116" t="str">
        <f t="shared" si="5"/>
        <v>NA</v>
      </c>
      <c r="F38" s="116" t="str">
        <f t="shared" si="6"/>
        <v>NA</v>
      </c>
      <c r="G38" s="2895" t="s">
        <v>2146</v>
      </c>
      <c r="H38" s="2895" t="s">
        <v>2146</v>
      </c>
      <c r="I38" s="2898" t="s">
        <v>2146</v>
      </c>
    </row>
    <row r="39" spans="2:9" ht="18" customHeight="1" x14ac:dyDescent="0.2">
      <c r="B39" s="1526" t="s">
        <v>1446</v>
      </c>
      <c r="C39" s="151" t="s">
        <v>2146</v>
      </c>
      <c r="D39" s="151" t="str">
        <f t="shared" ref="D39" si="13">IF(SUM(G39)=0,"NA",G39*1000/$C39)</f>
        <v>NA</v>
      </c>
      <c r="E39" s="151" t="str">
        <f t="shared" ref="E39" si="14">IF(SUM(H39)=0,"NA",H39*1000/$C39)</f>
        <v>NA</v>
      </c>
      <c r="F39" s="151" t="str">
        <f t="shared" ref="F39" si="15">IF(SUM(I39)=0,"NA",I39*1000/$C39)</f>
        <v>NA</v>
      </c>
      <c r="G39" s="151" t="s">
        <v>2146</v>
      </c>
      <c r="H39" s="151" t="s">
        <v>2146</v>
      </c>
      <c r="I39" s="152" t="s">
        <v>2146</v>
      </c>
    </row>
    <row r="40" spans="2:9" ht="18" customHeight="1" thickBot="1" x14ac:dyDescent="0.25">
      <c r="B40" s="2885" t="s">
        <v>2147</v>
      </c>
      <c r="C40" s="1505" t="s">
        <v>2146</v>
      </c>
      <c r="D40" s="154" t="str">
        <f t="shared" ref="D40" si="16">IF(SUM(G40)=0,"NA",G40*1000/$C40)</f>
        <v>NA</v>
      </c>
      <c r="E40" s="154" t="str">
        <f t="shared" ref="E40" si="17">IF(SUM(H40)=0,"NA",H40*1000/$C40)</f>
        <v>NA</v>
      </c>
      <c r="F40" s="154" t="str">
        <f t="shared" ref="F40" si="18">IF(SUM(I40)=0,"NA",I40*1000/$C40)</f>
        <v>NA</v>
      </c>
      <c r="G40" s="1505" t="s">
        <v>2146</v>
      </c>
      <c r="H40" s="1505" t="s">
        <v>2146</v>
      </c>
      <c r="I40" s="1549" t="s">
        <v>2146</v>
      </c>
    </row>
    <row r="41" spans="2:9" x14ac:dyDescent="0.2">
      <c r="B41" s="119"/>
      <c r="C41" s="119"/>
      <c r="D41" s="119"/>
      <c r="E41" s="119"/>
      <c r="F41" s="119"/>
      <c r="G41" s="119"/>
      <c r="H41" s="119"/>
      <c r="I41" s="119"/>
    </row>
    <row r="42" spans="2:9" x14ac:dyDescent="0.2">
      <c r="B42" s="1542"/>
      <c r="C42" s="1542"/>
      <c r="D42" s="1542"/>
      <c r="E42" s="1542"/>
      <c r="F42" s="1542"/>
      <c r="G42" s="1542"/>
      <c r="H42" s="1542"/>
      <c r="I42" s="1542"/>
    </row>
    <row r="43" spans="2:9" x14ac:dyDescent="0.2">
      <c r="B43" s="1543"/>
      <c r="C43" s="1542"/>
      <c r="D43" s="1542"/>
      <c r="E43" s="1542"/>
      <c r="F43" s="1542"/>
      <c r="G43" s="1542"/>
      <c r="H43" s="1542"/>
      <c r="I43" s="1542"/>
    </row>
    <row r="44" spans="2:9" ht="13.5" x14ac:dyDescent="0.2">
      <c r="B44" s="1544"/>
      <c r="C44" s="1544"/>
      <c r="D44" s="1544"/>
      <c r="E44" s="1544"/>
      <c r="F44" s="1544"/>
      <c r="G44" s="1544"/>
      <c r="H44" s="1544"/>
      <c r="I44" s="1544"/>
    </row>
    <row r="45" spans="2:9" ht="13.5" x14ac:dyDescent="0.2">
      <c r="B45" s="1545"/>
      <c r="C45" s="1544"/>
      <c r="D45" s="1544"/>
      <c r="E45" s="1544"/>
      <c r="F45" s="1544"/>
      <c r="G45" s="1544"/>
      <c r="H45" s="1544"/>
      <c r="I45" s="1544"/>
    </row>
    <row r="46" spans="2:9" ht="13.5" x14ac:dyDescent="0.2">
      <c r="B46" s="1544"/>
      <c r="C46" s="1544"/>
      <c r="D46" s="1544"/>
      <c r="E46" s="1544"/>
      <c r="F46" s="1544"/>
      <c r="G46" s="1544"/>
      <c r="H46" s="1544"/>
      <c r="I46" s="1544"/>
    </row>
    <row r="47" spans="2:9" ht="13.5" x14ac:dyDescent="0.2">
      <c r="B47" s="1545"/>
      <c r="C47" s="1544"/>
      <c r="D47" s="1544"/>
      <c r="E47" s="1544"/>
      <c r="F47" s="1544"/>
      <c r="G47" s="1544"/>
      <c r="H47" s="1544"/>
      <c r="I47" s="1544"/>
    </row>
    <row r="48" spans="2:9" ht="13.5" x14ac:dyDescent="0.2">
      <c r="B48" s="1544"/>
      <c r="C48" s="1544"/>
      <c r="D48" s="1544"/>
      <c r="E48" s="1544"/>
      <c r="F48" s="1544"/>
      <c r="G48" s="1544"/>
      <c r="H48" s="1544"/>
      <c r="I48" s="1544"/>
    </row>
    <row r="49" spans="2:9" ht="13.5" x14ac:dyDescent="0.2">
      <c r="B49" s="1544"/>
      <c r="C49" s="1544"/>
      <c r="D49" s="1544"/>
      <c r="E49" s="1544"/>
      <c r="F49" s="1544"/>
      <c r="G49" s="1544"/>
      <c r="H49" s="1544"/>
      <c r="I49" s="1544"/>
    </row>
    <row r="50" spans="2:9" ht="13.5" x14ac:dyDescent="0.2">
      <c r="B50" s="1545"/>
      <c r="C50" s="1544"/>
      <c r="D50" s="1544"/>
      <c r="E50" s="1544"/>
      <c r="F50" s="1544"/>
      <c r="G50" s="1544"/>
      <c r="H50" s="1544"/>
      <c r="I50" s="1544"/>
    </row>
    <row r="51" spans="2:9" ht="13.5" x14ac:dyDescent="0.2">
      <c r="B51" s="1517"/>
      <c r="C51" s="1517"/>
      <c r="D51" s="1517"/>
      <c r="E51" s="1517"/>
      <c r="F51" s="1517"/>
      <c r="G51" s="1517"/>
      <c r="H51" s="1517"/>
      <c r="I51" s="1517"/>
    </row>
    <row r="52" spans="2:9" ht="13.5" x14ac:dyDescent="0.2">
      <c r="B52" s="1517"/>
      <c r="C52" s="1517"/>
      <c r="D52" s="1517"/>
      <c r="E52" s="1517"/>
      <c r="F52" s="1517"/>
      <c r="G52" s="1517"/>
      <c r="H52" s="1517"/>
      <c r="I52" s="1517"/>
    </row>
    <row r="53" spans="2:9" ht="13.5" x14ac:dyDescent="0.2">
      <c r="B53" s="1517"/>
      <c r="C53" s="1517"/>
      <c r="D53" s="1517"/>
      <c r="E53" s="1517"/>
      <c r="F53" s="1517"/>
      <c r="G53" s="1517"/>
      <c r="H53" s="1517"/>
      <c r="I53" s="1517"/>
    </row>
    <row r="54" spans="2:9" ht="13.5" thickBot="1" x14ac:dyDescent="0.25">
      <c r="B54" s="1546"/>
      <c r="C54" s="1546"/>
      <c r="D54" s="1546"/>
      <c r="E54" s="1546"/>
      <c r="F54" s="1546"/>
      <c r="G54" s="1546"/>
      <c r="H54" s="1546"/>
      <c r="I54" s="1546"/>
    </row>
    <row r="55" spans="2:9" x14ac:dyDescent="0.2">
      <c r="B55" s="183" t="s">
        <v>352</v>
      </c>
      <c r="C55" s="184"/>
      <c r="D55" s="184"/>
      <c r="E55" s="184"/>
      <c r="F55" s="184"/>
      <c r="G55" s="184"/>
      <c r="H55" s="184"/>
      <c r="I55" s="185"/>
    </row>
    <row r="56" spans="2:9" x14ac:dyDescent="0.2">
      <c r="B56" s="946"/>
      <c r="C56" s="1528"/>
      <c r="D56" s="1528"/>
      <c r="E56" s="1528"/>
      <c r="F56" s="1528"/>
      <c r="G56" s="1528"/>
      <c r="H56" s="1528"/>
      <c r="I56" s="947"/>
    </row>
    <row r="57" spans="2:9" x14ac:dyDescent="0.2">
      <c r="B57" s="946"/>
      <c r="C57" s="1528"/>
      <c r="D57" s="1528"/>
      <c r="E57" s="1528"/>
      <c r="F57" s="1528"/>
      <c r="G57" s="1528"/>
      <c r="H57" s="1528"/>
      <c r="I57" s="947"/>
    </row>
    <row r="58" spans="2:9" x14ac:dyDescent="0.2">
      <c r="B58" s="946"/>
      <c r="C58" s="1528"/>
      <c r="D58" s="1528"/>
      <c r="E58" s="1528"/>
      <c r="F58" s="1528"/>
      <c r="G58" s="1528"/>
      <c r="H58" s="1528"/>
      <c r="I58" s="947"/>
    </row>
    <row r="59" spans="2:9" x14ac:dyDescent="0.2">
      <c r="B59" s="191"/>
      <c r="C59" s="1528"/>
      <c r="D59" s="1528"/>
      <c r="E59" s="1528"/>
      <c r="F59" s="1528"/>
      <c r="G59" s="1528"/>
      <c r="H59" s="1528"/>
      <c r="I59" s="947"/>
    </row>
    <row r="60" spans="2:9" x14ac:dyDescent="0.2">
      <c r="B60" s="191"/>
      <c r="C60" s="1528"/>
      <c r="D60" s="1528"/>
      <c r="E60" s="1528"/>
      <c r="F60" s="1528"/>
      <c r="G60" s="1528"/>
      <c r="H60" s="1528"/>
      <c r="I60" s="947"/>
    </row>
    <row r="61" spans="2:9" ht="13.5" thickBot="1" x14ac:dyDescent="0.25">
      <c r="B61" s="198"/>
      <c r="C61" s="953"/>
      <c r="D61" s="953"/>
      <c r="E61" s="953"/>
      <c r="F61" s="953"/>
      <c r="G61" s="953"/>
      <c r="H61" s="953"/>
      <c r="I61" s="954"/>
    </row>
    <row r="62" spans="2:9" ht="13.5" thickBot="1" x14ac:dyDescent="0.25">
      <c r="B62" s="195"/>
      <c r="C62" s="199"/>
      <c r="D62" s="199"/>
      <c r="E62" s="199"/>
      <c r="F62" s="199"/>
      <c r="G62" s="199"/>
      <c r="H62" s="199"/>
      <c r="I62" s="200"/>
    </row>
  </sheetData>
  <dataValidations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8.28515625" style="110" customWidth="1"/>
    <col min="8" max="10" width="11.140625" style="110" customWidth="1"/>
    <col min="11" max="12" width="20.7109375" style="110" customWidth="1"/>
    <col min="13" max="13" width="8" style="110"/>
    <col min="14" max="14" width="25.28515625" style="110" customWidth="1"/>
    <col min="15" max="15" width="12.5703125" style="110" customWidth="1"/>
    <col min="16" max="16" width="6.85546875" style="110" customWidth="1"/>
    <col min="17" max="16384" width="8" style="110"/>
  </cols>
  <sheetData>
    <row r="1" spans="1:15" ht="15.75" customHeight="1" x14ac:dyDescent="0.2">
      <c r="A1"/>
      <c r="B1" s="213" t="s">
        <v>1447</v>
      </c>
      <c r="C1" s="213"/>
      <c r="D1" s="213"/>
      <c r="E1" s="213"/>
      <c r="F1"/>
      <c r="G1"/>
      <c r="H1"/>
      <c r="I1"/>
      <c r="J1"/>
      <c r="K1" s="226"/>
      <c r="L1" s="14" t="s">
        <v>2521</v>
      </c>
      <c r="M1"/>
      <c r="N1"/>
      <c r="O1"/>
    </row>
    <row r="2" spans="1:15" ht="15.75" customHeight="1" x14ac:dyDescent="0.2">
      <c r="A2"/>
      <c r="B2" s="213" t="s">
        <v>1448</v>
      </c>
      <c r="C2" s="213"/>
      <c r="D2"/>
      <c r="E2"/>
      <c r="F2"/>
      <c r="G2"/>
      <c r="H2"/>
      <c r="I2"/>
      <c r="J2"/>
      <c r="K2" s="226"/>
      <c r="L2" s="14" t="s">
        <v>2522</v>
      </c>
      <c r="M2"/>
      <c r="N2"/>
      <c r="O2"/>
    </row>
    <row r="3" spans="1:15" ht="15.75" customHeight="1" x14ac:dyDescent="0.2">
      <c r="A3"/>
      <c r="B3" s="3" t="s">
        <v>62</v>
      </c>
      <c r="C3"/>
      <c r="D3"/>
      <c r="E3"/>
      <c r="F3"/>
      <c r="G3"/>
      <c r="H3"/>
      <c r="I3"/>
      <c r="J3"/>
      <c r="K3" s="226"/>
      <c r="L3" s="14" t="s">
        <v>2144</v>
      </c>
      <c r="M3"/>
      <c r="N3"/>
      <c r="O3"/>
    </row>
    <row r="4" spans="1:15" ht="15.75" customHeight="1" x14ac:dyDescent="0.2">
      <c r="A4"/>
      <c r="B4" s="3"/>
      <c r="C4"/>
      <c r="D4"/>
      <c r="E4"/>
      <c r="F4"/>
      <c r="G4"/>
      <c r="H4"/>
      <c r="I4"/>
      <c r="J4"/>
      <c r="K4" s="226"/>
      <c r="L4" s="226"/>
      <c r="M4"/>
      <c r="N4"/>
      <c r="O4"/>
    </row>
    <row r="5" spans="1:15" ht="12.75" customHeight="1" thickBot="1" x14ac:dyDescent="0.25">
      <c r="A5"/>
      <c r="B5" s="2446" t="s">
        <v>64</v>
      </c>
      <c r="C5"/>
      <c r="D5"/>
      <c r="E5"/>
      <c r="F5"/>
      <c r="G5"/>
      <c r="H5"/>
      <c r="I5"/>
      <c r="J5"/>
      <c r="K5"/>
      <c r="L5"/>
      <c r="M5"/>
      <c r="N5"/>
      <c r="O5"/>
    </row>
    <row r="6" spans="1:15" ht="24.75" thickBot="1" x14ac:dyDescent="0.25">
      <c r="A6"/>
      <c r="B6" s="1743" t="s">
        <v>65</v>
      </c>
      <c r="C6" s="1762" t="s">
        <v>1449</v>
      </c>
      <c r="D6" s="178"/>
      <c r="E6" s="179"/>
      <c r="F6" s="177" t="s">
        <v>1450</v>
      </c>
      <c r="G6" s="179"/>
      <c r="H6" s="177" t="s">
        <v>124</v>
      </c>
      <c r="I6" s="178"/>
      <c r="J6" s="179"/>
      <c r="K6" s="178" t="s">
        <v>1451</v>
      </c>
      <c r="L6" s="203"/>
      <c r="M6"/>
      <c r="N6" s="1763" t="s">
        <v>417</v>
      </c>
      <c r="O6" s="1174"/>
    </row>
    <row r="7" spans="1:15" ht="15.75" customHeight="1" x14ac:dyDescent="0.2">
      <c r="A7"/>
      <c r="B7" s="1764"/>
      <c r="C7" s="433"/>
      <c r="D7" s="1765"/>
      <c r="E7" s="1765"/>
      <c r="F7" s="325" t="s">
        <v>1452</v>
      </c>
      <c r="G7" s="433" t="s">
        <v>68</v>
      </c>
      <c r="H7" s="1721" t="s">
        <v>1453</v>
      </c>
      <c r="I7" s="335" t="s">
        <v>68</v>
      </c>
      <c r="J7" s="1766"/>
      <c r="K7" s="335" t="s">
        <v>67</v>
      </c>
      <c r="L7" s="331"/>
      <c r="M7"/>
      <c r="N7" s="1767" t="s">
        <v>1454</v>
      </c>
      <c r="O7" s="3439">
        <v>20453.708999999999</v>
      </c>
    </row>
    <row r="8" spans="1:15" ht="39" x14ac:dyDescent="0.2">
      <c r="A8" s="83"/>
      <c r="B8" s="1764"/>
      <c r="C8" s="92" t="s">
        <v>1455</v>
      </c>
      <c r="D8" s="1768" t="s">
        <v>1456</v>
      </c>
      <c r="E8" s="1768" t="s">
        <v>1457</v>
      </c>
      <c r="F8" s="1769"/>
      <c r="G8" s="92"/>
      <c r="H8" s="1745"/>
      <c r="I8" s="1761" t="s">
        <v>1458</v>
      </c>
      <c r="J8" s="92" t="s">
        <v>1459</v>
      </c>
      <c r="K8" s="1761" t="s">
        <v>1407</v>
      </c>
      <c r="L8" s="1746" t="s">
        <v>1460</v>
      </c>
      <c r="M8"/>
      <c r="N8" s="1770" t="s">
        <v>1461</v>
      </c>
      <c r="O8" s="3778">
        <v>35.434258700635063</v>
      </c>
    </row>
    <row r="9" spans="1:15" ht="18" customHeight="1" thickBot="1" x14ac:dyDescent="0.25">
      <c r="A9"/>
      <c r="B9" s="1771"/>
      <c r="C9" s="1748" t="s">
        <v>1462</v>
      </c>
      <c r="D9" s="1772"/>
      <c r="E9" s="1773" t="s">
        <v>1463</v>
      </c>
      <c r="F9" s="1773" t="s">
        <v>1464</v>
      </c>
      <c r="G9" s="1619" t="s">
        <v>1465</v>
      </c>
      <c r="H9" s="1748" t="s">
        <v>1466</v>
      </c>
      <c r="I9" s="344"/>
      <c r="J9" s="344"/>
      <c r="K9" s="344"/>
      <c r="L9" s="345"/>
      <c r="M9"/>
      <c r="N9" s="1770" t="s">
        <v>1467</v>
      </c>
      <c r="O9" s="3440">
        <v>0.16</v>
      </c>
    </row>
    <row r="10" spans="1:15" ht="18" customHeight="1" thickTop="1" x14ac:dyDescent="0.2">
      <c r="A10"/>
      <c r="B10" s="1774" t="s">
        <v>1382</v>
      </c>
      <c r="C10" s="3435">
        <v>2387.44542450155</v>
      </c>
      <c r="D10" s="3435">
        <v>1833.45484866064</v>
      </c>
      <c r="E10" s="3435">
        <v>117.354919822482</v>
      </c>
      <c r="F10" s="3436">
        <f>(SUM(H10)-SUM(K10:L10))/C10</f>
        <v>4.605821084791116E-2</v>
      </c>
      <c r="G10" s="3437">
        <f>SUM(I10:J10)/E10/(44/28)</f>
        <v>3.3726289774507899E-3</v>
      </c>
      <c r="H10" s="3434">
        <v>58.797586242088734</v>
      </c>
      <c r="I10" s="3223">
        <v>0.62196294794812657</v>
      </c>
      <c r="J10" s="3223" t="s">
        <v>2153</v>
      </c>
      <c r="K10" s="3438">
        <v>-16.046776028892374</v>
      </c>
      <c r="L10" s="2911">
        <v>-35.117102478592045</v>
      </c>
      <c r="M10"/>
      <c r="N10" s="1770" t="s">
        <v>1468</v>
      </c>
      <c r="O10" s="3440">
        <v>1</v>
      </c>
    </row>
    <row r="11" spans="1:15" ht="18" customHeight="1" x14ac:dyDescent="0.2">
      <c r="A11"/>
      <c r="B11" s="1749" t="s">
        <v>1383</v>
      </c>
      <c r="C11" s="3435">
        <v>827.51134883768805</v>
      </c>
      <c r="D11" s="3435">
        <v>122.563563961604</v>
      </c>
      <c r="E11" s="691" t="s">
        <v>2153</v>
      </c>
      <c r="F11" s="3162">
        <f>(SUM(H11)-SUM(K11:L11))/C11</f>
        <v>6.8730179534359989E-2</v>
      </c>
      <c r="G11" s="3162" t="s">
        <v>2147</v>
      </c>
      <c r="H11" s="691">
        <v>54.36470834249694</v>
      </c>
      <c r="I11" s="691" t="s">
        <v>2153</v>
      </c>
      <c r="J11" s="691" t="s">
        <v>2153</v>
      </c>
      <c r="K11" s="3147" t="s">
        <v>2153</v>
      </c>
      <c r="L11" s="2911">
        <v>-2.510295229837753</v>
      </c>
      <c r="M11"/>
      <c r="N11" s="275" t="s">
        <v>1469</v>
      </c>
      <c r="O11" s="3440">
        <v>1</v>
      </c>
    </row>
    <row r="12" spans="1:15" ht="18" customHeight="1" thickBot="1" x14ac:dyDescent="0.25">
      <c r="A12"/>
      <c r="B12" s="1749" t="s">
        <v>1470</v>
      </c>
      <c r="C12" s="1775" t="str">
        <f t="shared" ref="C12:K12" si="0">C13</f>
        <v>NO</v>
      </c>
      <c r="D12" s="1775" t="str">
        <f t="shared" si="0"/>
        <v>NO</v>
      </c>
      <c r="E12" s="1775" t="str">
        <f t="shared" si="0"/>
        <v>NO</v>
      </c>
      <c r="F12" s="1775" t="str">
        <f t="shared" si="0"/>
        <v>NA</v>
      </c>
      <c r="G12" s="1775" t="str">
        <f t="shared" si="0"/>
        <v>NA</v>
      </c>
      <c r="H12" s="276" t="str">
        <f t="shared" si="0"/>
        <v>NO</v>
      </c>
      <c r="I12" s="276" t="str">
        <f t="shared" si="0"/>
        <v>NO</v>
      </c>
      <c r="J12" s="276" t="str">
        <f t="shared" si="0"/>
        <v>NO</v>
      </c>
      <c r="K12" s="1776" t="str">
        <f t="shared" si="0"/>
        <v>NO</v>
      </c>
      <c r="L12" s="445" t="str">
        <f>L13</f>
        <v>NO</v>
      </c>
      <c r="M12"/>
      <c r="N12" s="1777" t="s">
        <v>1471</v>
      </c>
      <c r="O12" s="3441">
        <v>1</v>
      </c>
    </row>
    <row r="13" spans="1:15" ht="18" customHeight="1" thickBot="1" x14ac:dyDescent="0.25">
      <c r="A13"/>
      <c r="B13" s="2870" t="s">
        <v>2147</v>
      </c>
      <c r="C13" s="2903" t="s">
        <v>2146</v>
      </c>
      <c r="D13" s="2903" t="s">
        <v>2146</v>
      </c>
      <c r="E13" s="2903" t="s">
        <v>2146</v>
      </c>
      <c r="F13" s="2904" t="s">
        <v>2147</v>
      </c>
      <c r="G13" s="2904" t="s">
        <v>2147</v>
      </c>
      <c r="H13" s="1778" t="s">
        <v>2146</v>
      </c>
      <c r="I13" s="1778" t="s">
        <v>2146</v>
      </c>
      <c r="J13" s="1778" t="s">
        <v>2146</v>
      </c>
      <c r="K13" s="1779" t="s">
        <v>2146</v>
      </c>
      <c r="L13" s="1780" t="s">
        <v>2146</v>
      </c>
      <c r="M13"/>
      <c r="N13"/>
      <c r="O13"/>
    </row>
    <row r="14" spans="1:15" ht="12" customHeight="1" x14ac:dyDescent="0.2">
      <c r="A14"/>
      <c r="B14" s="1781"/>
      <c r="C14" s="1782"/>
      <c r="D14" s="1782"/>
      <c r="E14" s="1783"/>
      <c r="F14" s="1783"/>
      <c r="G14" s="1782"/>
      <c r="H14" s="1784"/>
      <c r="I14" s="1784"/>
      <c r="J14" s="1785"/>
      <c r="K14" s="1785"/>
      <c r="L14"/>
      <c r="M14" s="1786"/>
      <c r="N14"/>
      <c r="O14"/>
    </row>
    <row r="15" spans="1:15" ht="13.5" x14ac:dyDescent="0.2">
      <c r="A15"/>
      <c r="B15" s="1787"/>
      <c r="C15" s="1788"/>
      <c r="D15" s="1788"/>
      <c r="E15" s="1788"/>
      <c r="F15" s="1788"/>
      <c r="G15" s="1788"/>
      <c r="H15" s="1788"/>
      <c r="I15" s="1788"/>
      <c r="J15" s="1788"/>
      <c r="K15" s="1789"/>
      <c r="L15" s="1785"/>
      <c r="M15" s="173"/>
      <c r="N15"/>
      <c r="O15"/>
    </row>
    <row r="16" spans="1:15" ht="13.5" x14ac:dyDescent="0.2">
      <c r="A16"/>
      <c r="B16" s="1790"/>
      <c r="C16" s="1788"/>
      <c r="D16" s="1788"/>
      <c r="E16" s="1788"/>
      <c r="F16" s="1788"/>
      <c r="G16" s="1788"/>
      <c r="H16" s="1788"/>
      <c r="I16" s="1788"/>
      <c r="J16" s="1788"/>
      <c r="K16" s="1789"/>
      <c r="L16" s="1785"/>
      <c r="M16" s="173"/>
      <c r="N16" s="173"/>
      <c r="O16"/>
    </row>
    <row r="17" spans="1:15" ht="13.5" x14ac:dyDescent="0.2">
      <c r="A17"/>
      <c r="B17" s="994"/>
      <c r="C17" s="994"/>
      <c r="D17" s="994"/>
      <c r="E17" s="994"/>
      <c r="F17" s="994"/>
      <c r="G17" s="994"/>
      <c r="H17" s="994"/>
      <c r="I17" s="994"/>
      <c r="J17"/>
      <c r="K17"/>
      <c r="L17" s="1789"/>
      <c r="M17"/>
      <c r="N17" s="173"/>
      <c r="O17"/>
    </row>
    <row r="18" spans="1:15" ht="13.5" x14ac:dyDescent="0.2">
      <c r="A18"/>
      <c r="B18" s="994"/>
      <c r="C18" s="994"/>
      <c r="D18" s="994"/>
      <c r="E18" s="994"/>
      <c r="F18" s="994"/>
      <c r="G18" s="994"/>
      <c r="H18" s="994"/>
      <c r="I18" s="994"/>
      <c r="J18"/>
      <c r="K18"/>
      <c r="L18"/>
      <c r="M18"/>
      <c r="N18"/>
      <c r="O18"/>
    </row>
    <row r="19" spans="1:15" ht="13.5" x14ac:dyDescent="0.2">
      <c r="A19"/>
      <c r="B19" s="994"/>
      <c r="C19" s="994"/>
      <c r="D19" s="994"/>
      <c r="E19"/>
      <c r="F19"/>
      <c r="G19"/>
      <c r="H19"/>
      <c r="I19"/>
      <c r="J19"/>
      <c r="K19"/>
      <c r="L19"/>
      <c r="M19"/>
      <c r="N19"/>
      <c r="O19"/>
    </row>
    <row r="20" spans="1:15" ht="13.5" x14ac:dyDescent="0.2">
      <c r="A20"/>
      <c r="B20" s="994"/>
      <c r="C20" s="994"/>
      <c r="D20" s="994"/>
      <c r="E20" s="994"/>
      <c r="F20" s="994"/>
      <c r="G20"/>
      <c r="H20"/>
      <c r="I20"/>
      <c r="J20"/>
      <c r="K20"/>
      <c r="L20"/>
      <c r="M20"/>
      <c r="N20"/>
      <c r="O20"/>
    </row>
    <row r="21" spans="1:15" ht="13.5" x14ac:dyDescent="0.2">
      <c r="A21"/>
      <c r="B21" s="1789"/>
      <c r="C21" s="1791"/>
      <c r="D21" s="1791"/>
      <c r="E21" s="1791"/>
      <c r="F21" s="1791"/>
      <c r="G21" s="1791"/>
      <c r="H21" s="1791"/>
      <c r="I21" s="1791"/>
      <c r="J21" s="1791"/>
      <c r="K21" s="1791"/>
      <c r="L21"/>
      <c r="M21"/>
      <c r="N21"/>
      <c r="O21"/>
    </row>
    <row r="22" spans="1:15" ht="13.5" x14ac:dyDescent="0.2">
      <c r="A22"/>
      <c r="B22" s="1789"/>
      <c r="C22" s="1791"/>
      <c r="D22" s="1791"/>
      <c r="E22" s="1791"/>
      <c r="F22" s="1791"/>
      <c r="G22" s="1791"/>
      <c r="H22" s="1791"/>
      <c r="I22" s="1791"/>
      <c r="J22" s="1791"/>
      <c r="K22" s="1791"/>
      <c r="L22"/>
      <c r="M22"/>
      <c r="N22"/>
      <c r="O22"/>
    </row>
    <row r="23" spans="1:15" ht="13.5" x14ac:dyDescent="0.2">
      <c r="A23"/>
      <c r="B23" s="1789"/>
      <c r="C23" s="1791"/>
      <c r="D23" s="1791"/>
      <c r="E23" s="1791"/>
      <c r="F23" s="1791"/>
      <c r="G23" s="1791"/>
      <c r="H23" s="1791"/>
      <c r="I23" s="1791"/>
      <c r="J23" s="1791"/>
      <c r="K23" s="1791"/>
      <c r="L23"/>
      <c r="M23"/>
      <c r="N23"/>
      <c r="O23"/>
    </row>
    <row r="24" spans="1:15" ht="13.5" x14ac:dyDescent="0.2">
      <c r="A24"/>
      <c r="B24" s="1789"/>
      <c r="C24" s="1791"/>
      <c r="D24" s="1791"/>
      <c r="E24" s="1791"/>
      <c r="F24" s="1791"/>
      <c r="G24" s="1791"/>
      <c r="H24" s="1791"/>
      <c r="I24" s="1791"/>
      <c r="J24" s="1791"/>
      <c r="K24" s="1791"/>
      <c r="L24"/>
      <c r="M24"/>
      <c r="N24"/>
      <c r="O24"/>
    </row>
    <row r="25" spans="1:15" ht="14.25" thickBot="1" x14ac:dyDescent="0.25">
      <c r="A25"/>
      <c r="B25" s="1789"/>
      <c r="C25" s="1791"/>
      <c r="D25" s="1791"/>
      <c r="E25" s="1791"/>
      <c r="F25" s="1791"/>
      <c r="G25" s="1791"/>
      <c r="H25" s="1791"/>
      <c r="I25" s="1791"/>
      <c r="J25" s="1791"/>
      <c r="K25" s="1791"/>
      <c r="L25"/>
      <c r="M25"/>
      <c r="N25"/>
      <c r="O25"/>
    </row>
    <row r="26" spans="1:15" ht="12.75" x14ac:dyDescent="0.2">
      <c r="A26"/>
      <c r="B26" s="223" t="s">
        <v>352</v>
      </c>
      <c r="C26" s="224"/>
      <c r="D26" s="224"/>
      <c r="E26" s="224"/>
      <c r="F26" s="224"/>
      <c r="G26" s="224"/>
      <c r="H26" s="224"/>
      <c r="I26" s="224"/>
      <c r="J26" s="224"/>
      <c r="K26" s="224"/>
      <c r="L26" s="225"/>
      <c r="M26"/>
      <c r="N26"/>
      <c r="O26"/>
    </row>
    <row r="27" spans="1:15" ht="12.75" x14ac:dyDescent="0.2">
      <c r="A27"/>
      <c r="B27" s="1792"/>
      <c r="C27" s="1793"/>
      <c r="D27" s="1793"/>
      <c r="E27" s="1793"/>
      <c r="F27" s="1793"/>
      <c r="G27" s="1793"/>
      <c r="H27" s="1793"/>
      <c r="I27" s="1793"/>
      <c r="J27" s="1793"/>
      <c r="K27" s="1793"/>
      <c r="L27" s="1794"/>
      <c r="M27"/>
      <c r="N27"/>
      <c r="O27"/>
    </row>
    <row r="28" spans="1:15" ht="12.75" x14ac:dyDescent="0.2">
      <c r="A28"/>
      <c r="B28" s="1792"/>
      <c r="C28" s="1793"/>
      <c r="D28" s="1793"/>
      <c r="E28" s="1793"/>
      <c r="F28" s="1793"/>
      <c r="G28" s="1793"/>
      <c r="H28" s="1793"/>
      <c r="I28" s="1793"/>
      <c r="J28" s="1793"/>
      <c r="K28" s="1793"/>
      <c r="L28" s="1794"/>
      <c r="M28"/>
      <c r="N28"/>
      <c r="O28"/>
    </row>
    <row r="29" spans="1:15" ht="12.75" x14ac:dyDescent="0.2">
      <c r="A29"/>
      <c r="B29" s="1792"/>
      <c r="C29" s="1793"/>
      <c r="D29" s="1793"/>
      <c r="E29" s="1793"/>
      <c r="F29" s="1793"/>
      <c r="G29" s="1793"/>
      <c r="H29" s="1793"/>
      <c r="I29" s="1793"/>
      <c r="J29" s="1793"/>
      <c r="K29" s="1793"/>
      <c r="L29" s="1794"/>
      <c r="M29"/>
      <c r="N29"/>
      <c r="O29"/>
    </row>
    <row r="30" spans="1:15" ht="12.75" x14ac:dyDescent="0.2">
      <c r="A30"/>
      <c r="B30" s="1792"/>
      <c r="C30" s="1793"/>
      <c r="D30" s="1793"/>
      <c r="E30" s="1793"/>
      <c r="F30" s="1793"/>
      <c r="G30" s="1793"/>
      <c r="H30" s="1793"/>
      <c r="I30" s="1793"/>
      <c r="J30" s="1793"/>
      <c r="K30" s="1793"/>
      <c r="L30" s="1794"/>
      <c r="M30"/>
      <c r="N30"/>
      <c r="O30"/>
    </row>
    <row r="31" spans="1:15" ht="12.75" x14ac:dyDescent="0.2">
      <c r="A31"/>
      <c r="B31" s="1792"/>
      <c r="C31" s="1793"/>
      <c r="D31" s="1793"/>
      <c r="E31" s="1793"/>
      <c r="F31" s="1793"/>
      <c r="G31" s="1793"/>
      <c r="H31" s="1793"/>
      <c r="I31" s="1793"/>
      <c r="J31" s="1793"/>
      <c r="K31" s="1793"/>
      <c r="L31" s="1794"/>
      <c r="M31"/>
      <c r="N31"/>
      <c r="O31"/>
    </row>
    <row r="32" spans="1:15" ht="12.75" x14ac:dyDescent="0.2">
      <c r="A32"/>
      <c r="B32" s="1795"/>
      <c r="C32" s="1796"/>
      <c r="D32" s="1796"/>
      <c r="E32" s="1796"/>
      <c r="F32" s="1796"/>
      <c r="G32" s="1796"/>
      <c r="H32" s="1796"/>
      <c r="I32" s="1796"/>
      <c r="J32" s="1796"/>
      <c r="K32" s="1796"/>
      <c r="L32" s="1797"/>
      <c r="M32"/>
      <c r="N32"/>
      <c r="O32"/>
    </row>
    <row r="33" spans="1:15" ht="13.5" thickBot="1" x14ac:dyDescent="0.25">
      <c r="A33"/>
      <c r="B33" s="4516"/>
      <c r="C33" s="4517"/>
      <c r="D33" s="4517"/>
      <c r="E33" s="4517"/>
      <c r="F33" s="4517"/>
      <c r="G33" s="4517"/>
      <c r="H33" s="4517"/>
      <c r="I33" s="4517"/>
      <c r="J33" s="4517"/>
      <c r="K33" s="4517"/>
      <c r="L33" s="4518"/>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9.140625" defaultRowHeight="15" x14ac:dyDescent="0.25"/>
  <cols>
    <col min="1" max="1" width="1.85546875" style="1126" customWidth="1"/>
    <col min="2" max="2" width="53.85546875" style="1126" bestFit="1" customWidth="1"/>
    <col min="3" max="3" width="14" style="1126" customWidth="1"/>
    <col min="4" max="7" width="11.5703125" style="1126" customWidth="1"/>
    <col min="8" max="8" width="13.7109375" style="1126" customWidth="1"/>
    <col min="9" max="14" width="11.5703125" style="1126" customWidth="1"/>
    <col min="15" max="15" width="24.7109375" style="1126" customWidth="1"/>
    <col min="16" max="16384" width="9.140625" style="1126"/>
  </cols>
  <sheetData>
    <row r="1" spans="1:15" ht="15.75" x14ac:dyDescent="0.25">
      <c r="B1" s="213" t="s">
        <v>1472</v>
      </c>
      <c r="C1" s="213"/>
      <c r="D1" s="213"/>
      <c r="E1" s="213"/>
      <c r="F1" s="213"/>
      <c r="G1" s="213"/>
      <c r="N1" s="2"/>
      <c r="O1" s="14" t="s">
        <v>2521</v>
      </c>
    </row>
    <row r="2" spans="1:15" ht="15.75" x14ac:dyDescent="0.25">
      <c r="A2" s="1127"/>
      <c r="B2" s="3" t="s">
        <v>62</v>
      </c>
      <c r="N2" s="2"/>
      <c r="O2" s="14" t="s">
        <v>2522</v>
      </c>
    </row>
    <row r="3" spans="1:15" x14ac:dyDescent="0.25">
      <c r="N3" s="2"/>
      <c r="O3" s="14" t="s">
        <v>2144</v>
      </c>
    </row>
    <row r="4" spans="1:15" hidden="1" x14ac:dyDescent="0.25">
      <c r="N4" s="2"/>
      <c r="O4" s="2"/>
    </row>
    <row r="5" spans="1:15" hidden="1" x14ac:dyDescent="0.25">
      <c r="N5" s="2"/>
      <c r="O5" s="2"/>
    </row>
    <row r="6" spans="1:15" hidden="1" x14ac:dyDescent="0.25">
      <c r="N6" s="2"/>
      <c r="O6" s="2"/>
    </row>
    <row r="7" spans="1:15" ht="15.75" thickBot="1" x14ac:dyDescent="0.3">
      <c r="B7" s="2461" t="s">
        <v>64</v>
      </c>
      <c r="D7" s="1128"/>
      <c r="N7" s="611"/>
      <c r="O7" s="611"/>
    </row>
    <row r="8" spans="1:15" ht="68.25" customHeight="1" x14ac:dyDescent="0.25">
      <c r="B8" s="1124" t="s">
        <v>65</v>
      </c>
      <c r="C8" s="1129" t="s">
        <v>1473</v>
      </c>
      <c r="D8" s="612" t="s">
        <v>424</v>
      </c>
      <c r="E8" s="612" t="s">
        <v>425</v>
      </c>
      <c r="F8" s="2474" t="s">
        <v>437</v>
      </c>
      <c r="G8" s="2475" t="s">
        <v>438</v>
      </c>
      <c r="H8" s="2476" t="s">
        <v>2055</v>
      </c>
      <c r="I8" s="2477" t="s">
        <v>440</v>
      </c>
      <c r="J8" s="2478" t="s">
        <v>2056</v>
      </c>
      <c r="K8" s="2477" t="s">
        <v>442</v>
      </c>
      <c r="L8" s="2479" t="s">
        <v>1474</v>
      </c>
      <c r="M8" s="2479" t="s">
        <v>71</v>
      </c>
      <c r="N8" s="1369" t="s">
        <v>1369</v>
      </c>
      <c r="O8" s="1798" t="s">
        <v>2057</v>
      </c>
    </row>
    <row r="9" spans="1:15" ht="18" customHeight="1" thickBot="1" x14ac:dyDescent="0.3">
      <c r="A9" s="83"/>
      <c r="B9" s="1125"/>
      <c r="C9" s="613" t="s">
        <v>73</v>
      </c>
      <c r="D9" s="614"/>
      <c r="E9" s="615"/>
      <c r="F9" s="1921" t="s">
        <v>979</v>
      </c>
      <c r="G9" s="1922"/>
      <c r="H9" s="1922"/>
      <c r="I9" s="1130" t="s">
        <v>73</v>
      </c>
      <c r="J9" s="1131"/>
      <c r="K9" s="1131"/>
      <c r="L9" s="1131"/>
      <c r="M9" s="1131"/>
      <c r="N9" s="1132"/>
      <c r="O9" s="1799" t="s">
        <v>979</v>
      </c>
    </row>
    <row r="10" spans="1:15" ht="18" customHeight="1" thickTop="1" thickBot="1" x14ac:dyDescent="0.3">
      <c r="B10" s="1119" t="s">
        <v>1475</v>
      </c>
      <c r="C10" s="4212">
        <f t="shared" ref="C10:G10" si="0">SUM(C11,C22,C31,C42,C51)</f>
        <v>454289.46254824422</v>
      </c>
      <c r="D10" s="4213">
        <f t="shared" si="0"/>
        <v>5178.2861363655638</v>
      </c>
      <c r="E10" s="4213">
        <f t="shared" si="0"/>
        <v>85.247437556961572</v>
      </c>
      <c r="F10" s="4213">
        <f t="shared" si="0"/>
        <v>4108.7147366727786</v>
      </c>
      <c r="G10" s="4213">
        <f t="shared" si="0"/>
        <v>617.93925336459722</v>
      </c>
      <c r="H10" s="4213" t="str">
        <f>IF(SUM(H11,H22,H31,H42,H51)=0,"NO",SUM(H11,H22,H31,H42,H51))</f>
        <v>NO</v>
      </c>
      <c r="I10" s="4213">
        <f t="shared" ref="I10:N10" si="1">IF(SUM(I11,I22,I31,I42,I51)=0,"NO",SUM(I11,I22,I31,I42,I51))</f>
        <v>8.1609069599868894E-3</v>
      </c>
      <c r="J10" s="3834" t="str">
        <f t="shared" si="1"/>
        <v>NO</v>
      </c>
      <c r="K10" s="4213">
        <f t="shared" si="1"/>
        <v>3182.9752178247609</v>
      </c>
      <c r="L10" s="4213">
        <f t="shared" si="1"/>
        <v>29973.85539936689</v>
      </c>
      <c r="M10" s="4213">
        <f t="shared" si="1"/>
        <v>2045.787740628874</v>
      </c>
      <c r="N10" s="4214">
        <f t="shared" si="1"/>
        <v>2482.6107055495454</v>
      </c>
      <c r="O10" s="3818">
        <f>IF(SUM(C10:J10)=0,"NO",SUM(C10,F10:H10)+28*SUM(D10)+265*SUM(E10)+23500*SUM(I10)+16100*SUM(J10))</f>
        <v>626790.48062267189</v>
      </c>
    </row>
    <row r="11" spans="1:15" ht="18" customHeight="1" x14ac:dyDescent="0.25">
      <c r="B11" s="1120" t="s">
        <v>1476</v>
      </c>
      <c r="C11" s="2552">
        <f>Table1!C10</f>
        <v>367332.27677549474</v>
      </c>
      <c r="D11" s="3810">
        <f>Table1!D10</f>
        <v>1391.6847672179999</v>
      </c>
      <c r="E11" s="3810">
        <f>Table1!E10</f>
        <v>12.604821318482555</v>
      </c>
      <c r="F11" s="4215"/>
      <c r="G11" s="4215"/>
      <c r="H11" s="4216"/>
      <c r="I11" s="4215"/>
      <c r="J11" s="98"/>
      <c r="K11" s="3810">
        <f>Table1!F10</f>
        <v>2138.8032938589249</v>
      </c>
      <c r="L11" s="3810">
        <f>Table1!G10</f>
        <v>3483.5397435268651</v>
      </c>
      <c r="M11" s="3810">
        <f>Table1!H10</f>
        <v>718.45951767382735</v>
      </c>
      <c r="N11" s="4217">
        <f>Table1!I10</f>
        <v>786.80373875388011</v>
      </c>
      <c r="O11" s="3781">
        <f t="shared" ref="O11:O58" si="2">IF(SUM(C11:J11)=0,"NO",SUM(C11,F11:H11)+28*SUM(D11)+265*SUM(E11)+23500*SUM(I11)+16100*SUM(J11))</f>
        <v>409639.72790699668</v>
      </c>
    </row>
    <row r="12" spans="1:15" ht="18" customHeight="1" x14ac:dyDescent="0.25">
      <c r="B12" s="1370" t="s">
        <v>1477</v>
      </c>
      <c r="C12" s="4218">
        <f>Table1!C11</f>
        <v>360285.88298889197</v>
      </c>
      <c r="D12" s="4219">
        <f>Table1!D11</f>
        <v>85.418449411312352</v>
      </c>
      <c r="E12" s="4219">
        <f>Table1!E11</f>
        <v>12.523654224849878</v>
      </c>
      <c r="F12" s="69"/>
      <c r="G12" s="69"/>
      <c r="H12" s="69"/>
      <c r="I12" s="69"/>
      <c r="J12" s="69"/>
      <c r="K12" s="4219">
        <f>Table1!F11</f>
        <v>2136.2927198869365</v>
      </c>
      <c r="L12" s="4219">
        <f>Table1!G11</f>
        <v>3468.980014489332</v>
      </c>
      <c r="M12" s="4219">
        <f>Table1!H11</f>
        <v>515.57607662927205</v>
      </c>
      <c r="N12" s="4220">
        <f>Table1!I11</f>
        <v>786.80373875388011</v>
      </c>
      <c r="O12" s="3782">
        <f t="shared" si="2"/>
        <v>365996.36794199393</v>
      </c>
    </row>
    <row r="13" spans="1:15" ht="18" customHeight="1" x14ac:dyDescent="0.25">
      <c r="B13" s="1371" t="s">
        <v>1478</v>
      </c>
      <c r="C13" s="4218">
        <f>Table1!C12</f>
        <v>219705.33865122739</v>
      </c>
      <c r="D13" s="4219">
        <f>Table1!D12</f>
        <v>12.694811733811816</v>
      </c>
      <c r="E13" s="4219">
        <f>Table1!E12</f>
        <v>3.645083868973102</v>
      </c>
      <c r="F13" s="69"/>
      <c r="G13" s="69"/>
      <c r="H13" s="69"/>
      <c r="I13" s="69"/>
      <c r="J13" s="69"/>
      <c r="K13" s="4219">
        <f>Table1!F12</f>
        <v>913.9187146702086</v>
      </c>
      <c r="L13" s="4219">
        <f>Table1!G12</f>
        <v>171.09080987577903</v>
      </c>
      <c r="M13" s="4219">
        <f>Table1!H12</f>
        <v>39.685506325829856</v>
      </c>
      <c r="N13" s="4220">
        <f>Table1!I12</f>
        <v>652.51231076667</v>
      </c>
      <c r="O13" s="3783">
        <f t="shared" si="2"/>
        <v>221026.74060505198</v>
      </c>
    </row>
    <row r="14" spans="1:15" ht="18" customHeight="1" x14ac:dyDescent="0.25">
      <c r="B14" s="1371" t="s">
        <v>1479</v>
      </c>
      <c r="C14" s="4218">
        <f>Table1!C16</f>
        <v>40191.294818873052</v>
      </c>
      <c r="D14" s="4221">
        <f>Table1!D16</f>
        <v>2.3473627845463243</v>
      </c>
      <c r="E14" s="4221">
        <f>Table1!E16</f>
        <v>1.3342298221966118</v>
      </c>
      <c r="F14" s="3784"/>
      <c r="G14" s="3784"/>
      <c r="H14" s="3784"/>
      <c r="I14" s="3784"/>
      <c r="J14" s="69"/>
      <c r="K14" s="4221">
        <f>Table1!F16</f>
        <v>530.14131779061631</v>
      </c>
      <c r="L14" s="4221">
        <f>Table1!G16</f>
        <v>170.00622083640209</v>
      </c>
      <c r="M14" s="4221">
        <f>Table1!H16</f>
        <v>68.039810632417499</v>
      </c>
      <c r="N14" s="4222">
        <f>Table1!I16</f>
        <v>99.305534481643619</v>
      </c>
      <c r="O14" s="3785">
        <f t="shared" si="2"/>
        <v>40610.591879722451</v>
      </c>
    </row>
    <row r="15" spans="1:15" ht="18" customHeight="1" x14ac:dyDescent="0.25">
      <c r="B15" s="1371" t="s">
        <v>1480</v>
      </c>
      <c r="C15" s="4218">
        <f>Table1!C24</f>
        <v>80926.112954754542</v>
      </c>
      <c r="D15" s="4219">
        <f>Table1!D24</f>
        <v>21.266576747645065</v>
      </c>
      <c r="E15" s="4219">
        <f>Table1!E24</f>
        <v>6.8637756581244886</v>
      </c>
      <c r="F15" s="69"/>
      <c r="G15" s="69"/>
      <c r="H15" s="69"/>
      <c r="I15" s="69"/>
      <c r="J15" s="69"/>
      <c r="K15" s="4219">
        <f>Table1!F24</f>
        <v>329.26721358944121</v>
      </c>
      <c r="L15" s="4219">
        <f>Table1!G24</f>
        <v>2340.5986260111108</v>
      </c>
      <c r="M15" s="4219">
        <f>Table1!H24</f>
        <v>281.03833336686927</v>
      </c>
      <c r="N15" s="4220">
        <f>Table1!I24</f>
        <v>27.109465284917942</v>
      </c>
      <c r="O15" s="3783">
        <f t="shared" si="2"/>
        <v>83340.477653091584</v>
      </c>
    </row>
    <row r="16" spans="1:15" ht="18" customHeight="1" x14ac:dyDescent="0.25">
      <c r="B16" s="1371" t="s">
        <v>1481</v>
      </c>
      <c r="C16" s="4218">
        <f>Table1!C30</f>
        <v>18814.081690346997</v>
      </c>
      <c r="D16" s="4219">
        <f>Table1!D30</f>
        <v>49.087427960582239</v>
      </c>
      <c r="E16" s="4219">
        <f>Table1!E30</f>
        <v>0.66256796242867133</v>
      </c>
      <c r="F16" s="69"/>
      <c r="G16" s="69"/>
      <c r="H16" s="69"/>
      <c r="I16" s="69"/>
      <c r="J16" s="69"/>
      <c r="K16" s="4219">
        <f>Table1!F30</f>
        <v>358.33731915853588</v>
      </c>
      <c r="L16" s="4219">
        <f>Table1!G30</f>
        <v>782.82565299122143</v>
      </c>
      <c r="M16" s="4219">
        <f>Table1!H30</f>
        <v>126.35806206527081</v>
      </c>
      <c r="N16" s="4220">
        <f>Table1!I30</f>
        <v>7.6939126211695585</v>
      </c>
      <c r="O16" s="3783">
        <f t="shared" si="2"/>
        <v>20364.110183286895</v>
      </c>
    </row>
    <row r="17" spans="2:15" ht="18" customHeight="1" x14ac:dyDescent="0.25">
      <c r="B17" s="1371" t="s">
        <v>1482</v>
      </c>
      <c r="C17" s="4218">
        <f>Table1!C34</f>
        <v>649.05487369003185</v>
      </c>
      <c r="D17" s="4219">
        <f>Table1!D34</f>
        <v>2.2270184726905787E-2</v>
      </c>
      <c r="E17" s="4219">
        <f>Table1!E34</f>
        <v>1.7996913127003019E-2</v>
      </c>
      <c r="F17" s="69"/>
      <c r="G17" s="69"/>
      <c r="H17" s="69"/>
      <c r="I17" s="69"/>
      <c r="J17" s="69"/>
      <c r="K17" s="4219">
        <f>Table1!F34</f>
        <v>4.6281546781340799</v>
      </c>
      <c r="L17" s="4219">
        <f>Table1!G34</f>
        <v>4.4587047748187283</v>
      </c>
      <c r="M17" s="4219">
        <f>Table1!H34</f>
        <v>0.45436423888458122</v>
      </c>
      <c r="N17" s="4220">
        <f>Table1!I34</f>
        <v>0.18251559947900153</v>
      </c>
      <c r="O17" s="3783">
        <f t="shared" si="2"/>
        <v>654.44762084104093</v>
      </c>
    </row>
    <row r="18" spans="2:15" ht="18" customHeight="1" x14ac:dyDescent="0.25">
      <c r="B18" s="1370" t="s">
        <v>99</v>
      </c>
      <c r="C18" s="4223">
        <f>Table1!C37</f>
        <v>7046.3937866027936</v>
      </c>
      <c r="D18" s="4224">
        <f>Table1!D37</f>
        <v>1306.2663178066875</v>
      </c>
      <c r="E18" s="4224">
        <f>Table1!E37</f>
        <v>8.1167093632677129E-2</v>
      </c>
      <c r="F18" s="69"/>
      <c r="G18" s="69"/>
      <c r="H18" s="69"/>
      <c r="I18" s="69"/>
      <c r="J18" s="69"/>
      <c r="K18" s="4224">
        <f>Table1!F37</f>
        <v>2.5105739719884332</v>
      </c>
      <c r="L18" s="4219">
        <f>Table1!G37</f>
        <v>14.559729037532914</v>
      </c>
      <c r="M18" s="4219">
        <f>Table1!H37</f>
        <v>202.88344104455527</v>
      </c>
      <c r="N18" s="4220" t="str">
        <f>Table1!I37</f>
        <v>NO</v>
      </c>
      <c r="O18" s="3783">
        <f t="shared" si="2"/>
        <v>43643.359965002703</v>
      </c>
    </row>
    <row r="19" spans="2:15" ht="18" customHeight="1" x14ac:dyDescent="0.25">
      <c r="B19" s="1371" t="s">
        <v>1483</v>
      </c>
      <c r="C19" s="4225">
        <f>Table1!C38</f>
        <v>1212.9142005812864</v>
      </c>
      <c r="D19" s="4226">
        <f>Table1!D38</f>
        <v>1100.0892930957064</v>
      </c>
      <c r="E19" s="4224">
        <f>Table1!E38</f>
        <v>1.2579774697436016E-4</v>
      </c>
      <c r="F19" s="69"/>
      <c r="G19" s="69"/>
      <c r="H19" s="69"/>
      <c r="I19" s="69"/>
      <c r="J19" s="69"/>
      <c r="K19" s="4224" t="str">
        <f>Table1!F38</f>
        <v>NO</v>
      </c>
      <c r="L19" s="4219" t="str">
        <f>Table1!G38</f>
        <v>NO</v>
      </c>
      <c r="M19" s="4219" t="str">
        <f>Table1!H38</f>
        <v>NO</v>
      </c>
      <c r="N19" s="4220" t="str">
        <f>Table1!I38</f>
        <v>NO</v>
      </c>
      <c r="O19" s="3783">
        <f t="shared" si="2"/>
        <v>32015.447743664012</v>
      </c>
    </row>
    <row r="20" spans="2:15" ht="18" customHeight="1" x14ac:dyDescent="0.25">
      <c r="B20" s="1372" t="s">
        <v>1484</v>
      </c>
      <c r="C20" s="4225">
        <f>Table1!C42</f>
        <v>5833.4795860215072</v>
      </c>
      <c r="D20" s="4227">
        <f>Table1!D42</f>
        <v>206.17702471098124</v>
      </c>
      <c r="E20" s="4224">
        <f>Table1!E42</f>
        <v>8.1041295885702774E-2</v>
      </c>
      <c r="F20" s="3784"/>
      <c r="G20" s="3784"/>
      <c r="H20" s="3784"/>
      <c r="I20" s="3784"/>
      <c r="J20" s="69"/>
      <c r="K20" s="4224">
        <f>Table1!F42</f>
        <v>2.5105739719884332</v>
      </c>
      <c r="L20" s="4221">
        <f>Table1!G42</f>
        <v>14.559729037532914</v>
      </c>
      <c r="M20" s="4221">
        <f>Table1!H42</f>
        <v>202.88344104455527</v>
      </c>
      <c r="N20" s="4222" t="str">
        <f>Table1!I42</f>
        <v>NO</v>
      </c>
      <c r="O20" s="3785">
        <f t="shared" si="2"/>
        <v>11627.912221338693</v>
      </c>
    </row>
    <row r="21" spans="2:15" ht="18" customHeight="1" thickBot="1" x14ac:dyDescent="0.3">
      <c r="B21" s="1373" t="s">
        <v>1485</v>
      </c>
      <c r="C21" s="4228" t="str">
        <f>Table1!C47</f>
        <v>NO</v>
      </c>
      <c r="D21" s="3786"/>
      <c r="E21" s="3786"/>
      <c r="F21" s="3784"/>
      <c r="G21" s="3784"/>
      <c r="H21" s="3784"/>
      <c r="I21" s="3784"/>
      <c r="J21" s="3784"/>
      <c r="K21" s="3787"/>
      <c r="L21" s="3787"/>
      <c r="M21" s="3787"/>
      <c r="N21" s="3788"/>
      <c r="O21" s="3785" t="str">
        <f t="shared" si="2"/>
        <v>NO</v>
      </c>
    </row>
    <row r="22" spans="2:15" ht="18" customHeight="1" x14ac:dyDescent="0.25">
      <c r="B22" s="1374" t="s">
        <v>1486</v>
      </c>
      <c r="C22" s="4229">
        <f>'Table2(I)'!C10</f>
        <v>23245.05679168686</v>
      </c>
      <c r="D22" s="4230">
        <f>'Table2(I)'!D10</f>
        <v>3.5465822636148943</v>
      </c>
      <c r="E22" s="4231">
        <f>'Table2(I)'!E10</f>
        <v>8.8797618051027403</v>
      </c>
      <c r="F22" s="3810">
        <f>'Table2(I)'!F10</f>
        <v>4108.7147366727786</v>
      </c>
      <c r="G22" s="3810">
        <f>'Table2(I)'!G10</f>
        <v>617.93925336459722</v>
      </c>
      <c r="H22" s="3810" t="str">
        <f>'Table2(I)'!H10</f>
        <v>NO</v>
      </c>
      <c r="I22" s="3810">
        <f>'Table2(I)'!I10</f>
        <v>8.1609069599868894E-3</v>
      </c>
      <c r="J22" s="3810" t="str">
        <f>'Table2(I)'!J10</f>
        <v>NO</v>
      </c>
      <c r="K22" s="3810">
        <f>'Table2(I)'!K10</f>
        <v>38.506250117455558</v>
      </c>
      <c r="L22" s="3810">
        <f>'Table2(I)'!L10</f>
        <v>10.314809980880625</v>
      </c>
      <c r="M22" s="3810">
        <f>'Table2(I)'!M10</f>
        <v>239.36323775397858</v>
      </c>
      <c r="N22" s="4217">
        <f>'Table2(I)'!N10</f>
        <v>1695.8069667956652</v>
      </c>
      <c r="O22" s="3781">
        <f t="shared" si="2"/>
        <v>30615.933277017375</v>
      </c>
    </row>
    <row r="23" spans="2:15" ht="18" customHeight="1" x14ac:dyDescent="0.25">
      <c r="B23" s="1133" t="s">
        <v>1487</v>
      </c>
      <c r="C23" s="4232">
        <f>'Table2(I)'!C11</f>
        <v>6668.9977667490357</v>
      </c>
      <c r="D23" s="3789"/>
      <c r="E23" s="98"/>
      <c r="F23" s="98"/>
      <c r="G23" s="98"/>
      <c r="H23" s="98"/>
      <c r="I23" s="98"/>
      <c r="J23" s="69"/>
      <c r="K23" s="4233" t="str">
        <f>'Table2(I)'!K11</f>
        <v>NO</v>
      </c>
      <c r="L23" s="4233" t="str">
        <f>'Table2(I)'!L11</f>
        <v>NO</v>
      </c>
      <c r="M23" s="4233" t="str">
        <f>'Table2(I)'!M11</f>
        <v>NO</v>
      </c>
      <c r="N23" s="4234" t="str">
        <f>'Table2(I)'!N11</f>
        <v>NO</v>
      </c>
      <c r="O23" s="3782">
        <f t="shared" si="2"/>
        <v>6668.9977667490357</v>
      </c>
    </row>
    <row r="24" spans="2:15" ht="18" customHeight="1" x14ac:dyDescent="0.25">
      <c r="B24" s="1133" t="s">
        <v>621</v>
      </c>
      <c r="C24" s="4232">
        <f>'Table2(I)'!C16</f>
        <v>3442.2998770693698</v>
      </c>
      <c r="D24" s="4235">
        <f>'Table2(I)'!D16</f>
        <v>0.5693838</v>
      </c>
      <c r="E24" s="4236">
        <f>'Table2(I)'!E16</f>
        <v>8.8043569476129075</v>
      </c>
      <c r="F24" s="4219" t="str">
        <f>'Table2(I)'!F16</f>
        <v>NO</v>
      </c>
      <c r="G24" s="4219" t="str">
        <f>'Table2(I)'!G16</f>
        <v>NO</v>
      </c>
      <c r="H24" s="4219" t="str">
        <f>'Table2(I)'!H16</f>
        <v>NO</v>
      </c>
      <c r="I24" s="4219" t="str">
        <f>'Table2(I)'!I16</f>
        <v>NO</v>
      </c>
      <c r="J24" s="616" t="str">
        <f>'Table2(I)'!J16</f>
        <v>NO</v>
      </c>
      <c r="K24" s="4219" t="str">
        <f>'Table2(I)'!K16</f>
        <v>NO</v>
      </c>
      <c r="L24" s="4219" t="str">
        <f>'Table2(I)'!L16</f>
        <v>NO</v>
      </c>
      <c r="M24" s="4219">
        <f>'Table2(I)'!M16</f>
        <v>2.8051172450999995</v>
      </c>
      <c r="N24" s="4220" t="str">
        <f>'Table2(I)'!N16</f>
        <v>NO</v>
      </c>
      <c r="O24" s="3783">
        <f t="shared" si="2"/>
        <v>5791.3972145867901</v>
      </c>
    </row>
    <row r="25" spans="2:15" ht="18" customHeight="1" x14ac:dyDescent="0.25">
      <c r="B25" s="1133" t="s">
        <v>459</v>
      </c>
      <c r="C25" s="4232">
        <f>'Table2(I)'!C27</f>
        <v>12730.761169823347</v>
      </c>
      <c r="D25" s="4235">
        <f>'Table2(I)'!D27</f>
        <v>2.9771984636148945</v>
      </c>
      <c r="E25" s="4236">
        <f>'Table2(I)'!E27</f>
        <v>7.5404857489833013E-2</v>
      </c>
      <c r="F25" s="4219" t="str">
        <f>'Table2(I)'!F27</f>
        <v>NO</v>
      </c>
      <c r="G25" s="4219">
        <f>'Table2(I)'!G27</f>
        <v>617.93925336459722</v>
      </c>
      <c r="H25" s="4219" t="str">
        <f>'Table2(I)'!H27</f>
        <v>NO</v>
      </c>
      <c r="I25" s="4219" t="str">
        <f>'Table2(I)'!I27</f>
        <v>NO</v>
      </c>
      <c r="J25" s="4219" t="str">
        <f>'Table2(I)'!J27</f>
        <v>NO</v>
      </c>
      <c r="K25" s="4219">
        <f>'Table2(I)'!K27</f>
        <v>38.506250117455558</v>
      </c>
      <c r="L25" s="4219">
        <f>'Table2(I)'!L27</f>
        <v>10.314809980880625</v>
      </c>
      <c r="M25" s="4219">
        <f>'Table2(I)'!M27</f>
        <v>9.3871641778285775E-2</v>
      </c>
      <c r="N25" s="4220">
        <f>'Table2(I)'!N27</f>
        <v>1695.8069667956652</v>
      </c>
      <c r="O25" s="3783">
        <f t="shared" si="2"/>
        <v>13452.044267403966</v>
      </c>
    </row>
    <row r="26" spans="2:15" ht="18" customHeight="1" x14ac:dyDescent="0.25">
      <c r="B26" s="1133" t="s">
        <v>1488</v>
      </c>
      <c r="C26" s="4232">
        <f>'Table2(I)'!C35</f>
        <v>242.50388749999999</v>
      </c>
      <c r="D26" s="3790" t="str">
        <f>'Table2(I)'!D35</f>
        <v>NO</v>
      </c>
      <c r="E26" s="616" t="str">
        <f>'Table2(I)'!E35</f>
        <v>NO</v>
      </c>
      <c r="F26" s="69"/>
      <c r="G26" s="69"/>
      <c r="H26" s="69"/>
      <c r="I26" s="69"/>
      <c r="J26" s="69"/>
      <c r="K26" s="616" t="str">
        <f>'Table2(I)'!K35</f>
        <v>NO</v>
      </c>
      <c r="L26" s="4236" t="str">
        <f>'Table2(I)'!L35</f>
        <v>NO</v>
      </c>
      <c r="M26" s="4236">
        <f>'Table2(I)'!M35</f>
        <v>181.13082477855505</v>
      </c>
      <c r="N26" s="4237" t="str">
        <f>'Table2(I)'!N35</f>
        <v>NO</v>
      </c>
      <c r="O26" s="3783">
        <f t="shared" si="2"/>
        <v>242.50388749999999</v>
      </c>
    </row>
    <row r="27" spans="2:15" ht="18" customHeight="1" x14ac:dyDescent="0.25">
      <c r="B27" s="1133" t="s">
        <v>1489</v>
      </c>
      <c r="C27" s="3791"/>
      <c r="D27" s="3792"/>
      <c r="E27" s="616" t="str">
        <f>'Table2(I)'!E39</f>
        <v>NO</v>
      </c>
      <c r="F27" s="616" t="str">
        <f>'Table2(I)'!F39</f>
        <v>NO</v>
      </c>
      <c r="G27" s="616" t="str">
        <f>'Table2(I)'!G39</f>
        <v>NO</v>
      </c>
      <c r="H27" s="616" t="str">
        <f>'Table2(I)'!H39</f>
        <v>NO</v>
      </c>
      <c r="I27" s="616" t="str">
        <f>'Table2(I)'!I39</f>
        <v>NO</v>
      </c>
      <c r="J27" s="616" t="str">
        <f>'Table2(I)'!J39</f>
        <v>NO</v>
      </c>
      <c r="K27" s="3784"/>
      <c r="L27" s="3784"/>
      <c r="M27" s="3784"/>
      <c r="N27" s="3793"/>
      <c r="O27" s="3785" t="str">
        <f t="shared" si="2"/>
        <v>NO</v>
      </c>
    </row>
    <row r="28" spans="2:15" ht="18" customHeight="1" x14ac:dyDescent="0.25">
      <c r="B28" s="1133" t="s">
        <v>1490</v>
      </c>
      <c r="C28" s="3791"/>
      <c r="D28" s="3792"/>
      <c r="E28" s="3784"/>
      <c r="F28" s="4221">
        <f>'Table2(I)'!F45</f>
        <v>4108.7147366727786</v>
      </c>
      <c r="G28" s="4221" t="str">
        <f>'Table2(I)'!G45</f>
        <v>NO</v>
      </c>
      <c r="H28" s="4221" t="str">
        <f>'Table2(I)'!H45</f>
        <v>NO</v>
      </c>
      <c r="I28" s="4221" t="str">
        <f>'Table2(I)'!I45</f>
        <v>NO</v>
      </c>
      <c r="J28" s="4221" t="str">
        <f>'Table2(I)'!J45</f>
        <v>NO</v>
      </c>
      <c r="K28" s="3784"/>
      <c r="L28" s="3784"/>
      <c r="M28" s="3784"/>
      <c r="N28" s="3793"/>
      <c r="O28" s="3785">
        <f t="shared" si="2"/>
        <v>4108.7147366727786</v>
      </c>
    </row>
    <row r="29" spans="2:15" ht="18" customHeight="1" x14ac:dyDescent="0.25">
      <c r="B29" s="1133" t="s">
        <v>480</v>
      </c>
      <c r="C29" s="3794" t="str">
        <f>'Table2(I)'!C52</f>
        <v>NO</v>
      </c>
      <c r="D29" s="3795" t="str">
        <f>'Table2(I)'!D52</f>
        <v>NO</v>
      </c>
      <c r="E29" s="3796" t="str">
        <f>'Table2(I)'!E52</f>
        <v>IE</v>
      </c>
      <c r="F29" s="4238" t="str">
        <f>'Table2(I)'!F52</f>
        <v>NO</v>
      </c>
      <c r="G29" s="4238" t="str">
        <f>'Table2(I)'!G52</f>
        <v>NO</v>
      </c>
      <c r="H29" s="4238" t="str">
        <f>'Table2(I)'!H52</f>
        <v>NO</v>
      </c>
      <c r="I29" s="4238">
        <f>'Table2(I)'!I52</f>
        <v>8.1609069599868894E-3</v>
      </c>
      <c r="J29" s="616" t="str">
        <f>'Table2(I)'!J52</f>
        <v>NO</v>
      </c>
      <c r="K29" s="3796" t="str">
        <f>'Table2(I)'!K52</f>
        <v>NO</v>
      </c>
      <c r="L29" s="3796" t="str">
        <f>'Table2(I)'!L52</f>
        <v>NO</v>
      </c>
      <c r="M29" s="3796" t="str">
        <f>'Table2(I)'!M52</f>
        <v>NO</v>
      </c>
      <c r="N29" s="3797" t="str">
        <f>'Table2(I)'!N52</f>
        <v>NO</v>
      </c>
      <c r="O29" s="3785">
        <f t="shared" si="2"/>
        <v>191.78131355969191</v>
      </c>
    </row>
    <row r="30" spans="2:15" ht="18" customHeight="1" thickBot="1" x14ac:dyDescent="0.3">
      <c r="B30" s="1375" t="s">
        <v>2040</v>
      </c>
      <c r="C30" s="4239">
        <f>'Table2(I)'!C57</f>
        <v>160.49409054511213</v>
      </c>
      <c r="D30" s="4240" t="str">
        <f>'Table2(I)'!D57</f>
        <v>NO</v>
      </c>
      <c r="E30" s="4241" t="str">
        <f>'Table2(I)'!E57</f>
        <v>NO</v>
      </c>
      <c r="F30" s="4241" t="str">
        <f>'Table2(I)'!F57</f>
        <v>NO</v>
      </c>
      <c r="G30" s="4241" t="str">
        <f>'Table2(I)'!G57</f>
        <v>NO</v>
      </c>
      <c r="H30" s="4241" t="str">
        <f>'Table2(I)'!H57</f>
        <v>NO</v>
      </c>
      <c r="I30" s="4241" t="str">
        <f>'Table2(I)'!I57</f>
        <v>NO</v>
      </c>
      <c r="J30" s="617" t="str">
        <f>'Table2(I)'!J57</f>
        <v>NO</v>
      </c>
      <c r="K30" s="4241" t="str">
        <f>'Table2(I)'!K57</f>
        <v>NA</v>
      </c>
      <c r="L30" s="4241" t="str">
        <f>'Table2(I)'!L57</f>
        <v>NA</v>
      </c>
      <c r="M30" s="4241">
        <f>'Table2(I)'!M57</f>
        <v>55.333424088545243</v>
      </c>
      <c r="N30" s="4242" t="str">
        <f>'Table2(I)'!N57</f>
        <v>NA</v>
      </c>
      <c r="O30" s="3798">
        <f t="shared" si="2"/>
        <v>160.49409054511213</v>
      </c>
    </row>
    <row r="31" spans="2:15" ht="18" customHeight="1" x14ac:dyDescent="0.25">
      <c r="B31" s="1134" t="s">
        <v>1491</v>
      </c>
      <c r="C31" s="3817">
        <f>Table3!C10</f>
        <v>1829.6911462013227</v>
      </c>
      <c r="D31" s="3799">
        <f>Table3!D10</f>
        <v>2513.7575033661415</v>
      </c>
      <c r="E31" s="3800">
        <f>Table3!E10</f>
        <v>45.528596387212005</v>
      </c>
      <c r="F31" s="3801"/>
      <c r="G31" s="3801"/>
      <c r="H31" s="3801"/>
      <c r="I31" s="3801"/>
      <c r="J31" s="3801"/>
      <c r="K31" s="4243">
        <f>Table3!F10</f>
        <v>27.414561599679626</v>
      </c>
      <c r="L31" s="4243">
        <f>Table3!G10</f>
        <v>449.81958222232674</v>
      </c>
      <c r="M31" s="4243">
        <f>Table3!H10</f>
        <v>26.239475629635731</v>
      </c>
      <c r="N31" s="4244" t="str">
        <f>Table3!I10</f>
        <v>NO</v>
      </c>
      <c r="O31" s="3782">
        <f t="shared" si="2"/>
        <v>84279.979283064458</v>
      </c>
    </row>
    <row r="32" spans="2:15" ht="18" customHeight="1" x14ac:dyDescent="0.25">
      <c r="B32" s="4245" t="s">
        <v>1492</v>
      </c>
      <c r="C32" s="3791"/>
      <c r="D32" s="4246">
        <f>Table3!D11</f>
        <v>2230.9009824022714</v>
      </c>
      <c r="E32" s="98"/>
      <c r="F32" s="3802"/>
      <c r="G32" s="3802"/>
      <c r="H32" s="3789"/>
      <c r="I32" s="3802"/>
      <c r="J32" s="3789"/>
      <c r="K32" s="98"/>
      <c r="L32" s="98"/>
      <c r="M32" s="98"/>
      <c r="N32" s="3803"/>
      <c r="O32" s="3782">
        <f t="shared" si="2"/>
        <v>62465.227507263597</v>
      </c>
    </row>
    <row r="33" spans="2:15" ht="18" customHeight="1" x14ac:dyDescent="0.25">
      <c r="B33" s="4245" t="s">
        <v>1493</v>
      </c>
      <c r="C33" s="3791"/>
      <c r="D33" s="4226">
        <f>Table3!D20</f>
        <v>255.10491454727224</v>
      </c>
      <c r="E33" s="4226">
        <f>Table3!E20</f>
        <v>1.7609107565195992</v>
      </c>
      <c r="F33" s="3802"/>
      <c r="G33" s="3802"/>
      <c r="H33" s="3802"/>
      <c r="I33" s="3802"/>
      <c r="J33" s="3802"/>
      <c r="K33" s="69"/>
      <c r="L33" s="69"/>
      <c r="M33" s="4247" t="str">
        <f>Table3!H20</f>
        <v>NE</v>
      </c>
      <c r="N33" s="3804"/>
      <c r="O33" s="3783">
        <f t="shared" si="2"/>
        <v>7609.5789578013164</v>
      </c>
    </row>
    <row r="34" spans="2:15" ht="18" customHeight="1" x14ac:dyDescent="0.25">
      <c r="B34" s="4245" t="s">
        <v>1494</v>
      </c>
      <c r="C34" s="3791"/>
      <c r="D34" s="4226">
        <f>Table3!D31</f>
        <v>16.217770975000001</v>
      </c>
      <c r="E34" s="69"/>
      <c r="F34" s="3802"/>
      <c r="G34" s="3802"/>
      <c r="H34" s="3802"/>
      <c r="I34" s="3802"/>
      <c r="J34" s="3802"/>
      <c r="K34" s="69"/>
      <c r="L34" s="69"/>
      <c r="M34" s="4247" t="str">
        <f>Table3!H31</f>
        <v>NE</v>
      </c>
      <c r="N34" s="3804"/>
      <c r="O34" s="3783">
        <f t="shared" si="2"/>
        <v>454.09758729999999</v>
      </c>
    </row>
    <row r="35" spans="2:15" ht="18" customHeight="1" x14ac:dyDescent="0.25">
      <c r="B35" s="4245" t="s">
        <v>1495</v>
      </c>
      <c r="C35" s="4248"/>
      <c r="D35" s="4226" t="str">
        <f>Table3!D32</f>
        <v>NE</v>
      </c>
      <c r="E35" s="4226">
        <f>Table3!E32</f>
        <v>43.293181003418447</v>
      </c>
      <c r="F35" s="3802"/>
      <c r="G35" s="3802"/>
      <c r="H35" s="3802"/>
      <c r="I35" s="3802"/>
      <c r="J35" s="3802"/>
      <c r="K35" s="4247" t="str">
        <f>Table3!F32</f>
        <v>NO</v>
      </c>
      <c r="L35" s="4247" t="str">
        <f>Table3!G32</f>
        <v>NO</v>
      </c>
      <c r="M35" s="4247" t="str">
        <f>Table3!H32</f>
        <v>NO</v>
      </c>
      <c r="N35" s="3804"/>
      <c r="O35" s="3783">
        <f t="shared" si="2"/>
        <v>11472.692965905888</v>
      </c>
    </row>
    <row r="36" spans="2:15" ht="18" customHeight="1" x14ac:dyDescent="0.25">
      <c r="B36" s="4245" t="s">
        <v>1496</v>
      </c>
      <c r="C36" s="3791"/>
      <c r="D36" s="4226" t="str">
        <f>Table3!D42</f>
        <v>NA</v>
      </c>
      <c r="E36" s="4226" t="str">
        <f>Table3!E42</f>
        <v>NA</v>
      </c>
      <c r="F36" s="3802"/>
      <c r="G36" s="3802"/>
      <c r="H36" s="3802"/>
      <c r="I36" s="3802"/>
      <c r="J36" s="3802"/>
      <c r="K36" s="4247" t="str">
        <f>Table3!F42</f>
        <v>NA</v>
      </c>
      <c r="L36" s="4247" t="str">
        <f>Table3!G42</f>
        <v>NA</v>
      </c>
      <c r="M36" s="4247" t="str">
        <f>Table3!H42</f>
        <v>NA</v>
      </c>
      <c r="N36" s="4247" t="str">
        <f>Table3!I42</f>
        <v>NA</v>
      </c>
      <c r="O36" s="3783" t="s">
        <v>2147</v>
      </c>
    </row>
    <row r="37" spans="2:15" ht="18" customHeight="1" x14ac:dyDescent="0.25">
      <c r="B37" s="4245" t="s">
        <v>1497</v>
      </c>
      <c r="C37" s="3791"/>
      <c r="D37" s="4226">
        <f>Table3!D43</f>
        <v>11.533835441598121</v>
      </c>
      <c r="E37" s="4226">
        <f>Table3!E43</f>
        <v>0.47450462727395798</v>
      </c>
      <c r="F37" s="3802"/>
      <c r="G37" s="3802"/>
      <c r="H37" s="3802"/>
      <c r="I37" s="3802"/>
      <c r="J37" s="3802"/>
      <c r="K37" s="4247">
        <f>Table3!F43</f>
        <v>27.414561599679626</v>
      </c>
      <c r="L37" s="4247">
        <f>Table3!G43</f>
        <v>449.81958222232674</v>
      </c>
      <c r="M37" s="4247">
        <f>Table3!H43</f>
        <v>26.239475629635731</v>
      </c>
      <c r="N37" s="4247" t="str">
        <f>Table3!I43</f>
        <v>NO</v>
      </c>
      <c r="O37" s="3783">
        <f t="shared" si="2"/>
        <v>448.6911185923463</v>
      </c>
    </row>
    <row r="38" spans="2:15" ht="18" customHeight="1" x14ac:dyDescent="0.25">
      <c r="B38" s="4249" t="s">
        <v>721</v>
      </c>
      <c r="C38" s="3794">
        <f>Table3!C44</f>
        <v>1072.8425829711978</v>
      </c>
      <c r="D38" s="4250"/>
      <c r="E38" s="4250"/>
      <c r="F38" s="3792"/>
      <c r="G38" s="3792"/>
      <c r="H38" s="3792"/>
      <c r="I38" s="3792"/>
      <c r="J38" s="3792"/>
      <c r="K38" s="3805"/>
      <c r="L38" s="3805"/>
      <c r="M38" s="3805"/>
      <c r="N38" s="3793"/>
      <c r="O38" s="3785">
        <f t="shared" si="2"/>
        <v>1072.8425829711978</v>
      </c>
    </row>
    <row r="39" spans="2:15" ht="18" customHeight="1" x14ac:dyDescent="0.25">
      <c r="B39" s="4249" t="s">
        <v>722</v>
      </c>
      <c r="C39" s="3806">
        <f>Table3!C45</f>
        <v>756.84856323012491</v>
      </c>
      <c r="D39" s="4250"/>
      <c r="E39" s="4250"/>
      <c r="F39" s="3792"/>
      <c r="G39" s="3792"/>
      <c r="H39" s="3792"/>
      <c r="I39" s="3792"/>
      <c r="J39" s="3792"/>
      <c r="K39" s="3805"/>
      <c r="L39" s="3805"/>
      <c r="M39" s="3805"/>
      <c r="N39" s="3793"/>
      <c r="O39" s="3785">
        <f t="shared" si="2"/>
        <v>756.84856323012491</v>
      </c>
    </row>
    <row r="40" spans="2:15" ht="18" customHeight="1" x14ac:dyDescent="0.25">
      <c r="B40" s="4249" t="s">
        <v>1498</v>
      </c>
      <c r="C40" s="3806" t="str">
        <f>Table3!C46</f>
        <v>NE</v>
      </c>
      <c r="D40" s="4250"/>
      <c r="E40" s="4250"/>
      <c r="F40" s="3792"/>
      <c r="G40" s="3792"/>
      <c r="H40" s="3792"/>
      <c r="I40" s="3792"/>
      <c r="J40" s="3792"/>
      <c r="K40" s="3805"/>
      <c r="L40" s="3805"/>
      <c r="M40" s="3805"/>
      <c r="N40" s="3793"/>
      <c r="O40" s="3785" t="s">
        <v>2154</v>
      </c>
    </row>
    <row r="41" spans="2:15" ht="18" customHeight="1" thickBot="1" x14ac:dyDescent="0.3">
      <c r="B41" s="4251" t="s">
        <v>1499</v>
      </c>
      <c r="C41" s="3833" t="str">
        <f>Table3!C47</f>
        <v>NO</v>
      </c>
      <c r="D41" s="4240" t="str">
        <f>Table3!D47</f>
        <v>NO</v>
      </c>
      <c r="E41" s="4241" t="str">
        <f>Table3!E47</f>
        <v>NO</v>
      </c>
      <c r="F41" s="3807"/>
      <c r="G41" s="3807"/>
      <c r="H41" s="3807"/>
      <c r="I41" s="3807"/>
      <c r="J41" s="87"/>
      <c r="K41" s="4247" t="str">
        <f>Table3!F47</f>
        <v>NO</v>
      </c>
      <c r="L41" s="4247" t="str">
        <f>Table3!G47</f>
        <v>NO</v>
      </c>
      <c r="M41" s="4247" t="str">
        <f>Table3!H47</f>
        <v>NO</v>
      </c>
      <c r="N41" s="4252" t="str">
        <f>Table3!I47</f>
        <v>NO</v>
      </c>
      <c r="O41" s="3798" t="str">
        <f t="shared" si="2"/>
        <v>NO</v>
      </c>
    </row>
    <row r="42" spans="2:15" ht="18" customHeight="1" x14ac:dyDescent="0.25">
      <c r="B42" s="1134" t="s">
        <v>2041</v>
      </c>
      <c r="C42" s="3808">
        <f>Table4!C10</f>
        <v>61853.129233805063</v>
      </c>
      <c r="D42" s="3809">
        <f>Table4!D10</f>
        <v>726.3529216532221</v>
      </c>
      <c r="E42" s="3810">
        <f>Table4!E10</f>
        <v>17.289384986216149</v>
      </c>
      <c r="F42" s="3801"/>
      <c r="G42" s="3801"/>
      <c r="H42" s="3801"/>
      <c r="I42" s="3801"/>
      <c r="J42" s="3801"/>
      <c r="K42" s="4253">
        <f>Table4!F10</f>
        <v>978.25111224870068</v>
      </c>
      <c r="L42" s="4253">
        <f>Table4!G10</f>
        <v>26030.181263636816</v>
      </c>
      <c r="M42" s="4253">
        <f>Table4!H10</f>
        <v>803.85393218561467</v>
      </c>
      <c r="N42" s="4254" t="str">
        <f>N50</f>
        <v>NO</v>
      </c>
      <c r="O42" s="3781">
        <f t="shared" si="2"/>
        <v>86772.698061442556</v>
      </c>
    </row>
    <row r="43" spans="2:15" ht="18" customHeight="1" x14ac:dyDescent="0.25">
      <c r="B43" s="4245" t="s">
        <v>2042</v>
      </c>
      <c r="C43" s="4255">
        <f>Table4!C11</f>
        <v>-44030.092111633683</v>
      </c>
      <c r="D43" s="4256">
        <f>Table4!D11</f>
        <v>247.91046331831978</v>
      </c>
      <c r="E43" s="4257">
        <f>Table4!E11</f>
        <v>4.7588687531444727</v>
      </c>
      <c r="F43" s="3792"/>
      <c r="G43" s="3792"/>
      <c r="H43" s="3792"/>
      <c r="I43" s="3792"/>
      <c r="J43" s="3792"/>
      <c r="K43" s="4247">
        <f>Table4!F11</f>
        <v>259.94011677283208</v>
      </c>
      <c r="L43" s="4247">
        <f>Table4!G11</f>
        <v>7002.7484106655102</v>
      </c>
      <c r="M43" s="4247">
        <f>Table4!H11</f>
        <v>243.15589725503946</v>
      </c>
      <c r="N43" s="3811"/>
      <c r="O43" s="3812">
        <f t="shared" si="2"/>
        <v>-35827.498919137448</v>
      </c>
    </row>
    <row r="44" spans="2:15" ht="18" customHeight="1" x14ac:dyDescent="0.25">
      <c r="B44" s="4245" t="s">
        <v>2043</v>
      </c>
      <c r="C44" s="4255">
        <f>Table4!C14</f>
        <v>10431.513443562886</v>
      </c>
      <c r="D44" s="4258">
        <f>Table4!D14</f>
        <v>4.0637663999999996</v>
      </c>
      <c r="E44" s="4258">
        <f>Table4!E14</f>
        <v>0.13524441726366032</v>
      </c>
      <c r="F44" s="3802"/>
      <c r="G44" s="3802"/>
      <c r="H44" s="3802"/>
      <c r="I44" s="3802"/>
      <c r="J44" s="3802"/>
      <c r="K44" s="4247">
        <f>Table4!F14</f>
        <v>3.0599193428571425</v>
      </c>
      <c r="L44" s="4247">
        <f>Table4!G14</f>
        <v>119.84348133333334</v>
      </c>
      <c r="M44" s="4247">
        <f>Table4!H14</f>
        <v>14.486574666666668</v>
      </c>
      <c r="N44" s="4259"/>
      <c r="O44" s="3783">
        <f t="shared" si="2"/>
        <v>10581.138673337757</v>
      </c>
    </row>
    <row r="45" spans="2:15" ht="18" customHeight="1" x14ac:dyDescent="0.25">
      <c r="B45" s="4245" t="s">
        <v>2044</v>
      </c>
      <c r="C45" s="4255">
        <f>Table4!C17</f>
        <v>95703.865611283807</v>
      </c>
      <c r="D45" s="4258">
        <f>Table4!D17</f>
        <v>383.50323771289891</v>
      </c>
      <c r="E45" s="4258">
        <f>Table4!E17</f>
        <v>11.842644006660517</v>
      </c>
      <c r="F45" s="3802"/>
      <c r="G45" s="3802"/>
      <c r="H45" s="3802"/>
      <c r="I45" s="3802"/>
      <c r="J45" s="3802"/>
      <c r="K45" s="4247">
        <f>Table4!F17</f>
        <v>686.55076759885526</v>
      </c>
      <c r="L45" s="4247">
        <f>Table4!G17</f>
        <v>18166.185979243186</v>
      </c>
      <c r="M45" s="4247">
        <f>Table4!H17</f>
        <v>529.23883740971633</v>
      </c>
      <c r="N45" s="4259"/>
      <c r="O45" s="3783">
        <f t="shared" si="2"/>
        <v>109580.25692901001</v>
      </c>
    </row>
    <row r="46" spans="2:15" ht="18" customHeight="1" x14ac:dyDescent="0.25">
      <c r="B46" s="4245" t="s">
        <v>2045</v>
      </c>
      <c r="C46" s="4255">
        <f>Table4!C20</f>
        <v>1302.9933634580761</v>
      </c>
      <c r="D46" s="4258">
        <f>Table4!D20</f>
        <v>86.22305902200344</v>
      </c>
      <c r="E46" s="4258">
        <f>Table4!E20</f>
        <v>0.34193934540547777</v>
      </c>
      <c r="F46" s="3802"/>
      <c r="G46" s="3802"/>
      <c r="H46" s="3802"/>
      <c r="I46" s="3802"/>
      <c r="J46" s="3802"/>
      <c r="K46" s="4247">
        <f>Table4!F20</f>
        <v>25.197165719870469</v>
      </c>
      <c r="L46" s="4247">
        <f>Table4!G20</f>
        <v>604.20081172811956</v>
      </c>
      <c r="M46" s="4247">
        <f>Table4!H20</f>
        <v>0.38769552085887665</v>
      </c>
      <c r="N46" s="4259"/>
      <c r="O46" s="3783">
        <f t="shared" si="2"/>
        <v>3807.8529426066243</v>
      </c>
    </row>
    <row r="47" spans="2:15" ht="18" customHeight="1" x14ac:dyDescent="0.25">
      <c r="B47" s="4245" t="s">
        <v>2046</v>
      </c>
      <c r="C47" s="4255">
        <f>Table4!C23</f>
        <v>5931.1504564207271</v>
      </c>
      <c r="D47" s="4258">
        <f>Table4!D23</f>
        <v>4.6523952</v>
      </c>
      <c r="E47" s="4260">
        <f>Table4!E23</f>
        <v>0.11617100008916363</v>
      </c>
      <c r="F47" s="3802"/>
      <c r="G47" s="3802"/>
      <c r="H47" s="3802"/>
      <c r="I47" s="3802"/>
      <c r="J47" s="3802"/>
      <c r="K47" s="4247">
        <f>Table4!F23</f>
        <v>3.5031428142857148</v>
      </c>
      <c r="L47" s="4247">
        <f>Table4!G23</f>
        <v>137.20258066666671</v>
      </c>
      <c r="M47" s="4247">
        <f>Table4!H23</f>
        <v>16.584927333333333</v>
      </c>
      <c r="N47" s="1838"/>
      <c r="O47" s="3783">
        <f t="shared" si="2"/>
        <v>6092.2028370443559</v>
      </c>
    </row>
    <row r="48" spans="2:15" ht="18" customHeight="1" x14ac:dyDescent="0.25">
      <c r="B48" s="4245" t="s">
        <v>2047</v>
      </c>
      <c r="C48" s="4255" t="str">
        <f>Table4!C26</f>
        <v>NO</v>
      </c>
      <c r="D48" s="4261" t="str">
        <f>Table4!D26</f>
        <v>NO</v>
      </c>
      <c r="E48" s="4262" t="str">
        <f>Table4!E26</f>
        <v>NO</v>
      </c>
      <c r="F48" s="3792"/>
      <c r="G48" s="3792"/>
      <c r="H48" s="3792"/>
      <c r="I48" s="3792"/>
      <c r="J48" s="3792"/>
      <c r="K48" s="4247" t="str">
        <f>Table4!F26</f>
        <v>NO</v>
      </c>
      <c r="L48" s="4247" t="str">
        <f>Table4!G26</f>
        <v>NO</v>
      </c>
      <c r="M48" s="4247" t="str">
        <f>Table4!H26</f>
        <v>NO</v>
      </c>
      <c r="N48" s="3813"/>
      <c r="O48" s="3785" t="str">
        <f t="shared" si="2"/>
        <v>NO</v>
      </c>
    </row>
    <row r="49" spans="2:15" ht="18" customHeight="1" x14ac:dyDescent="0.25">
      <c r="B49" s="4245" t="s">
        <v>2048</v>
      </c>
      <c r="C49" s="4263">
        <f>Table4!C29</f>
        <v>-7496.5171084051362</v>
      </c>
      <c r="D49" s="3792"/>
      <c r="E49" s="3792"/>
      <c r="F49" s="3792"/>
      <c r="G49" s="3792"/>
      <c r="H49" s="3792"/>
      <c r="I49" s="3792"/>
      <c r="J49" s="3792"/>
      <c r="K49" s="3792"/>
      <c r="L49" s="3792"/>
      <c r="M49" s="3792"/>
      <c r="N49" s="3814"/>
      <c r="O49" s="3785">
        <f t="shared" si="2"/>
        <v>-7496.5171084051362</v>
      </c>
    </row>
    <row r="50" spans="2:15" ht="18" customHeight="1" thickBot="1" x14ac:dyDescent="0.3">
      <c r="B50" s="4251" t="s">
        <v>2049</v>
      </c>
      <c r="C50" s="4264">
        <f>Table4!C30</f>
        <v>10.215579118396668</v>
      </c>
      <c r="D50" s="4265" t="str">
        <f>Table4!D30</f>
        <v>NO</v>
      </c>
      <c r="E50" s="4265">
        <f>Table4!E30</f>
        <v>9.4517463652857153E-2</v>
      </c>
      <c r="F50" s="3807"/>
      <c r="G50" s="3807"/>
      <c r="H50" s="3807"/>
      <c r="I50" s="3807"/>
      <c r="J50" s="3807"/>
      <c r="K50" s="4266" t="str">
        <f>Table4!F30</f>
        <v>NO</v>
      </c>
      <c r="L50" s="4266" t="str">
        <f>Table4!G30</f>
        <v>NO</v>
      </c>
      <c r="M50" s="4266" t="str">
        <f>Table4!H30</f>
        <v>NO</v>
      </c>
      <c r="N50" s="4266" t="s">
        <v>2146</v>
      </c>
      <c r="O50" s="3798">
        <f t="shared" si="2"/>
        <v>35.262706986403813</v>
      </c>
    </row>
    <row r="51" spans="2:15" ht="18" customHeight="1" x14ac:dyDescent="0.25">
      <c r="B51" s="1377" t="s">
        <v>1500</v>
      </c>
      <c r="C51" s="3815">
        <f>Table5!C10</f>
        <v>29.308601056242154</v>
      </c>
      <c r="D51" s="3799">
        <f>Table5!D10</f>
        <v>542.94436186458563</v>
      </c>
      <c r="E51" s="3800">
        <f>Table5!E10</f>
        <v>0.94487305994812654</v>
      </c>
      <c r="F51" s="3801"/>
      <c r="G51" s="3801"/>
      <c r="H51" s="3801"/>
      <c r="I51" s="3801"/>
      <c r="J51" s="3801"/>
      <c r="K51" s="4243" t="str">
        <f>Table5!F10</f>
        <v>NO</v>
      </c>
      <c r="L51" s="4243" t="str">
        <f>Table5!G10</f>
        <v>NO</v>
      </c>
      <c r="M51" s="4243">
        <f>Table5!H10</f>
        <v>257.8715773858176</v>
      </c>
      <c r="N51" s="4244" t="str">
        <f>Table5!I10</f>
        <v>NO</v>
      </c>
      <c r="O51" s="4267">
        <f t="shared" si="2"/>
        <v>15482.142094150893</v>
      </c>
    </row>
    <row r="52" spans="2:15" ht="18" customHeight="1" x14ac:dyDescent="0.25">
      <c r="B52" s="4245" t="s">
        <v>2050</v>
      </c>
      <c r="C52" s="4248"/>
      <c r="D52" s="4246">
        <f>Table5!D11</f>
        <v>427.25933203</v>
      </c>
      <c r="E52" s="3816"/>
      <c r="F52" s="3801"/>
      <c r="G52" s="3801"/>
      <c r="H52" s="3801"/>
      <c r="I52" s="3801"/>
      <c r="J52" s="3801"/>
      <c r="K52" s="4247" t="str">
        <f>Table5!F11</f>
        <v>NO</v>
      </c>
      <c r="L52" s="4247" t="str">
        <f>Table5!G11</f>
        <v>NO</v>
      </c>
      <c r="M52" s="4247">
        <f>Table5!H11</f>
        <v>2.8855970310683268</v>
      </c>
      <c r="N52" s="3803"/>
      <c r="O52" s="4267">
        <f t="shared" si="2"/>
        <v>11963.261296839999</v>
      </c>
    </row>
    <row r="53" spans="2:15" ht="18" customHeight="1" x14ac:dyDescent="0.25">
      <c r="B53" s="4245" t="s">
        <v>1501</v>
      </c>
      <c r="C53" s="4248"/>
      <c r="D53" s="4246">
        <f>Table5!D15</f>
        <v>2.5227352500000002</v>
      </c>
      <c r="E53" s="4246">
        <f>Table5!E15</f>
        <v>0.32291011199999997</v>
      </c>
      <c r="F53" s="3802"/>
      <c r="G53" s="3802"/>
      <c r="H53" s="3802"/>
      <c r="I53" s="3802"/>
      <c r="J53" s="3802"/>
      <c r="K53" s="4247" t="str">
        <f>Table5!F15</f>
        <v>NA,NE</v>
      </c>
      <c r="L53" s="4247" t="str">
        <f>Table5!G15</f>
        <v>NA,NE</v>
      </c>
      <c r="M53" s="4247" t="str">
        <f>Table5!H15</f>
        <v>NA,NE</v>
      </c>
      <c r="N53" s="3803"/>
      <c r="O53" s="3782">
        <f t="shared" si="2"/>
        <v>156.20776667999999</v>
      </c>
    </row>
    <row r="54" spans="2:15" ht="18" customHeight="1" x14ac:dyDescent="0.25">
      <c r="B54" s="4245" t="s">
        <v>2051</v>
      </c>
      <c r="C54" s="4268">
        <f>Table5!C18</f>
        <v>29.308601056242154</v>
      </c>
      <c r="D54" s="4226" t="str">
        <f>Table5!D18</f>
        <v>NO,NE</v>
      </c>
      <c r="E54" s="4226" t="str">
        <f>Table5!E18</f>
        <v>NO,NE</v>
      </c>
      <c r="F54" s="3802"/>
      <c r="G54" s="3802"/>
      <c r="H54" s="3802"/>
      <c r="I54" s="3802"/>
      <c r="J54" s="3802"/>
      <c r="K54" s="4247" t="str">
        <f>Table5!F18</f>
        <v>NA</v>
      </c>
      <c r="L54" s="4247" t="str">
        <f>Table5!G18</f>
        <v>NA</v>
      </c>
      <c r="M54" s="4247" t="str">
        <f>Table5!H18</f>
        <v>NA</v>
      </c>
      <c r="N54" s="4269" t="str">
        <f>Table5!I18</f>
        <v>NA</v>
      </c>
      <c r="O54" s="4270">
        <f t="shared" si="2"/>
        <v>29.308601056242154</v>
      </c>
    </row>
    <row r="55" spans="2:15" ht="18" customHeight="1" x14ac:dyDescent="0.25">
      <c r="B55" s="4245" t="s">
        <v>1502</v>
      </c>
      <c r="C55" s="3791"/>
      <c r="D55" s="4226">
        <f>Table5!D21</f>
        <v>113.16229458458568</v>
      </c>
      <c r="E55" s="4226">
        <f>Table5!E21</f>
        <v>0.62196294794812657</v>
      </c>
      <c r="F55" s="3802"/>
      <c r="G55" s="3802"/>
      <c r="H55" s="3802"/>
      <c r="I55" s="3802"/>
      <c r="J55" s="3802"/>
      <c r="K55" s="4247" t="str">
        <f>Table5!F21</f>
        <v>NO</v>
      </c>
      <c r="L55" s="4247" t="str">
        <f>Table5!G21</f>
        <v>NO</v>
      </c>
      <c r="M55" s="4247">
        <f>Table5!H21</f>
        <v>254.98598035474927</v>
      </c>
      <c r="N55" s="3803"/>
      <c r="O55" s="4270">
        <f t="shared" si="2"/>
        <v>3333.3644295746526</v>
      </c>
    </row>
    <row r="56" spans="2:15" ht="18" customHeight="1" thickBot="1" x14ac:dyDescent="0.3">
      <c r="B56" s="4251" t="s">
        <v>2052</v>
      </c>
      <c r="C56" s="4239" t="str">
        <f>Table5!C25</f>
        <v>NE</v>
      </c>
      <c r="D56" s="4240" t="str">
        <f>Table5!D25</f>
        <v>NE</v>
      </c>
      <c r="E56" s="4240" t="str">
        <f>Table5!E25</f>
        <v>NE</v>
      </c>
      <c r="F56" s="3807"/>
      <c r="G56" s="3807"/>
      <c r="H56" s="3807"/>
      <c r="I56" s="3807"/>
      <c r="J56" s="3807"/>
      <c r="K56" s="4266" t="str">
        <f>Table5!F25</f>
        <v>NE</v>
      </c>
      <c r="L56" s="4266" t="str">
        <f>Table5!G25</f>
        <v>NE</v>
      </c>
      <c r="M56" s="4266" t="str">
        <f>Table5!H25</f>
        <v>NE</v>
      </c>
      <c r="N56" s="4252" t="str">
        <f>Table5!I25</f>
        <v>NE</v>
      </c>
      <c r="O56" s="4271" t="s">
        <v>2154</v>
      </c>
    </row>
    <row r="57" spans="2:15" ht="18" customHeight="1" x14ac:dyDescent="0.25">
      <c r="B57" s="1377" t="s">
        <v>2053</v>
      </c>
      <c r="C57" s="3815" t="str">
        <f>C58</f>
        <v>NO</v>
      </c>
      <c r="D57" s="3809" t="str">
        <f t="shared" ref="D57:N57" si="3">D58</f>
        <v>NO</v>
      </c>
      <c r="E57" s="3810" t="str">
        <f t="shared" si="3"/>
        <v>NO</v>
      </c>
      <c r="F57" s="3810" t="str">
        <f t="shared" si="3"/>
        <v>NO</v>
      </c>
      <c r="G57" s="3810" t="str">
        <f t="shared" si="3"/>
        <v>NO</v>
      </c>
      <c r="H57" s="3810" t="str">
        <f t="shared" si="3"/>
        <v>NO</v>
      </c>
      <c r="I57" s="3810" t="str">
        <f t="shared" si="3"/>
        <v>NO</v>
      </c>
      <c r="J57" s="3810" t="str">
        <f t="shared" si="3"/>
        <v>NO</v>
      </c>
      <c r="K57" s="4253" t="str">
        <f t="shared" si="3"/>
        <v>NO</v>
      </c>
      <c r="L57" s="4253" t="str">
        <f t="shared" si="3"/>
        <v>NO</v>
      </c>
      <c r="M57" s="4253" t="str">
        <f t="shared" si="3"/>
        <v>NO</v>
      </c>
      <c r="N57" s="4254" t="str">
        <f t="shared" si="3"/>
        <v>NO</v>
      </c>
      <c r="O57" s="4272" t="str">
        <f t="shared" si="2"/>
        <v>NO</v>
      </c>
    </row>
    <row r="58" spans="2:15" ht="18" customHeight="1" thickBot="1" x14ac:dyDescent="0.3">
      <c r="B58" s="4273" t="s">
        <v>2147</v>
      </c>
      <c r="C58" s="4274" t="s">
        <v>2146</v>
      </c>
      <c r="D58" s="4275" t="s">
        <v>2146</v>
      </c>
      <c r="E58" s="4276" t="s">
        <v>2146</v>
      </c>
      <c r="F58" s="4276" t="s">
        <v>2146</v>
      </c>
      <c r="G58" s="4276" t="s">
        <v>2146</v>
      </c>
      <c r="H58" s="4276" t="s">
        <v>2146</v>
      </c>
      <c r="I58" s="4276" t="s">
        <v>2146</v>
      </c>
      <c r="J58" s="4276" t="s">
        <v>2146</v>
      </c>
      <c r="K58" s="3831" t="s">
        <v>2146</v>
      </c>
      <c r="L58" s="3831" t="s">
        <v>2146</v>
      </c>
      <c r="M58" s="3831" t="s">
        <v>2146</v>
      </c>
      <c r="N58" s="3832" t="s">
        <v>2146</v>
      </c>
      <c r="O58" s="4277" t="str">
        <f t="shared" si="2"/>
        <v>NO</v>
      </c>
    </row>
    <row r="59" spans="2:15" ht="18" customHeight="1" thickBot="1" x14ac:dyDescent="0.3">
      <c r="B59" s="2514"/>
      <c r="C59" s="2515"/>
      <c r="D59" s="2515"/>
      <c r="E59" s="2515"/>
      <c r="F59" s="2515"/>
      <c r="G59" s="2515"/>
      <c r="H59" s="2515"/>
      <c r="I59" s="2515"/>
      <c r="J59" s="2515"/>
      <c r="K59" s="4278"/>
      <c r="L59" s="4278"/>
      <c r="M59" s="4278"/>
      <c r="N59" s="4278"/>
      <c r="O59" s="4278"/>
    </row>
    <row r="60" spans="2:15" ht="18" customHeight="1" x14ac:dyDescent="0.25">
      <c r="B60" s="1378" t="s">
        <v>2054</v>
      </c>
      <c r="C60" s="2519"/>
      <c r="D60" s="2520"/>
      <c r="E60" s="2520"/>
      <c r="F60" s="2520"/>
      <c r="G60" s="2520"/>
      <c r="H60" s="2520"/>
      <c r="I60" s="2520"/>
      <c r="J60" s="2520"/>
      <c r="K60" s="2520"/>
      <c r="L60" s="2520"/>
      <c r="M60" s="2520"/>
      <c r="N60" s="2521"/>
      <c r="O60" s="1557"/>
    </row>
    <row r="61" spans="2:15" ht="18" customHeight="1" x14ac:dyDescent="0.25">
      <c r="B61" s="1379" t="s">
        <v>110</v>
      </c>
      <c r="C61" s="3819">
        <f>Table1!C52</f>
        <v>11554.7</v>
      </c>
      <c r="D61" s="3820">
        <f>Table1!D52</f>
        <v>0.31886520499999998</v>
      </c>
      <c r="E61" s="3820">
        <f>Table1!E52</f>
        <v>0.13091541353421052</v>
      </c>
      <c r="F61" s="628"/>
      <c r="G61" s="628"/>
      <c r="H61" s="628"/>
      <c r="I61" s="628"/>
      <c r="J61" s="628"/>
      <c r="K61" s="3820">
        <f>Table1!F52</f>
        <v>125.56993010815788</v>
      </c>
      <c r="L61" s="3820">
        <f>Table1!G52</f>
        <v>16.256941727105261</v>
      </c>
      <c r="M61" s="3820">
        <f>Table1!H52</f>
        <v>8.9892731942368425</v>
      </c>
      <c r="N61" s="3821">
        <f>Table1!I52</f>
        <v>45.604641997300952</v>
      </c>
      <c r="O61" s="4267">
        <f t="shared" ref="O61:O67" si="4">IF(SUM(C61:J61)=0,"NO",SUM(C61,F61:H61)+28*SUM(D61)+265*SUM(E61)+23500*SUM(I61)+16100*SUM(J61))</f>
        <v>11598.320810326566</v>
      </c>
    </row>
    <row r="62" spans="2:15" ht="18" customHeight="1" x14ac:dyDescent="0.25">
      <c r="B62" s="1371" t="s">
        <v>111</v>
      </c>
      <c r="C62" s="4279">
        <f>Table1!C53</f>
        <v>8393.76</v>
      </c>
      <c r="D62" s="4233">
        <f>Table1!D53</f>
        <v>1.5065205000000002E-2</v>
      </c>
      <c r="E62" s="4233">
        <f>Table1!E53</f>
        <v>4.4115413534210515E-2</v>
      </c>
      <c r="F62" s="628"/>
      <c r="G62" s="628"/>
      <c r="H62" s="628"/>
      <c r="I62" s="628"/>
      <c r="J62" s="2135"/>
      <c r="K62" s="4233">
        <f>Table1!F53</f>
        <v>42.549930108157888</v>
      </c>
      <c r="L62" s="4233">
        <f>Table1!G53</f>
        <v>13.276341727105262</v>
      </c>
      <c r="M62" s="4233">
        <f>Table1!H53</f>
        <v>6.4080731942368425</v>
      </c>
      <c r="N62" s="4234">
        <f>Table1!I53</f>
        <v>0.98892000000000024</v>
      </c>
      <c r="O62" s="3782">
        <f t="shared" si="4"/>
        <v>8405.8724103265668</v>
      </c>
    </row>
    <row r="63" spans="2:15" ht="18" customHeight="1" x14ac:dyDescent="0.25">
      <c r="B63" s="1380" t="s">
        <v>1503</v>
      </c>
      <c r="C63" s="4279">
        <f>Table1!C54</f>
        <v>3160.9399999999996</v>
      </c>
      <c r="D63" s="4219">
        <f>Table1!D54</f>
        <v>0.30379999999999996</v>
      </c>
      <c r="E63" s="4219">
        <f>Table1!E54</f>
        <v>8.6800000000000002E-2</v>
      </c>
      <c r="F63" s="628"/>
      <c r="G63" s="628"/>
      <c r="H63" s="628"/>
      <c r="I63" s="628"/>
      <c r="J63" s="628"/>
      <c r="K63" s="4219">
        <f>Table1!F54</f>
        <v>83.02</v>
      </c>
      <c r="L63" s="4219">
        <f>Table1!G54</f>
        <v>2.9805999999999999</v>
      </c>
      <c r="M63" s="4219">
        <f>Table1!H54</f>
        <v>2.5811999999999999</v>
      </c>
      <c r="N63" s="4220">
        <f>Table1!I54</f>
        <v>44.615721997300952</v>
      </c>
      <c r="O63" s="3783">
        <f t="shared" si="4"/>
        <v>3192.4483999999998</v>
      </c>
    </row>
    <row r="64" spans="2:15" ht="18" customHeight="1" x14ac:dyDescent="0.25">
      <c r="B64" s="1381" t="s">
        <v>113</v>
      </c>
      <c r="C64" s="3819" t="str">
        <f>Table1!C55</f>
        <v>NE</v>
      </c>
      <c r="D64" s="3820" t="str">
        <f>Table1!D55</f>
        <v>NE</v>
      </c>
      <c r="E64" s="3820" t="str">
        <f>Table1!E55</f>
        <v>NE</v>
      </c>
      <c r="F64" s="628"/>
      <c r="G64" s="628"/>
      <c r="H64" s="628"/>
      <c r="I64" s="628"/>
      <c r="J64" s="628"/>
      <c r="K64" s="3820" t="str">
        <f>Table1!F55</f>
        <v>NE</v>
      </c>
      <c r="L64" s="3820" t="str">
        <f>Table1!G55</f>
        <v>NE</v>
      </c>
      <c r="M64" s="3820" t="str">
        <f>Table1!H55</f>
        <v>NE</v>
      </c>
      <c r="N64" s="3821" t="str">
        <f>Table1!I55</f>
        <v>NE</v>
      </c>
      <c r="O64" s="3783" t="s">
        <v>2154</v>
      </c>
    </row>
    <row r="65" spans="2:15" ht="18" customHeight="1" x14ac:dyDescent="0.25">
      <c r="B65" s="1382" t="s">
        <v>114</v>
      </c>
      <c r="C65" s="3822">
        <f>Table1!C56</f>
        <v>19106.106086929161</v>
      </c>
      <c r="D65" s="3823"/>
      <c r="E65" s="3823"/>
      <c r="F65" s="3824"/>
      <c r="G65" s="3824"/>
      <c r="H65" s="3824"/>
      <c r="I65" s="3824"/>
      <c r="J65" s="3823"/>
      <c r="K65" s="3823"/>
      <c r="L65" s="3823"/>
      <c r="M65" s="3823"/>
      <c r="N65" s="3825"/>
      <c r="O65" s="3812">
        <f t="shared" si="4"/>
        <v>19106.106086929161</v>
      </c>
    </row>
    <row r="66" spans="2:15" ht="18" customHeight="1" x14ac:dyDescent="0.25">
      <c r="B66" s="1383" t="s">
        <v>1504</v>
      </c>
      <c r="C66" s="3826" t="str">
        <f>Table1!C57</f>
        <v>NO</v>
      </c>
      <c r="D66" s="3352"/>
      <c r="E66" s="3352"/>
      <c r="F66" s="3352"/>
      <c r="G66" s="3352"/>
      <c r="H66" s="3352"/>
      <c r="I66" s="3352"/>
      <c r="J66" s="3352"/>
      <c r="K66" s="3352"/>
      <c r="L66" s="3352"/>
      <c r="M66" s="3352"/>
      <c r="N66" s="3827"/>
      <c r="O66" s="3783" t="str">
        <f t="shared" si="4"/>
        <v>NO</v>
      </c>
    </row>
    <row r="67" spans="2:15" ht="18" customHeight="1" thickBot="1" x14ac:dyDescent="0.3">
      <c r="B67" s="1384" t="s">
        <v>1505</v>
      </c>
      <c r="C67" s="3826">
        <f>Table5!C28</f>
        <v>-259123.55020694385</v>
      </c>
      <c r="D67" s="3824"/>
      <c r="E67" s="3824"/>
      <c r="F67" s="3828"/>
      <c r="G67" s="3824"/>
      <c r="H67" s="3824"/>
      <c r="I67" s="3824"/>
      <c r="J67" s="3824"/>
      <c r="K67" s="3824"/>
      <c r="L67" s="3824"/>
      <c r="M67" s="3824"/>
      <c r="N67" s="3829"/>
      <c r="O67" s="3785">
        <f t="shared" si="4"/>
        <v>-259123.55020694385</v>
      </c>
    </row>
    <row r="68" spans="2:15" ht="18" customHeight="1" thickBot="1" x14ac:dyDescent="0.3">
      <c r="B68" s="1137" t="s">
        <v>1506</v>
      </c>
      <c r="C68" s="4280"/>
      <c r="D68" s="4281"/>
      <c r="E68" s="4282" t="str">
        <f>Table6!I10</f>
        <v>IE,NE,NO</v>
      </c>
      <c r="F68" s="4281"/>
      <c r="G68" s="4281"/>
      <c r="H68" s="4281"/>
      <c r="I68" s="4281"/>
      <c r="J68" s="4281"/>
      <c r="K68" s="4281"/>
      <c r="L68" s="4281"/>
      <c r="M68" s="4281"/>
      <c r="N68" s="4283"/>
      <c r="O68" s="3830" t="str">
        <f>E68</f>
        <v>IE,NE,NO</v>
      </c>
    </row>
    <row r="69" spans="2:15" ht="18" customHeight="1" thickBot="1" x14ac:dyDescent="0.3">
      <c r="B69" s="2513"/>
      <c r="C69" s="4284"/>
      <c r="D69" s="4284"/>
      <c r="E69" s="4284"/>
      <c r="F69" s="4284"/>
      <c r="G69" s="4284"/>
      <c r="H69" s="4284"/>
      <c r="I69" s="4284"/>
      <c r="J69" s="4284"/>
      <c r="K69" s="4284"/>
      <c r="L69" s="4284"/>
      <c r="M69" s="4284"/>
      <c r="N69" s="4284"/>
      <c r="O69" s="4284"/>
    </row>
    <row r="70" spans="2:15" ht="18" customHeight="1" thickBot="1" x14ac:dyDescent="0.3">
      <c r="B70" s="1138" t="s">
        <v>1507</v>
      </c>
      <c r="C70" s="4282" t="str">
        <f>Table6!H10</f>
        <v>NE,NO</v>
      </c>
      <c r="D70" s="4285"/>
      <c r="E70" s="4286"/>
      <c r="F70" s="4286"/>
      <c r="G70" s="4286"/>
      <c r="H70" s="4286"/>
      <c r="I70" s="4286"/>
      <c r="J70" s="4286"/>
      <c r="K70" s="4286"/>
      <c r="L70" s="4286"/>
      <c r="M70" s="4286"/>
      <c r="N70" s="4287"/>
      <c r="O70" s="3830"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62"/>
      <c r="C78" s="962"/>
      <c r="D78" s="962"/>
      <c r="E78" s="962"/>
      <c r="F78" s="962"/>
      <c r="G78" s="962"/>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60.28515625" customWidth="1"/>
    <col min="3" max="11" width="14.85546875" customWidth="1"/>
    <col min="12" max="12" width="10.85546875" customWidth="1"/>
  </cols>
  <sheetData>
    <row r="1" spans="2:12" ht="17.25" x14ac:dyDescent="0.2">
      <c r="B1" s="213" t="s">
        <v>1508</v>
      </c>
      <c r="C1" s="213"/>
      <c r="D1" s="213"/>
      <c r="E1" s="213"/>
      <c r="F1" s="213"/>
      <c r="K1" s="14" t="s">
        <v>2521</v>
      </c>
    </row>
    <row r="2" spans="2:12" ht="15.75" x14ac:dyDescent="0.2">
      <c r="B2" s="3" t="s">
        <v>62</v>
      </c>
      <c r="K2" s="14" t="s">
        <v>2522</v>
      </c>
    </row>
    <row r="3" spans="2:12" x14ac:dyDescent="0.2">
      <c r="K3" s="14" t="s">
        <v>2144</v>
      </c>
    </row>
    <row r="4" spans="2:12" hidden="1" x14ac:dyDescent="0.2">
      <c r="K4" s="2"/>
    </row>
    <row r="5" spans="2:12" hidden="1" x14ac:dyDescent="0.2">
      <c r="K5" s="2"/>
    </row>
    <row r="6" spans="2:12" hidden="1" x14ac:dyDescent="0.2">
      <c r="K6" s="2"/>
    </row>
    <row r="7" spans="2:12" ht="13.5" thickBot="1" x14ac:dyDescent="0.25">
      <c r="B7" s="2446" t="s">
        <v>64</v>
      </c>
      <c r="K7" s="623"/>
    </row>
    <row r="8" spans="2:12" ht="24" x14ac:dyDescent="0.2">
      <c r="B8" s="2548" t="s">
        <v>326</v>
      </c>
      <c r="C8" s="624" t="s">
        <v>1509</v>
      </c>
      <c r="D8" s="624" t="s">
        <v>424</v>
      </c>
      <c r="E8" s="624" t="s">
        <v>425</v>
      </c>
      <c r="F8" s="624" t="s">
        <v>1510</v>
      </c>
      <c r="G8" s="624" t="s">
        <v>1511</v>
      </c>
      <c r="H8" s="2476" t="s">
        <v>1512</v>
      </c>
      <c r="I8" s="2475" t="s">
        <v>440</v>
      </c>
      <c r="J8" s="624" t="s">
        <v>1513</v>
      </c>
      <c r="K8" s="625" t="s">
        <v>1514</v>
      </c>
    </row>
    <row r="9" spans="2:12" ht="18" customHeight="1" thickBot="1" x14ac:dyDescent="0.25">
      <c r="B9" s="2549" t="s">
        <v>328</v>
      </c>
      <c r="C9" s="1921" t="s">
        <v>1515</v>
      </c>
      <c r="D9" s="1922"/>
      <c r="E9" s="1922"/>
      <c r="F9" s="1922"/>
      <c r="G9" s="1922"/>
      <c r="H9" s="1922"/>
      <c r="I9" s="614"/>
      <c r="J9" s="614"/>
      <c r="K9" s="626"/>
    </row>
    <row r="10" spans="2:12" ht="18" customHeight="1" thickTop="1" thickBot="1" x14ac:dyDescent="0.25">
      <c r="B10" s="1391" t="s">
        <v>1516</v>
      </c>
      <c r="C10" s="4213">
        <f>Summary1!C10</f>
        <v>454289.46254824422</v>
      </c>
      <c r="D10" s="4213">
        <f>IFERROR(Summary1!D10*28,Summary1!D10)</f>
        <v>144992.0118182358</v>
      </c>
      <c r="E10" s="4213">
        <f>IFERROR(Summary1!E10*265,Summary1!E10)</f>
        <v>22590.570952594815</v>
      </c>
      <c r="F10" s="4213">
        <f>Summary1!F10</f>
        <v>4108.7147366727786</v>
      </c>
      <c r="G10" s="4213">
        <f>Summary1!G10</f>
        <v>617.93925336459722</v>
      </c>
      <c r="H10" s="4213" t="str">
        <f>Summary1!H10</f>
        <v>NO</v>
      </c>
      <c r="I10" s="4288">
        <f>IFERROR(Summary1!I10*23500,Summary1!I10)</f>
        <v>191.78131355969191</v>
      </c>
      <c r="J10" s="4289" t="str">
        <f>IFERROR(Summary1!J10*16100,Summary1!J10)</f>
        <v>NO</v>
      </c>
      <c r="K10" s="4214">
        <f>IF(SUM(C10:J10)=0,"NO",SUM(C10:J10))</f>
        <v>626790.48062267201</v>
      </c>
    </row>
    <row r="11" spans="2:12" ht="18" customHeight="1" x14ac:dyDescent="0.2">
      <c r="B11" s="1550" t="s">
        <v>1476</v>
      </c>
      <c r="C11" s="4253">
        <f>Summary1!C11</f>
        <v>367332.27677549474</v>
      </c>
      <c r="D11" s="4253">
        <f>IFERROR(Summary1!D11*28,Summary1!D11)</f>
        <v>38967.173482104001</v>
      </c>
      <c r="E11" s="4253">
        <f>IFERROR(Summary1!E11*265,Summary1!E11)</f>
        <v>3340.2776493978772</v>
      </c>
      <c r="F11" s="1929"/>
      <c r="G11" s="1929"/>
      <c r="H11" s="1930"/>
      <c r="I11" s="1930"/>
      <c r="J11" s="627"/>
      <c r="K11" s="4290">
        <f t="shared" ref="K11:K55" si="0">IF(SUM(C11:J11)=0,"NO",SUM(C11:J11))</f>
        <v>409639.72790699668</v>
      </c>
      <c r="L11" s="19"/>
    </row>
    <row r="12" spans="2:12" ht="18" customHeight="1" x14ac:dyDescent="0.2">
      <c r="B12" s="620" t="s">
        <v>131</v>
      </c>
      <c r="C12" s="4247">
        <f>Summary1!C12</f>
        <v>360285.88298889197</v>
      </c>
      <c r="D12" s="4247">
        <f>IFERROR(Summary1!D12*28,Summary1!D12)</f>
        <v>2391.7165835167457</v>
      </c>
      <c r="E12" s="4247">
        <f>IFERROR(Summary1!E12*265,Summary1!E12)</f>
        <v>3318.7683695852174</v>
      </c>
      <c r="F12" s="628"/>
      <c r="G12" s="628"/>
      <c r="H12" s="628"/>
      <c r="I12" s="69"/>
      <c r="J12" s="69"/>
      <c r="K12" s="4291">
        <f t="shared" si="0"/>
        <v>365996.36794199393</v>
      </c>
      <c r="L12" s="19"/>
    </row>
    <row r="13" spans="2:12" ht="18" customHeight="1" x14ac:dyDescent="0.2">
      <c r="B13" s="1392" t="s">
        <v>1478</v>
      </c>
      <c r="C13" s="4247">
        <f>Summary1!C13</f>
        <v>219705.33865122739</v>
      </c>
      <c r="D13" s="4247">
        <f>IFERROR(Summary1!D13*28,Summary1!D13)</f>
        <v>355.45472854673085</v>
      </c>
      <c r="E13" s="4247">
        <f>IFERROR(Summary1!E13*265,Summary1!E13)</f>
        <v>965.94722527787201</v>
      </c>
      <c r="F13" s="628"/>
      <c r="G13" s="628"/>
      <c r="H13" s="628"/>
      <c r="I13" s="69"/>
      <c r="J13" s="69"/>
      <c r="K13" s="4291">
        <f t="shared" si="0"/>
        <v>221026.74060505198</v>
      </c>
      <c r="L13" s="19"/>
    </row>
    <row r="14" spans="2:12" ht="18" customHeight="1" x14ac:dyDescent="0.2">
      <c r="B14" s="1392" t="s">
        <v>1517</v>
      </c>
      <c r="C14" s="4247">
        <f>Summary1!C14</f>
        <v>40191.294818873052</v>
      </c>
      <c r="D14" s="4247">
        <f>IFERROR(Summary1!D14*28,Summary1!D14)</f>
        <v>65.726157967297084</v>
      </c>
      <c r="E14" s="4247">
        <f>IFERROR(Summary1!E14*265,Summary1!E14)</f>
        <v>353.57090288210213</v>
      </c>
      <c r="F14" s="628"/>
      <c r="G14" s="628"/>
      <c r="H14" s="628"/>
      <c r="I14" s="69"/>
      <c r="J14" s="69"/>
      <c r="K14" s="4291">
        <f t="shared" si="0"/>
        <v>40610.591879722451</v>
      </c>
      <c r="L14" s="19"/>
    </row>
    <row r="15" spans="2:12" ht="18" customHeight="1" x14ac:dyDescent="0.2">
      <c r="B15" s="1392" t="s">
        <v>1480</v>
      </c>
      <c r="C15" s="4247">
        <f>Summary1!C15</f>
        <v>80926.112954754542</v>
      </c>
      <c r="D15" s="4247">
        <f>IFERROR(Summary1!D15*28,Summary1!D15)</f>
        <v>595.46414893406177</v>
      </c>
      <c r="E15" s="4247">
        <f>IFERROR(Summary1!E15*265,Summary1!E15)</f>
        <v>1818.9005494029896</v>
      </c>
      <c r="F15" s="628"/>
      <c r="G15" s="628"/>
      <c r="H15" s="628"/>
      <c r="I15" s="69"/>
      <c r="J15" s="69"/>
      <c r="K15" s="4291">
        <f t="shared" si="0"/>
        <v>83340.477653091584</v>
      </c>
      <c r="L15" s="19"/>
    </row>
    <row r="16" spans="2:12" ht="18" customHeight="1" x14ac:dyDescent="0.2">
      <c r="B16" s="1392" t="s">
        <v>1481</v>
      </c>
      <c r="C16" s="4247">
        <f>Summary1!C16</f>
        <v>18814.081690346997</v>
      </c>
      <c r="D16" s="4247">
        <f>IFERROR(Summary1!D16*28,Summary1!D16)</f>
        <v>1374.4479828963026</v>
      </c>
      <c r="E16" s="4247">
        <f>IFERROR(Summary1!E16*265,Summary1!E16)</f>
        <v>175.58051004359791</v>
      </c>
      <c r="F16" s="628"/>
      <c r="G16" s="628"/>
      <c r="H16" s="628"/>
      <c r="I16" s="69"/>
      <c r="J16" s="69"/>
      <c r="K16" s="4291">
        <f t="shared" si="0"/>
        <v>20364.110183286895</v>
      </c>
      <c r="L16" s="19"/>
    </row>
    <row r="17" spans="2:12" ht="18" customHeight="1" x14ac:dyDescent="0.2">
      <c r="B17" s="1392" t="s">
        <v>1482</v>
      </c>
      <c r="C17" s="4247">
        <f>Summary1!C17</f>
        <v>649.05487369003185</v>
      </c>
      <c r="D17" s="4247">
        <f>IFERROR(Summary1!D17*28,Summary1!D17)</f>
        <v>0.62356517235336206</v>
      </c>
      <c r="E17" s="4247">
        <f>IFERROR(Summary1!E17*265,Summary1!E17)</f>
        <v>4.7691819786557996</v>
      </c>
      <c r="F17" s="628"/>
      <c r="G17" s="628"/>
      <c r="H17" s="628"/>
      <c r="I17" s="69"/>
      <c r="J17" s="69"/>
      <c r="K17" s="4291">
        <f t="shared" si="0"/>
        <v>654.44762084104093</v>
      </c>
      <c r="L17" s="19"/>
    </row>
    <row r="18" spans="2:12" ht="18" customHeight="1" x14ac:dyDescent="0.2">
      <c r="B18" s="620" t="s">
        <v>99</v>
      </c>
      <c r="C18" s="4247">
        <f>Summary1!C18</f>
        <v>7046.3937866027936</v>
      </c>
      <c r="D18" s="4247">
        <f>IFERROR(Summary1!D18*28,Summary1!D18)</f>
        <v>36575.456898587254</v>
      </c>
      <c r="E18" s="4247">
        <f>IFERROR(Summary1!E18*265,Summary1!E18)</f>
        <v>21.50927981265944</v>
      </c>
      <c r="F18" s="628"/>
      <c r="G18" s="628"/>
      <c r="H18" s="628"/>
      <c r="I18" s="69"/>
      <c r="J18" s="69"/>
      <c r="K18" s="4291">
        <f t="shared" si="0"/>
        <v>43643.359965002703</v>
      </c>
      <c r="L18" s="19"/>
    </row>
    <row r="19" spans="2:12" ht="18" customHeight="1" x14ac:dyDescent="0.2">
      <c r="B19" s="1392" t="s">
        <v>1483</v>
      </c>
      <c r="C19" s="4247">
        <f>Summary1!C19</f>
        <v>1212.9142005812864</v>
      </c>
      <c r="D19" s="4247">
        <f>IFERROR(Summary1!D19*28,Summary1!D19)</f>
        <v>30802.500206679779</v>
      </c>
      <c r="E19" s="4247">
        <f>IFERROR(Summary1!E19*265,Summary1!E19)</f>
        <v>3.3336402948205446E-2</v>
      </c>
      <c r="F19" s="628"/>
      <c r="G19" s="628"/>
      <c r="H19" s="628"/>
      <c r="I19" s="69"/>
      <c r="J19" s="69"/>
      <c r="K19" s="4291">
        <f t="shared" si="0"/>
        <v>32015.447743664012</v>
      </c>
      <c r="L19" s="19"/>
    </row>
    <row r="20" spans="2:12" ht="18" customHeight="1" x14ac:dyDescent="0.2">
      <c r="B20" s="1393" t="s">
        <v>1484</v>
      </c>
      <c r="C20" s="4247">
        <f>Summary1!C20</f>
        <v>5833.4795860215072</v>
      </c>
      <c r="D20" s="4247">
        <f>IFERROR(Summary1!D20*28,Summary1!D20)</f>
        <v>5772.956691907475</v>
      </c>
      <c r="E20" s="4247">
        <f>IFERROR(Summary1!E20*265,Summary1!E20)</f>
        <v>21.475943409711235</v>
      </c>
      <c r="F20" s="628"/>
      <c r="G20" s="628"/>
      <c r="H20" s="628"/>
      <c r="I20" s="69"/>
      <c r="J20" s="69"/>
      <c r="K20" s="4291">
        <f t="shared" si="0"/>
        <v>11627.912221338693</v>
      </c>
      <c r="L20" s="19"/>
    </row>
    <row r="21" spans="2:12" ht="18" customHeight="1" thickBot="1" x14ac:dyDescent="0.25">
      <c r="B21" s="1407" t="s">
        <v>1518</v>
      </c>
      <c r="C21" s="4266" t="str">
        <f>Summary1!C21</f>
        <v>NO</v>
      </c>
      <c r="D21" s="1923"/>
      <c r="E21" s="1923"/>
      <c r="F21" s="1923"/>
      <c r="G21" s="1923"/>
      <c r="H21" s="1923"/>
      <c r="I21" s="87"/>
      <c r="J21" s="87"/>
      <c r="K21" s="4292" t="str">
        <f t="shared" si="0"/>
        <v>NO</v>
      </c>
      <c r="L21" s="19"/>
    </row>
    <row r="22" spans="2:12" ht="18" customHeight="1" x14ac:dyDescent="0.2">
      <c r="B22" s="1551" t="s">
        <v>1486</v>
      </c>
      <c r="C22" s="4253">
        <f>Summary1!C22</f>
        <v>23245.05679168686</v>
      </c>
      <c r="D22" s="4253">
        <f>IFERROR(Summary1!D22*28,Summary1!D22)</f>
        <v>99.304303381217039</v>
      </c>
      <c r="E22" s="4253">
        <f>IFERROR(Summary1!E22*265,Summary1!E22)</f>
        <v>2353.1368783522262</v>
      </c>
      <c r="F22" s="4253">
        <f>Summary1!F22</f>
        <v>4108.7147366727786</v>
      </c>
      <c r="G22" s="4253">
        <f>Summary1!G22</f>
        <v>617.93925336459722</v>
      </c>
      <c r="H22" s="4253" t="str">
        <f>Summary1!H22</f>
        <v>NO</v>
      </c>
      <c r="I22" s="4253">
        <f>IFERROR(Summary1!I22*23500,Summary1!I22)</f>
        <v>191.78131355969191</v>
      </c>
      <c r="J22" s="4293" t="str">
        <f>IFERROR(Summary1!J22*16100,Summary1!J22)</f>
        <v>NO</v>
      </c>
      <c r="K22" s="4290">
        <f t="shared" si="0"/>
        <v>30615.933277017371</v>
      </c>
      <c r="L22" s="19"/>
    </row>
    <row r="23" spans="2:12" ht="18" customHeight="1" x14ac:dyDescent="0.2">
      <c r="B23" s="1394" t="s">
        <v>1487</v>
      </c>
      <c r="C23" s="4247">
        <f>Summary1!C23</f>
        <v>6668.9977667490357</v>
      </c>
      <c r="D23" s="628"/>
      <c r="E23" s="628"/>
      <c r="F23" s="628"/>
      <c r="G23" s="628"/>
      <c r="H23" s="628"/>
      <c r="I23" s="69"/>
      <c r="J23" s="69"/>
      <c r="K23" s="4291">
        <f t="shared" si="0"/>
        <v>6668.9977667490357</v>
      </c>
      <c r="L23" s="19"/>
    </row>
    <row r="24" spans="2:12" ht="18" customHeight="1" x14ac:dyDescent="0.2">
      <c r="B24" s="1394" t="s">
        <v>621</v>
      </c>
      <c r="C24" s="4247">
        <f>Summary1!C24</f>
        <v>3442.2998770693698</v>
      </c>
      <c r="D24" s="4247">
        <f>IFERROR(Summary1!D24*28,Summary1!D24)</f>
        <v>15.942746400000001</v>
      </c>
      <c r="E24" s="4247">
        <f>IFERROR(Summary1!E24*265,Summary1!E24)</f>
        <v>2333.1545911174203</v>
      </c>
      <c r="F24" s="1924" t="str">
        <f>Summary1!F24</f>
        <v>NO</v>
      </c>
      <c r="G24" s="1924" t="str">
        <f>Summary1!G24</f>
        <v>NO</v>
      </c>
      <c r="H24" s="1924" t="str">
        <f>Summary1!H24</f>
        <v>NO</v>
      </c>
      <c r="I24" s="616" t="str">
        <f>IFERROR(Summary1!I24*23500,Summary1!I24)</f>
        <v>NO</v>
      </c>
      <c r="J24" s="616" t="str">
        <f>IFERROR(Summary1!J24*16100,Summary1!J24)</f>
        <v>NO</v>
      </c>
      <c r="K24" s="4291">
        <f t="shared" si="0"/>
        <v>5791.3972145867901</v>
      </c>
      <c r="L24" s="19"/>
    </row>
    <row r="25" spans="2:12" ht="18" customHeight="1" x14ac:dyDescent="0.2">
      <c r="B25" s="1394" t="s">
        <v>459</v>
      </c>
      <c r="C25" s="4247">
        <f>Summary1!C25</f>
        <v>12730.761169823347</v>
      </c>
      <c r="D25" s="4247">
        <f>IFERROR(Summary1!D25*28,Summary1!D25)</f>
        <v>83.361556981217049</v>
      </c>
      <c r="E25" s="4247">
        <f>IFERROR(Summary1!E25*265,Summary1!E25)</f>
        <v>19.982287234805749</v>
      </c>
      <c r="F25" s="1924" t="str">
        <f>Summary1!F25</f>
        <v>NO</v>
      </c>
      <c r="G25" s="4247">
        <f>Summary1!G25</f>
        <v>617.93925336459722</v>
      </c>
      <c r="H25" s="4247" t="str">
        <f>Summary1!H25</f>
        <v>NO</v>
      </c>
      <c r="I25" s="4247" t="str">
        <f>IFERROR(Summary1!I25*23500,Summary1!I25)</f>
        <v>NO</v>
      </c>
      <c r="J25" s="4247" t="str">
        <f>IFERROR(Summary1!J25*16100,Summary1!J25)</f>
        <v>NO</v>
      </c>
      <c r="K25" s="4291">
        <f t="shared" si="0"/>
        <v>13452.044267403966</v>
      </c>
      <c r="L25" s="19"/>
    </row>
    <row r="26" spans="2:12" ht="18" customHeight="1" x14ac:dyDescent="0.2">
      <c r="B26" s="1395" t="s">
        <v>1519</v>
      </c>
      <c r="C26" s="4247">
        <f>Summary1!C26</f>
        <v>242.50388749999999</v>
      </c>
      <c r="D26" s="4247" t="str">
        <f>IFERROR(Summary1!D26*28,Summary1!D26)</f>
        <v>NO</v>
      </c>
      <c r="E26" s="4247" t="str">
        <f>IFERROR(Summary1!E26*265,Summary1!E26)</f>
        <v>NO</v>
      </c>
      <c r="F26" s="628"/>
      <c r="G26" s="628"/>
      <c r="H26" s="628"/>
      <c r="I26" s="69"/>
      <c r="J26" s="69"/>
      <c r="K26" s="4291">
        <f t="shared" si="0"/>
        <v>242.50388749999999</v>
      </c>
      <c r="L26" s="19"/>
    </row>
    <row r="27" spans="2:12" ht="18" customHeight="1" x14ac:dyDescent="0.2">
      <c r="B27" s="1395" t="s">
        <v>1520</v>
      </c>
      <c r="C27" s="628"/>
      <c r="D27" s="628"/>
      <c r="E27" s="4247" t="str">
        <f>IFERROR(Summary1!E27*265,Summary1!E27)</f>
        <v>NO</v>
      </c>
      <c r="F27" s="1924" t="str">
        <f>Summary1!F27</f>
        <v>NO</v>
      </c>
      <c r="G27" s="4247" t="str">
        <f>Summary1!G27</f>
        <v>NO</v>
      </c>
      <c r="H27" s="4247" t="str">
        <f>Summary1!H27</f>
        <v>NO</v>
      </c>
      <c r="I27" s="4247" t="str">
        <f>IFERROR(Summary1!I27*23500,Summary1!I27)</f>
        <v>NO</v>
      </c>
      <c r="J27" s="4247" t="str">
        <f>IFERROR(Summary1!J27*16100,Summary1!J27)</f>
        <v>NO</v>
      </c>
      <c r="K27" s="4291" t="str">
        <f t="shared" si="0"/>
        <v>NO</v>
      </c>
      <c r="L27" s="19"/>
    </row>
    <row r="28" spans="2:12" ht="18" customHeight="1" x14ac:dyDescent="0.2">
      <c r="B28" s="1395" t="s">
        <v>1521</v>
      </c>
      <c r="C28" s="628"/>
      <c r="D28" s="628"/>
      <c r="E28" s="628"/>
      <c r="F28" s="1924">
        <f>Summary1!F28</f>
        <v>4108.7147366727786</v>
      </c>
      <c r="G28" s="4247" t="str">
        <f>Summary1!G28</f>
        <v>NO</v>
      </c>
      <c r="H28" s="4247" t="str">
        <f>Summary1!H28</f>
        <v>NO</v>
      </c>
      <c r="I28" s="4247" t="str">
        <f>IFERROR(Summary1!I28*23500,Summary1!I28)</f>
        <v>NO</v>
      </c>
      <c r="J28" s="4247" t="str">
        <f>IFERROR(Summary1!J28*16100,Summary1!J28)</f>
        <v>NO</v>
      </c>
      <c r="K28" s="4291">
        <f t="shared" si="0"/>
        <v>4108.7147366727786</v>
      </c>
      <c r="L28" s="19"/>
    </row>
    <row r="29" spans="2:12" ht="18" customHeight="1" x14ac:dyDescent="0.2">
      <c r="B29" s="1395" t="s">
        <v>1522</v>
      </c>
      <c r="C29" s="4247" t="str">
        <f>Summary1!C29</f>
        <v>NO</v>
      </c>
      <c r="D29" s="4247" t="str">
        <f>IFERROR(Summary1!D29*28,Summary1!D29)</f>
        <v>NO</v>
      </c>
      <c r="E29" s="4247" t="str">
        <f>IFERROR(Summary1!E29*265,Summary1!E29)</f>
        <v>IE</v>
      </c>
      <c r="F29" s="1924" t="str">
        <f>Summary1!F29</f>
        <v>NO</v>
      </c>
      <c r="G29" s="4247" t="str">
        <f>Summary1!G29</f>
        <v>NO</v>
      </c>
      <c r="H29" s="4247" t="str">
        <f>Summary1!H29</f>
        <v>NO</v>
      </c>
      <c r="I29" s="4247">
        <f>IFERROR(Summary1!I29*23500,Summary1!I29)</f>
        <v>191.78131355969191</v>
      </c>
      <c r="J29" s="4247" t="str">
        <f>IFERROR(Summary1!J29*16100,Summary1!J29)</f>
        <v>NO</v>
      </c>
      <c r="K29" s="4291">
        <f t="shared" si="0"/>
        <v>191.78131355969191</v>
      </c>
      <c r="L29" s="19"/>
    </row>
    <row r="30" spans="2:12" ht="18" customHeight="1" thickBot="1" x14ac:dyDescent="0.25">
      <c r="B30" s="1407" t="s">
        <v>1523</v>
      </c>
      <c r="C30" s="4266">
        <f>Summary1!C30</f>
        <v>160.49409054511213</v>
      </c>
      <c r="D30" s="4266" t="str">
        <f>IFERROR(Summary1!D30*28,Summary1!D30)</f>
        <v>NO</v>
      </c>
      <c r="E30" s="4266" t="str">
        <f>IFERROR(Summary1!E30*265,Summary1!E30)</f>
        <v>NO</v>
      </c>
      <c r="F30" s="4266" t="str">
        <f>Summary1!F30</f>
        <v>NO</v>
      </c>
      <c r="G30" s="4266" t="str">
        <f>Summary1!G30</f>
        <v>NO</v>
      </c>
      <c r="H30" s="4266" t="str">
        <f>Summary1!H30</f>
        <v>NO</v>
      </c>
      <c r="I30" s="4266" t="str">
        <f>IFERROR(Summary1!I30*23500,Summary1!I30)</f>
        <v>NO</v>
      </c>
      <c r="J30" s="617" t="str">
        <f>IFERROR(Summary1!J30*16100,Summary1!J30)</f>
        <v>NO</v>
      </c>
      <c r="K30" s="4292">
        <f t="shared" si="0"/>
        <v>160.49409054511213</v>
      </c>
      <c r="L30" s="19"/>
    </row>
    <row r="31" spans="2:12" ht="18" customHeight="1" x14ac:dyDescent="0.2">
      <c r="B31" s="772" t="s">
        <v>1491</v>
      </c>
      <c r="C31" s="4253">
        <f>Summary1!C31</f>
        <v>1829.6911462013227</v>
      </c>
      <c r="D31" s="4253">
        <f>IFERROR(Summary1!D31*28,Summary1!D31)</f>
        <v>70385.210094251961</v>
      </c>
      <c r="E31" s="4253">
        <f>IFERROR(Summary1!E31*265,Summary1!E31)</f>
        <v>12065.078042611181</v>
      </c>
      <c r="F31" s="1929"/>
      <c r="G31" s="1929"/>
      <c r="H31" s="1929"/>
      <c r="I31" s="4215"/>
      <c r="J31" s="627"/>
      <c r="K31" s="4290">
        <f t="shared" si="0"/>
        <v>84279.979283064458</v>
      </c>
      <c r="L31" s="19"/>
    </row>
    <row r="32" spans="2:12" ht="18" customHeight="1" x14ac:dyDescent="0.2">
      <c r="B32" s="620" t="s">
        <v>1492</v>
      </c>
      <c r="C32" s="628"/>
      <c r="D32" s="4247">
        <f>IFERROR(Summary1!D32*28,Summary1!D32)</f>
        <v>62465.227507263597</v>
      </c>
      <c r="E32" s="628"/>
      <c r="F32" s="628"/>
      <c r="G32" s="628"/>
      <c r="H32" s="628"/>
      <c r="I32" s="69"/>
      <c r="J32" s="69"/>
      <c r="K32" s="4291">
        <f t="shared" si="0"/>
        <v>62465.227507263597</v>
      </c>
      <c r="L32" s="19"/>
    </row>
    <row r="33" spans="2:12" ht="18" customHeight="1" x14ac:dyDescent="0.2">
      <c r="B33" s="620" t="s">
        <v>1493</v>
      </c>
      <c r="C33" s="628"/>
      <c r="D33" s="4247">
        <f>IFERROR(Summary1!D33*28,Summary1!D33)</f>
        <v>7142.9376073236226</v>
      </c>
      <c r="E33" s="4247">
        <f>IFERROR(Summary1!E33*265,Summary1!E33)</f>
        <v>466.64135047769378</v>
      </c>
      <c r="F33" s="628"/>
      <c r="G33" s="628"/>
      <c r="H33" s="628"/>
      <c r="I33" s="69"/>
      <c r="J33" s="69"/>
      <c r="K33" s="4291">
        <f t="shared" si="0"/>
        <v>7609.5789578013164</v>
      </c>
      <c r="L33" s="19"/>
    </row>
    <row r="34" spans="2:12" ht="18" customHeight="1" x14ac:dyDescent="0.2">
      <c r="B34" s="620" t="s">
        <v>1494</v>
      </c>
      <c r="C34" s="628"/>
      <c r="D34" s="4247">
        <f>IFERROR(Summary1!D34*28,Summary1!D34)</f>
        <v>454.09758729999999</v>
      </c>
      <c r="E34" s="628"/>
      <c r="F34" s="628"/>
      <c r="G34" s="628"/>
      <c r="H34" s="628"/>
      <c r="I34" s="69"/>
      <c r="J34" s="69"/>
      <c r="K34" s="4291">
        <f t="shared" si="0"/>
        <v>454.09758729999999</v>
      </c>
      <c r="L34" s="19"/>
    </row>
    <row r="35" spans="2:12" ht="18" customHeight="1" x14ac:dyDescent="0.2">
      <c r="B35" s="620" t="s">
        <v>1495</v>
      </c>
      <c r="C35" s="4294"/>
      <c r="D35" s="4247" t="str">
        <f>IFERROR(Summary1!D35*28,Summary1!D35)</f>
        <v>NE</v>
      </c>
      <c r="E35" s="4247">
        <f>IFERROR(Summary1!E35*265,Summary1!E35)</f>
        <v>11472.692965905888</v>
      </c>
      <c r="F35" s="628"/>
      <c r="G35" s="628"/>
      <c r="H35" s="628"/>
      <c r="I35" s="69"/>
      <c r="J35" s="69"/>
      <c r="K35" s="4291">
        <f t="shared" si="0"/>
        <v>11472.692965905888</v>
      </c>
      <c r="L35" s="19"/>
    </row>
    <row r="36" spans="2:12" ht="18" customHeight="1" x14ac:dyDescent="0.2">
      <c r="B36" s="620" t="s">
        <v>1496</v>
      </c>
      <c r="C36" s="628"/>
      <c r="D36" s="4247" t="str">
        <f>IFERROR(Summary1!D36*28,Summary1!D36)</f>
        <v>NA</v>
      </c>
      <c r="E36" s="4247" t="str">
        <f>IFERROR(Summary1!E36*265,Summary1!E36)</f>
        <v>NA</v>
      </c>
      <c r="F36" s="628"/>
      <c r="G36" s="628"/>
      <c r="H36" s="628"/>
      <c r="I36" s="69"/>
      <c r="J36" s="69"/>
      <c r="K36" s="4291" t="str">
        <f>IF(SUM(C36:J36)=0,D36,SUM(C36:J36))</f>
        <v>NA</v>
      </c>
      <c r="L36" s="19"/>
    </row>
    <row r="37" spans="2:12" ht="18" customHeight="1" x14ac:dyDescent="0.2">
      <c r="B37" s="620" t="s">
        <v>1497</v>
      </c>
      <c r="C37" s="628"/>
      <c r="D37" s="4247">
        <f>IFERROR(Summary1!D37*28,Summary1!D37)</f>
        <v>322.94739236474743</v>
      </c>
      <c r="E37" s="4247">
        <f>IFERROR(Summary1!E37*265,Summary1!E37)</f>
        <v>125.74372622759887</v>
      </c>
      <c r="F37" s="628"/>
      <c r="G37" s="628"/>
      <c r="H37" s="628"/>
      <c r="I37" s="69"/>
      <c r="J37" s="69"/>
      <c r="K37" s="4291">
        <f t="shared" si="0"/>
        <v>448.6911185923463</v>
      </c>
      <c r="L37" s="19"/>
    </row>
    <row r="38" spans="2:12" ht="18" customHeight="1" x14ac:dyDescent="0.2">
      <c r="B38" s="620" t="s">
        <v>721</v>
      </c>
      <c r="C38" s="1924">
        <f>Summary1!C38</f>
        <v>1072.8425829711978</v>
      </c>
      <c r="D38" s="4295"/>
      <c r="E38" s="4295"/>
      <c r="F38" s="628"/>
      <c r="G38" s="628"/>
      <c r="H38" s="628"/>
      <c r="I38" s="69"/>
      <c r="J38" s="69"/>
      <c r="K38" s="4291">
        <f t="shared" si="0"/>
        <v>1072.8425829711978</v>
      </c>
      <c r="L38" s="19"/>
    </row>
    <row r="39" spans="2:12" ht="18" customHeight="1" x14ac:dyDescent="0.2">
      <c r="B39" s="620" t="s">
        <v>722</v>
      </c>
      <c r="C39" s="1924">
        <f>Summary1!C39</f>
        <v>756.84856323012491</v>
      </c>
      <c r="D39" s="4295"/>
      <c r="E39" s="4295"/>
      <c r="F39" s="628"/>
      <c r="G39" s="628"/>
      <c r="H39" s="628"/>
      <c r="I39" s="69"/>
      <c r="J39" s="69"/>
      <c r="K39" s="4291">
        <f t="shared" si="0"/>
        <v>756.84856323012491</v>
      </c>
      <c r="L39" s="19"/>
    </row>
    <row r="40" spans="2:12" ht="18" customHeight="1" x14ac:dyDescent="0.2">
      <c r="B40" s="620" t="s">
        <v>723</v>
      </c>
      <c r="C40" s="1924" t="str">
        <f>Summary1!C40</f>
        <v>NE</v>
      </c>
      <c r="D40" s="4295"/>
      <c r="E40" s="4295"/>
      <c r="F40" s="628"/>
      <c r="G40" s="628"/>
      <c r="H40" s="628"/>
      <c r="I40" s="69"/>
      <c r="J40" s="69"/>
      <c r="K40" s="4291" t="str">
        <f>IF(SUM(C40:J40)=0,C40,SUM(C40:J40))</f>
        <v>NE</v>
      </c>
      <c r="L40" s="19"/>
    </row>
    <row r="41" spans="2:12" ht="18" customHeight="1" thickBot="1" x14ac:dyDescent="0.25">
      <c r="B41" s="1552" t="s">
        <v>1499</v>
      </c>
      <c r="C41" s="1926" t="str">
        <f>Summary1!C41</f>
        <v>NO</v>
      </c>
      <c r="D41" s="1926" t="str">
        <f>IFERROR(Summary1!D41*28,Summary1!D41)</f>
        <v>NO</v>
      </c>
      <c r="E41" s="1926" t="str">
        <f>IFERROR(Summary1!E41*265,Summary1!E41)</f>
        <v>NO</v>
      </c>
      <c r="F41" s="1923"/>
      <c r="G41" s="1923"/>
      <c r="H41" s="1923"/>
      <c r="I41" s="87"/>
      <c r="J41" s="87"/>
      <c r="K41" s="4292" t="str">
        <f t="shared" si="0"/>
        <v>NO</v>
      </c>
      <c r="L41" s="19"/>
    </row>
    <row r="42" spans="2:12" ht="18" customHeight="1" x14ac:dyDescent="0.2">
      <c r="B42" s="1550" t="s">
        <v>1524</v>
      </c>
      <c r="C42" s="1927">
        <f>Summary1!C42</f>
        <v>61853.129233805063</v>
      </c>
      <c r="D42" s="1927">
        <f>IFERROR(Summary1!D42*28,Summary1!D42)</f>
        <v>20337.881806290217</v>
      </c>
      <c r="E42" s="1927">
        <f>IFERROR(Summary1!E42*265,Summary1!E42)</f>
        <v>4581.6870213472794</v>
      </c>
      <c r="F42" s="1929"/>
      <c r="G42" s="1929"/>
      <c r="H42" s="1929"/>
      <c r="I42" s="4215"/>
      <c r="J42" s="627"/>
      <c r="K42" s="4290">
        <f t="shared" si="0"/>
        <v>86772.698061442556</v>
      </c>
      <c r="L42" s="19"/>
    </row>
    <row r="43" spans="2:12" ht="18" customHeight="1" x14ac:dyDescent="0.2">
      <c r="B43" s="620" t="s">
        <v>981</v>
      </c>
      <c r="C43" s="1924">
        <f>Summary1!C43</f>
        <v>-44030.092111633683</v>
      </c>
      <c r="D43" s="1924">
        <f>IFERROR(Summary1!D43*28,Summary1!D43)</f>
        <v>6941.4929729129544</v>
      </c>
      <c r="E43" s="1924">
        <f>IFERROR(Summary1!E43*265,Summary1!E43)</f>
        <v>1261.1002195832853</v>
      </c>
      <c r="F43" s="1931"/>
      <c r="G43" s="1931"/>
      <c r="H43" s="1931"/>
      <c r="I43" s="3352"/>
      <c r="J43" s="69"/>
      <c r="K43" s="4291">
        <f t="shared" si="0"/>
        <v>-35827.498919137448</v>
      </c>
      <c r="L43" s="19"/>
    </row>
    <row r="44" spans="2:12" ht="18" customHeight="1" x14ac:dyDescent="0.2">
      <c r="B44" s="620" t="s">
        <v>984</v>
      </c>
      <c r="C44" s="1924">
        <f>Summary1!C44</f>
        <v>10431.513443562886</v>
      </c>
      <c r="D44" s="1924">
        <f>IFERROR(Summary1!D44*28,Summary1!D44)</f>
        <v>113.78545919999999</v>
      </c>
      <c r="E44" s="1924">
        <f>IFERROR(Summary1!E44*265,Summary1!E44)</f>
        <v>35.839770574869988</v>
      </c>
      <c r="F44" s="1931"/>
      <c r="G44" s="1931"/>
      <c r="H44" s="1931"/>
      <c r="I44" s="3352"/>
      <c r="J44" s="69"/>
      <c r="K44" s="4291">
        <f t="shared" si="0"/>
        <v>10581.138673337757</v>
      </c>
      <c r="L44" s="19"/>
    </row>
    <row r="45" spans="2:12" ht="18" customHeight="1" x14ac:dyDescent="0.2">
      <c r="B45" s="620" t="s">
        <v>987</v>
      </c>
      <c r="C45" s="1924">
        <f>Summary1!C45</f>
        <v>95703.865611283807</v>
      </c>
      <c r="D45" s="1924">
        <f>IFERROR(Summary1!D45*28,Summary1!D45)</f>
        <v>10738.090655961169</v>
      </c>
      <c r="E45" s="1924">
        <f>IFERROR(Summary1!E45*265,Summary1!E45)</f>
        <v>3138.3006617650371</v>
      </c>
      <c r="F45" s="1931"/>
      <c r="G45" s="1931"/>
      <c r="H45" s="1931"/>
      <c r="I45" s="3352"/>
      <c r="J45" s="69"/>
      <c r="K45" s="4291">
        <f t="shared" si="0"/>
        <v>109580.25692901001</v>
      </c>
      <c r="L45" s="19"/>
    </row>
    <row r="46" spans="2:12" ht="18" customHeight="1" x14ac:dyDescent="0.2">
      <c r="B46" s="620" t="s">
        <v>1525</v>
      </c>
      <c r="C46" s="1924">
        <f>Summary1!C46</f>
        <v>1302.9933634580761</v>
      </c>
      <c r="D46" s="1924">
        <f>IFERROR(Summary1!D46*28,Summary1!D46)</f>
        <v>2414.2456526160963</v>
      </c>
      <c r="E46" s="1924">
        <f>IFERROR(Summary1!E46*265,Summary1!E46)</f>
        <v>90.613926532451615</v>
      </c>
      <c r="F46" s="1931"/>
      <c r="G46" s="1931"/>
      <c r="H46" s="1931"/>
      <c r="I46" s="3352"/>
      <c r="J46" s="69"/>
      <c r="K46" s="4291">
        <f t="shared" si="0"/>
        <v>3807.8529426066243</v>
      </c>
      <c r="L46" s="19"/>
    </row>
    <row r="47" spans="2:12" ht="18" customHeight="1" x14ac:dyDescent="0.2">
      <c r="B47" s="620" t="s">
        <v>1526</v>
      </c>
      <c r="C47" s="1924">
        <f>Summary1!C47</f>
        <v>5931.1504564207271</v>
      </c>
      <c r="D47" s="1924">
        <f>IFERROR(Summary1!D47*28,Summary1!D47)</f>
        <v>130.2670656</v>
      </c>
      <c r="E47" s="1924">
        <f>IFERROR(Summary1!E47*265,Summary1!E47)</f>
        <v>30.785315023628364</v>
      </c>
      <c r="F47" s="1931"/>
      <c r="G47" s="1931"/>
      <c r="H47" s="1931"/>
      <c r="I47" s="3352"/>
      <c r="J47" s="69"/>
      <c r="K47" s="4291">
        <f t="shared" si="0"/>
        <v>6092.2028370443559</v>
      </c>
      <c r="L47" s="19"/>
    </row>
    <row r="48" spans="2:12" ht="18" customHeight="1" x14ac:dyDescent="0.2">
      <c r="B48" s="620" t="s">
        <v>1527</v>
      </c>
      <c r="C48" s="1924" t="str">
        <f>Summary1!C48</f>
        <v>NO</v>
      </c>
      <c r="D48" s="1924" t="str">
        <f>IFERROR(Summary1!D48*28,Summary1!D48)</f>
        <v>NO</v>
      </c>
      <c r="E48" s="1924" t="str">
        <f>IFERROR(Summary1!E48*265,Summary1!E48)</f>
        <v>NO</v>
      </c>
      <c r="F48" s="1931"/>
      <c r="G48" s="1931"/>
      <c r="H48" s="1931"/>
      <c r="I48" s="3352"/>
      <c r="J48" s="69"/>
      <c r="K48" s="4291" t="str">
        <f t="shared" si="0"/>
        <v>NO</v>
      </c>
      <c r="L48" s="19"/>
    </row>
    <row r="49" spans="2:12" ht="18" customHeight="1" x14ac:dyDescent="0.2">
      <c r="B49" s="620" t="s">
        <v>1528</v>
      </c>
      <c r="C49" s="1924">
        <f>Summary1!C49</f>
        <v>-7496.5171084051362</v>
      </c>
      <c r="D49" s="3835"/>
      <c r="E49" s="3835"/>
      <c r="F49" s="1931"/>
      <c r="G49" s="1931"/>
      <c r="H49" s="1931"/>
      <c r="I49" s="3352"/>
      <c r="J49" s="69"/>
      <c r="K49" s="4291">
        <f t="shared" si="0"/>
        <v>-7496.5171084051362</v>
      </c>
      <c r="L49" s="19"/>
    </row>
    <row r="50" spans="2:12" ht="18" customHeight="1" thickBot="1" x14ac:dyDescent="0.25">
      <c r="B50" s="1552" t="s">
        <v>1529</v>
      </c>
      <c r="C50" s="1926">
        <f>Summary1!C50</f>
        <v>10.215579118396668</v>
      </c>
      <c r="D50" s="1926" t="str">
        <f>IFERROR(Summary1!D50*28,Summary1!D50)</f>
        <v>NO</v>
      </c>
      <c r="E50" s="1926">
        <f>IFERROR(Summary1!E50*265,Summary1!E50)</f>
        <v>25.047127868007145</v>
      </c>
      <c r="F50" s="3024"/>
      <c r="G50" s="3024"/>
      <c r="H50" s="3024"/>
      <c r="I50" s="3828"/>
      <c r="J50" s="87"/>
      <c r="K50" s="4292">
        <f t="shared" si="0"/>
        <v>35.262706986403813</v>
      </c>
      <c r="L50" s="19"/>
    </row>
    <row r="51" spans="2:12" ht="18" customHeight="1" x14ac:dyDescent="0.2">
      <c r="B51" s="1550" t="s">
        <v>1500</v>
      </c>
      <c r="C51" s="1927">
        <f>Summary1!C51</f>
        <v>29.308601056242154</v>
      </c>
      <c r="D51" s="1927">
        <f>IFERROR(Summary1!D51*28,Summary1!D51)</f>
        <v>15202.442132208398</v>
      </c>
      <c r="E51" s="1927">
        <f>IFERROR(Summary1!E51*265,Summary1!E51)</f>
        <v>250.39136088625352</v>
      </c>
      <c r="F51" s="1929"/>
      <c r="G51" s="1929"/>
      <c r="H51" s="1929"/>
      <c r="I51" s="4215"/>
      <c r="J51" s="627"/>
      <c r="K51" s="4290">
        <f t="shared" si="0"/>
        <v>15482.142094150893</v>
      </c>
      <c r="L51" s="19"/>
    </row>
    <row r="52" spans="2:12" ht="18" customHeight="1" x14ac:dyDescent="0.2">
      <c r="B52" s="620" t="s">
        <v>1530</v>
      </c>
      <c r="C52" s="628"/>
      <c r="D52" s="1924">
        <f>IFERROR(Summary1!D52*28,Summary1!D52)</f>
        <v>11963.261296839999</v>
      </c>
      <c r="E52" s="1931"/>
      <c r="F52" s="628"/>
      <c r="G52" s="628"/>
      <c r="H52" s="628"/>
      <c r="I52" s="69"/>
      <c r="J52" s="69"/>
      <c r="K52" s="4291">
        <f t="shared" si="0"/>
        <v>11963.261296839999</v>
      </c>
      <c r="L52" s="19"/>
    </row>
    <row r="53" spans="2:12" ht="18" customHeight="1" x14ac:dyDescent="0.2">
      <c r="B53" s="1396" t="s">
        <v>1531</v>
      </c>
      <c r="C53" s="628"/>
      <c r="D53" s="1924">
        <f>IFERROR(Summary1!D53*28,Summary1!D53)</f>
        <v>70.636587000000006</v>
      </c>
      <c r="E53" s="1924">
        <f>IFERROR(Summary1!E53*265,Summary1!E53)</f>
        <v>85.571179679999986</v>
      </c>
      <c r="F53" s="628"/>
      <c r="G53" s="628"/>
      <c r="H53" s="628"/>
      <c r="I53" s="69"/>
      <c r="J53" s="69"/>
      <c r="K53" s="4291">
        <f t="shared" si="0"/>
        <v>156.20776667999999</v>
      </c>
      <c r="L53" s="19"/>
    </row>
    <row r="54" spans="2:12" ht="18" customHeight="1" x14ac:dyDescent="0.2">
      <c r="B54" s="1397" t="s">
        <v>1532</v>
      </c>
      <c r="C54" s="1924">
        <f>Summary1!C54</f>
        <v>29.308601056242154</v>
      </c>
      <c r="D54" s="1924" t="str">
        <f>IFERROR(Summary1!D54*28,Summary1!D54)</f>
        <v>NO,NE</v>
      </c>
      <c r="E54" s="1924" t="str">
        <f>IFERROR(Summary1!E54*265,Summary1!E54)</f>
        <v>NO,NE</v>
      </c>
      <c r="F54" s="628"/>
      <c r="G54" s="628"/>
      <c r="H54" s="628"/>
      <c r="I54" s="69"/>
      <c r="J54" s="69"/>
      <c r="K54" s="4291">
        <f t="shared" si="0"/>
        <v>29.308601056242154</v>
      </c>
      <c r="L54" s="19"/>
    </row>
    <row r="55" spans="2:12" ht="18" customHeight="1" x14ac:dyDescent="0.2">
      <c r="B55" s="620" t="s">
        <v>1533</v>
      </c>
      <c r="C55" s="628"/>
      <c r="D55" s="1924">
        <f>IFERROR(Summary1!D55*28,Summary1!D55)</f>
        <v>3168.5442483683992</v>
      </c>
      <c r="E55" s="1924">
        <f>IFERROR(Summary1!E55*265,Summary1!E55)</f>
        <v>164.82018120625355</v>
      </c>
      <c r="F55" s="628"/>
      <c r="G55" s="628"/>
      <c r="H55" s="628"/>
      <c r="I55" s="69"/>
      <c r="J55" s="69"/>
      <c r="K55" s="4291">
        <f t="shared" si="0"/>
        <v>3333.3644295746526</v>
      </c>
      <c r="L55" s="19"/>
    </row>
    <row r="56" spans="2:12" ht="18" customHeight="1" thickBot="1" x14ac:dyDescent="0.25">
      <c r="B56" s="1552" t="s">
        <v>1534</v>
      </c>
      <c r="C56" s="4266" t="str">
        <f>Summary1!C56</f>
        <v>NE</v>
      </c>
      <c r="D56" s="4266" t="str">
        <f>IFERROR(Summary1!D56*28,Summary1!D56)</f>
        <v>NE</v>
      </c>
      <c r="E56" s="4266" t="str">
        <f>IFERROR(Summary1!E56*265,Summary1!E56)</f>
        <v>NE</v>
      </c>
      <c r="F56" s="1923"/>
      <c r="G56" s="1923"/>
      <c r="H56" s="1923"/>
      <c r="I56" s="87"/>
      <c r="J56" s="87"/>
      <c r="K56" s="4292" t="str">
        <f>IF(SUM(C56:J56)=0,"NE",SUM(C56:J56))</f>
        <v>NE</v>
      </c>
      <c r="L56" s="19"/>
    </row>
    <row r="57" spans="2:12" ht="18" customHeight="1" thickBot="1" x14ac:dyDescent="0.25">
      <c r="B57" s="1391" t="s">
        <v>2069</v>
      </c>
      <c r="C57" s="4296" t="str">
        <f>Summary1!C57</f>
        <v>NO</v>
      </c>
      <c r="D57" s="4296" t="str">
        <f>IFERROR(Summary1!D57*28,Summary1!D57)</f>
        <v>NO</v>
      </c>
      <c r="E57" s="4296" t="str">
        <f>IFERROR(Summary1!E57*265,Summary1!E57)</f>
        <v>NO</v>
      </c>
      <c r="F57" s="1928" t="str">
        <f>Summary1!F57</f>
        <v>NO</v>
      </c>
      <c r="G57" s="1928" t="str">
        <f>Summary1!G57</f>
        <v>NO</v>
      </c>
      <c r="H57" s="1928" t="str">
        <f>Summary1!H57</f>
        <v>NO</v>
      </c>
      <c r="I57" s="1553" t="str">
        <f>IFERROR(Summary1!I57*23500,Summary1!I57)</f>
        <v>NO</v>
      </c>
      <c r="J57" s="1553" t="str">
        <f>IFERROR(Summary1!J57*16100,Summary1!J57)</f>
        <v>NO</v>
      </c>
      <c r="K57" s="4297" t="str">
        <f t="shared" ref="K57" si="1">IF(SUM(C57:J57)=0,"NO",SUM(C57:J57))</f>
        <v>NO</v>
      </c>
      <c r="L57" s="19"/>
    </row>
    <row r="58" spans="2:12" ht="18" customHeight="1" thickBot="1" x14ac:dyDescent="0.25">
      <c r="B58" s="159"/>
      <c r="C58" s="84"/>
      <c r="D58" s="84"/>
      <c r="E58" s="84"/>
      <c r="F58" s="84"/>
      <c r="G58" s="84"/>
      <c r="H58" s="84"/>
      <c r="I58" s="84"/>
      <c r="J58" s="84"/>
      <c r="K58" s="84"/>
    </row>
    <row r="59" spans="2:12" ht="18" customHeight="1" x14ac:dyDescent="0.2">
      <c r="B59" s="772" t="s">
        <v>1535</v>
      </c>
      <c r="C59" s="1930"/>
      <c r="D59" s="2522"/>
      <c r="E59" s="2522"/>
      <c r="F59" s="2522"/>
      <c r="G59" s="2522"/>
      <c r="H59" s="2522"/>
      <c r="I59" s="2523"/>
      <c r="J59" s="2524"/>
      <c r="K59" s="629"/>
    </row>
    <row r="60" spans="2:12" ht="18" customHeight="1" x14ac:dyDescent="0.2">
      <c r="B60" s="1385" t="s">
        <v>110</v>
      </c>
      <c r="C60" s="4219">
        <f>Summary1!C61</f>
        <v>11554.7</v>
      </c>
      <c r="D60" s="4219">
        <f>IFERROR(Summary1!D61*28,Summary1!D61)</f>
        <v>8.9282257400000002</v>
      </c>
      <c r="E60" s="4219">
        <f>IFERROR(Summary1!E61*265,Summary1!E61)</f>
        <v>34.692584586565786</v>
      </c>
      <c r="F60" s="1931"/>
      <c r="G60" s="1931"/>
      <c r="H60" s="1932"/>
      <c r="I60" s="630"/>
      <c r="J60" s="630"/>
      <c r="K60" s="4220">
        <f t="shared" ref="K60:K66" si="2">IF(SUM(C60:J60)=0,"NO",SUM(C60:J60))</f>
        <v>11598.320810326566</v>
      </c>
    </row>
    <row r="61" spans="2:12" ht="18" customHeight="1" x14ac:dyDescent="0.2">
      <c r="B61" s="1386" t="s">
        <v>111</v>
      </c>
      <c r="C61" s="4219">
        <f>Summary1!C62</f>
        <v>8393.76</v>
      </c>
      <c r="D61" s="4219">
        <f>IFERROR(Summary1!D62*28,Summary1!D62)</f>
        <v>0.42182574000000006</v>
      </c>
      <c r="E61" s="4219">
        <f>IFERROR(Summary1!E62*265,Summary1!E62)</f>
        <v>11.690584586565787</v>
      </c>
      <c r="F61" s="628"/>
      <c r="G61" s="628"/>
      <c r="H61" s="628"/>
      <c r="I61" s="631"/>
      <c r="J61" s="631"/>
      <c r="K61" s="4234">
        <f t="shared" si="2"/>
        <v>8405.8724103265668</v>
      </c>
    </row>
    <row r="62" spans="2:12" ht="18" customHeight="1" x14ac:dyDescent="0.2">
      <c r="B62" s="1387" t="s">
        <v>1503</v>
      </c>
      <c r="C62" s="4219">
        <f>Summary1!C63</f>
        <v>3160.9399999999996</v>
      </c>
      <c r="D62" s="4219">
        <f>IFERROR(Summary1!D63*28,Summary1!D63)</f>
        <v>8.5063999999999993</v>
      </c>
      <c r="E62" s="4219">
        <f>IFERROR(Summary1!E63*265,Summary1!E63)</f>
        <v>23.001999999999999</v>
      </c>
      <c r="F62" s="628"/>
      <c r="G62" s="628"/>
      <c r="H62" s="628"/>
      <c r="I62" s="632"/>
      <c r="J62" s="632"/>
      <c r="K62" s="4220">
        <f t="shared" si="2"/>
        <v>3192.4483999999998</v>
      </c>
    </row>
    <row r="63" spans="2:12" ht="18" customHeight="1" x14ac:dyDescent="0.2">
      <c r="B63" s="1388" t="s">
        <v>113</v>
      </c>
      <c r="C63" s="3820" t="str">
        <f>Summary1!C64</f>
        <v>NE</v>
      </c>
      <c r="D63" s="3820" t="str">
        <f>IFERROR(Summary1!D64*28,Summary1!D64)</f>
        <v>NE</v>
      </c>
      <c r="E63" s="3820" t="str">
        <f>IFERROR(Summary1!E64*265,Summary1!E64)</f>
        <v>NE</v>
      </c>
      <c r="F63" s="1931"/>
      <c r="G63" s="1931"/>
      <c r="H63" s="1932"/>
      <c r="I63" s="4298"/>
      <c r="J63" s="4298"/>
      <c r="K63" s="4299" t="str">
        <f>IF(SUM(C63:J63)=0,C63,SUM(C63:J63))</f>
        <v>NE</v>
      </c>
    </row>
    <row r="64" spans="2:12" ht="18" customHeight="1" x14ac:dyDescent="0.2">
      <c r="B64" s="1385" t="s">
        <v>114</v>
      </c>
      <c r="C64" s="3820">
        <f>Summary1!C65</f>
        <v>19106.106086929161</v>
      </c>
      <c r="D64" s="1931"/>
      <c r="E64" s="1931"/>
      <c r="F64" s="1931"/>
      <c r="G64" s="1931"/>
      <c r="H64" s="1931"/>
      <c r="I64" s="3352"/>
      <c r="J64" s="3352"/>
      <c r="K64" s="3821">
        <f t="shared" si="2"/>
        <v>19106.106086929161</v>
      </c>
    </row>
    <row r="65" spans="2:14" ht="18" customHeight="1" x14ac:dyDescent="0.2">
      <c r="B65" s="1389" t="s">
        <v>1504</v>
      </c>
      <c r="C65" s="3820" t="str">
        <f>Summary1!C66</f>
        <v>NO</v>
      </c>
      <c r="D65" s="1931"/>
      <c r="E65" s="1931"/>
      <c r="F65" s="1931"/>
      <c r="G65" s="1931"/>
      <c r="H65" s="1931"/>
      <c r="I65" s="3352"/>
      <c r="J65" s="3352"/>
      <c r="K65" s="3821" t="str">
        <f t="shared" si="2"/>
        <v>NO</v>
      </c>
    </row>
    <row r="66" spans="2:14" ht="18" customHeight="1" x14ac:dyDescent="0.2">
      <c r="B66" s="1390" t="s">
        <v>1505</v>
      </c>
      <c r="C66" s="4300">
        <f>Summary1!C67</f>
        <v>-259123.55020694385</v>
      </c>
      <c r="D66" s="4301"/>
      <c r="E66" s="4301"/>
      <c r="F66" s="4301"/>
      <c r="G66" s="4301"/>
      <c r="H66" s="4301"/>
      <c r="I66" s="3824"/>
      <c r="J66" s="3824"/>
      <c r="K66" s="4302">
        <f t="shared" si="2"/>
        <v>-259123.55020694385</v>
      </c>
    </row>
    <row r="67" spans="2:14" ht="18" customHeight="1" thickBot="1" x14ac:dyDescent="0.3">
      <c r="B67" s="633" t="s">
        <v>1536</v>
      </c>
      <c r="C67" s="4304"/>
      <c r="D67" s="4304"/>
      <c r="E67" s="4305" t="str">
        <f>IFERROR(Summary1!E68*265,Summary1!E68)</f>
        <v>IE,NE,NO</v>
      </c>
      <c r="F67" s="4304"/>
      <c r="G67" s="4304"/>
      <c r="H67" s="4304"/>
      <c r="I67" s="4304"/>
      <c r="J67" s="4304"/>
      <c r="K67" s="3836" t="str">
        <f>IF(SUM(C67:J67)=0,E67,SUM(C67:J67))</f>
        <v>IE,NE,NO</v>
      </c>
    </row>
    <row r="68" spans="2:14" ht="18" customHeight="1" thickBot="1" x14ac:dyDescent="0.25">
      <c r="B68" s="622"/>
      <c r="C68" s="4306"/>
      <c r="D68" s="4306"/>
      <c r="E68" s="4306"/>
      <c r="F68" s="4306"/>
      <c r="G68" s="4306"/>
      <c r="H68" s="4306"/>
      <c r="I68" s="4306"/>
      <c r="J68" s="4306"/>
      <c r="K68" s="4306"/>
    </row>
    <row r="69" spans="2:14" ht="18" customHeight="1" thickBot="1" x14ac:dyDescent="0.25">
      <c r="B69" s="769" t="s">
        <v>1537</v>
      </c>
      <c r="C69" s="4307" t="str">
        <f>Summary1!C70</f>
        <v>NE,NO</v>
      </c>
      <c r="D69" s="4308"/>
      <c r="E69" s="4308"/>
      <c r="F69" s="4308"/>
      <c r="G69" s="4308"/>
      <c r="H69" s="4308"/>
      <c r="I69" s="4308"/>
      <c r="J69" s="4308"/>
      <c r="K69" s="3837" t="str">
        <f>IF(SUM(C69:J69)=0,C69,SUM(C69:J69))</f>
        <v>NE,NO</v>
      </c>
    </row>
    <row r="70" spans="2:14" s="634" customFormat="1" ht="18" customHeight="1" thickBot="1" x14ac:dyDescent="0.25">
      <c r="C70" s="4309"/>
      <c r="D70" s="4309"/>
      <c r="E70" s="4309"/>
      <c r="F70" s="4309"/>
      <c r="G70" s="4309"/>
      <c r="H70" s="4309"/>
      <c r="I70" s="4309"/>
      <c r="J70" s="4309"/>
      <c r="K70" s="4309"/>
    </row>
    <row r="71" spans="2:14" s="634" customFormat="1" ht="18" customHeight="1" x14ac:dyDescent="0.25">
      <c r="B71" s="636"/>
      <c r="C71" s="963"/>
      <c r="D71" s="963"/>
      <c r="E71" s="963"/>
      <c r="F71" s="963"/>
      <c r="G71" s="963"/>
      <c r="H71" s="963"/>
      <c r="I71" s="963"/>
      <c r="J71" s="2552" t="s">
        <v>2121</v>
      </c>
      <c r="K71" s="4217">
        <f>K10-K42</f>
        <v>540017.78256122943</v>
      </c>
      <c r="N71" s="1126"/>
    </row>
    <row r="72" spans="2:14" s="634" customFormat="1" ht="18" customHeight="1" x14ac:dyDescent="0.25">
      <c r="B72" s="637"/>
      <c r="C72" s="638"/>
      <c r="D72" s="638"/>
      <c r="E72" s="638"/>
      <c r="F72" s="638"/>
      <c r="G72" s="638"/>
      <c r="H72" s="638"/>
      <c r="I72" s="638"/>
      <c r="J72" s="2553" t="s">
        <v>2122</v>
      </c>
      <c r="K72" s="3821">
        <f>K10</f>
        <v>626790.48062267201</v>
      </c>
      <c r="N72" s="1126"/>
    </row>
    <row r="73" spans="2:14" s="634" customFormat="1" ht="18" customHeight="1" x14ac:dyDescent="0.2">
      <c r="B73" s="637"/>
      <c r="C73" s="638"/>
      <c r="D73" s="638"/>
      <c r="E73" s="638"/>
      <c r="F73" s="638"/>
      <c r="G73" s="638"/>
      <c r="H73" s="638"/>
      <c r="I73" s="638"/>
      <c r="J73" s="2553" t="s">
        <v>2123</v>
      </c>
      <c r="K73" s="3821" t="s">
        <v>2147</v>
      </c>
    </row>
    <row r="74" spans="2:14" s="634" customFormat="1" ht="18" customHeight="1" thickBot="1" x14ac:dyDescent="0.25">
      <c r="B74" s="639"/>
      <c r="C74" s="640"/>
      <c r="D74" s="640"/>
      <c r="E74" s="640"/>
      <c r="F74" s="640"/>
      <c r="G74" s="640"/>
      <c r="H74" s="640"/>
      <c r="I74" s="640"/>
      <c r="J74" s="2554" t="s">
        <v>2124</v>
      </c>
      <c r="K74" s="4303" t="s">
        <v>2147</v>
      </c>
    </row>
    <row r="75" spans="2:14" x14ac:dyDescent="0.2">
      <c r="B75" s="635"/>
      <c r="C75" s="635"/>
      <c r="D75" s="635"/>
      <c r="E75" s="635"/>
      <c r="F75" s="635"/>
      <c r="G75" s="635"/>
      <c r="H75" s="635"/>
      <c r="I75" s="635"/>
      <c r="J75" s="635"/>
      <c r="K75" s="641"/>
    </row>
    <row r="76" spans="2:14" ht="15.75" x14ac:dyDescent="0.2">
      <c r="B76" s="642"/>
      <c r="C76" s="642"/>
      <c r="D76" s="642"/>
      <c r="E76" s="642"/>
      <c r="F76" s="642"/>
      <c r="G76" s="642"/>
      <c r="H76" s="642"/>
      <c r="I76" s="642"/>
      <c r="J76" s="642"/>
      <c r="K76" s="642"/>
    </row>
    <row r="77" spans="2:14" ht="15.75" x14ac:dyDescent="0.2">
      <c r="B77" s="642"/>
      <c r="C77" s="526"/>
      <c r="D77" s="526"/>
      <c r="E77" s="526"/>
      <c r="F77" s="526"/>
      <c r="G77" s="526"/>
      <c r="H77" s="526"/>
      <c r="I77" s="526"/>
      <c r="J77" s="526"/>
      <c r="K77" s="526"/>
    </row>
    <row r="78" spans="2:14" ht="15.75" x14ac:dyDescent="0.2">
      <c r="B78" s="643"/>
      <c r="C78" s="526"/>
      <c r="D78" s="526"/>
      <c r="E78" s="526"/>
      <c r="F78" s="526"/>
      <c r="G78" s="526"/>
      <c r="H78" s="526"/>
      <c r="I78" s="526"/>
      <c r="J78" s="526"/>
      <c r="K78" s="52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3.140625" customWidth="1"/>
    <col min="12" max="12" width="10.85546875" customWidth="1"/>
  </cols>
  <sheetData>
    <row r="1" spans="2:11" ht="16.350000000000001" customHeight="1" x14ac:dyDescent="0.25">
      <c r="B1" s="987" t="s">
        <v>147</v>
      </c>
      <c r="C1" s="987"/>
      <c r="J1" s="226"/>
      <c r="K1" s="14" t="s">
        <v>2521</v>
      </c>
    </row>
    <row r="2" spans="2:11" ht="16.350000000000001" customHeight="1" x14ac:dyDescent="0.25">
      <c r="B2" s="987" t="s">
        <v>120</v>
      </c>
      <c r="C2" s="987"/>
      <c r="J2" s="226"/>
      <c r="K2" s="14" t="s">
        <v>2522</v>
      </c>
    </row>
    <row r="3" spans="2:11" ht="16.350000000000001" customHeight="1" x14ac:dyDescent="0.25">
      <c r="B3" s="1022" t="s">
        <v>148</v>
      </c>
      <c r="I3" s="226"/>
      <c r="J3" s="226"/>
      <c r="K3" s="14" t="s">
        <v>2144</v>
      </c>
    </row>
    <row r="4" spans="2:11" ht="12" customHeight="1" x14ac:dyDescent="0.25">
      <c r="B4" s="1022"/>
      <c r="I4" s="226"/>
      <c r="J4" s="226"/>
      <c r="K4" s="226"/>
    </row>
    <row r="5" spans="2:11" ht="12" customHeight="1" x14ac:dyDescent="0.25">
      <c r="B5" s="1022"/>
      <c r="I5" s="226"/>
      <c r="J5" s="226"/>
      <c r="K5" s="226"/>
    </row>
    <row r="6" spans="2:11" ht="12" customHeight="1" thickBot="1" x14ac:dyDescent="0.25">
      <c r="B6" s="2449" t="s">
        <v>64</v>
      </c>
      <c r="C6" s="1011"/>
      <c r="D6" s="1011"/>
      <c r="E6" s="1011"/>
      <c r="F6" s="1011"/>
      <c r="G6" s="1011"/>
      <c r="H6" s="1011"/>
      <c r="I6" s="1011"/>
      <c r="J6" s="1011"/>
      <c r="K6" s="1011"/>
    </row>
    <row r="7" spans="2:11" ht="12" customHeight="1" x14ac:dyDescent="0.2">
      <c r="B7" s="292" t="s">
        <v>65</v>
      </c>
      <c r="C7" s="177" t="s">
        <v>122</v>
      </c>
      <c r="D7" s="179"/>
      <c r="E7" s="177" t="s">
        <v>123</v>
      </c>
      <c r="F7" s="178"/>
      <c r="G7" s="179"/>
      <c r="H7" s="177" t="s">
        <v>124</v>
      </c>
      <c r="I7" s="178"/>
      <c r="J7" s="178"/>
      <c r="K7" s="2157" t="s">
        <v>2114</v>
      </c>
    </row>
    <row r="8" spans="2:11" ht="12" customHeight="1" x14ac:dyDescent="0.2">
      <c r="B8" s="1841"/>
      <c r="C8" s="1842" t="s">
        <v>125</v>
      </c>
      <c r="D8" s="1843"/>
      <c r="E8" s="1721" t="s">
        <v>149</v>
      </c>
      <c r="F8" s="1721" t="s">
        <v>67</v>
      </c>
      <c r="G8" s="1859" t="s">
        <v>68</v>
      </c>
      <c r="H8" s="1859" t="s">
        <v>2009</v>
      </c>
      <c r="I8" s="1721" t="s">
        <v>67</v>
      </c>
      <c r="J8" s="1721" t="s">
        <v>68</v>
      </c>
      <c r="K8" s="263" t="s">
        <v>66</v>
      </c>
    </row>
    <row r="9" spans="2:11" ht="14.25" thickBot="1" x14ac:dyDescent="0.25">
      <c r="B9" s="1845"/>
      <c r="C9" s="1846" t="s">
        <v>127</v>
      </c>
      <c r="D9" s="1747" t="s">
        <v>128</v>
      </c>
      <c r="E9" s="1747" t="s">
        <v>129</v>
      </c>
      <c r="F9" s="1748" t="s">
        <v>130</v>
      </c>
      <c r="G9" s="1772"/>
      <c r="H9" s="1748" t="s">
        <v>73</v>
      </c>
      <c r="I9" s="344"/>
      <c r="J9" s="344"/>
      <c r="K9" s="345"/>
    </row>
    <row r="10" spans="2:11" ht="18" customHeight="1" thickTop="1" x14ac:dyDescent="0.2">
      <c r="B10" s="1240" t="s">
        <v>150</v>
      </c>
      <c r="C10" s="1913">
        <f>IF(SUM(C11:C16)=0,"NO",SUM(C11:C16))</f>
        <v>766679.33735525969</v>
      </c>
      <c r="D10" s="3076" t="s">
        <v>1814</v>
      </c>
      <c r="E10" s="628"/>
      <c r="F10" s="628"/>
      <c r="G10" s="628"/>
      <c r="H10" s="1913">
        <f>IF(SUM(H11:H15)=0,"NO",SUM(H11:H15))</f>
        <v>40191.294818873052</v>
      </c>
      <c r="I10" s="1913">
        <f t="shared" ref="I10:K10" si="0">IF(SUM(I11:I16)=0,"NO",SUM(I11:I16))</f>
        <v>2.3473627845463243</v>
      </c>
      <c r="J10" s="1847">
        <f t="shared" si="0"/>
        <v>1.3342298221966118</v>
      </c>
      <c r="K10" s="3065" t="str">
        <f t="shared" si="0"/>
        <v>NO</v>
      </c>
    </row>
    <row r="11" spans="2:11" ht="18" customHeight="1" x14ac:dyDescent="0.2">
      <c r="B11" s="282" t="s">
        <v>132</v>
      </c>
      <c r="C11" s="1913">
        <f>IF(SUM(C18,C25,C32,C39,C46,C53,C62,C69,C76,C83,C90,C97,C114,C104:C107)=0,"NO",SUM(C18,C25,C32,C39,C46,C53,C62,C69,C76,C83,C90,C97,C114,C104:C107))</f>
        <v>184649.86404486519</v>
      </c>
      <c r="D11" s="3077" t="s">
        <v>1814</v>
      </c>
      <c r="E11" s="1913">
        <f>IFERROR(H11*1000/$C11,"NA")</f>
        <v>68.715293539644449</v>
      </c>
      <c r="F11" s="1913">
        <f t="shared" ref="F11:G16" si="1">IFERROR(I11*1000000/$C11,"NA")</f>
        <v>4.1946052248083587</v>
      </c>
      <c r="G11" s="1913">
        <f t="shared" si="1"/>
        <v>1.8489067627724782</v>
      </c>
      <c r="H11" s="1913">
        <f>IF(SUM(H18,H25,H32,H39,H46,H53,H62,H69,H76,H83,H90,H97,H114,H104:H107)=0,"NO",SUM(H18,H25,H32,H39,H46,H53,H62,H69,H76,H83,H90,H97,H114,H104:H107))</f>
        <v>12688.269609898351</v>
      </c>
      <c r="I11" s="1913">
        <f>IF(SUM(I18,I25,I32,I39,I46,I53,I62,I69,I76,I83,I90,I97,I114,I104:I107)=0,"NO",SUM(I18,I25,I32,I39,I46,I53,I62,I69,I76,I83,I90,I97,I114,I104:I107))</f>
        <v>0.77453328448274461</v>
      </c>
      <c r="J11" s="1913">
        <f>IF(SUM(J18,J25,J32,J39,J46,J53,J62,J69,J76,J83,J90,J97,J114,J104:J107)=0,"NO",SUM(J18,J25,J32,J39,J46,J53,J62,J69,J76,J83,J90,J97,J114,J104:J107))</f>
        <v>0.34140038237756992</v>
      </c>
      <c r="K11" s="3065" t="str">
        <f>IF(SUM(K18,K25,K32,K39,K46,K53,K62,K69,K76,K83,K90,K97,K114,K104:K107)=0,"NO",SUM(K18,K25,K32,K39,K46,K53,K62,K69,K76,K83,K90,K97,K114,K104:K107))</f>
        <v>NO</v>
      </c>
    </row>
    <row r="12" spans="2:11" ht="18" customHeight="1" x14ac:dyDescent="0.2">
      <c r="B12" s="282" t="s">
        <v>133</v>
      </c>
      <c r="C12" s="1913">
        <f>IF(SUM(C19,C26,C33,C40,C47,C54,C63,C70,C77,C84,C91,C98,C115)=0,"NO",SUM(C19,C26,C33,C40,C47,C54,C63,C70,C77,C84,C91,C98,C115))</f>
        <v>133065.73627144683</v>
      </c>
      <c r="D12" s="3077" t="s">
        <v>1814</v>
      </c>
      <c r="E12" s="1913">
        <f t="shared" ref="E12:E16" si="2">IFERROR(H12*1000/$C12,"NA")</f>
        <v>80.87120857998903</v>
      </c>
      <c r="F12" s="1913">
        <f t="shared" si="1"/>
        <v>0.9502921196302857</v>
      </c>
      <c r="G12" s="1913">
        <f t="shared" si="1"/>
        <v>0.69923490857181891</v>
      </c>
      <c r="H12" s="1913">
        <f>IF(SUM(H19,H26,H33,H40,H47,H54,H63,H70,H77,H84,H91,H98,H115)=0,"NO",SUM(H19,H26,H33,H40,H47,H54,H63,H70,H77,H84,H91,H98,H115))</f>
        <v>10761.186912857989</v>
      </c>
      <c r="I12" s="1913">
        <f>IF(SUM(I19,I26,I33,I40,I47,I54,I63,I70,I77,I84,I91,I98,I115)=0,"NO",SUM(I19,I26,I33,I40,I47,I54,I63,I70,I77,I84,I91,I98,I115))</f>
        <v>0.12645132057155781</v>
      </c>
      <c r="J12" s="1913">
        <f>IF(SUM(J19,J26,J33,J40,J47,J54,J63,J70,J77,J84,J91,J98,J115)=0,"NO",SUM(J19,J26,J33,J40,J47,J54,J63,J70,J77,J84,J91,J98,J115))</f>
        <v>9.3044207935806894E-2</v>
      </c>
      <c r="K12" s="3065" t="str">
        <f>IF(SUM(K19,K26,K33,K40,K47,K54,K63,K70,K77,K84,K91,K98,K115)=0,"NO",SUM(K19,K26,K33,K40,K47,K54,K63,K70,K77,K84,K91,K98,K115))</f>
        <v>NO</v>
      </c>
    </row>
    <row r="13" spans="2:11" ht="18" customHeight="1" x14ac:dyDescent="0.2">
      <c r="B13" s="282" t="s">
        <v>134</v>
      </c>
      <c r="C13" s="1913">
        <f>IF(SUM(C20,C27,C34,C41,C48,C55,C64,C71,C78,C85,C92,C99,C116,C109)=0,"NO",SUM(C20,C27,C34,C41,C48,C55,C64,C71,C78,C85,C92,C99,C116,C109))</f>
        <v>324961.74214070966</v>
      </c>
      <c r="D13" s="3077" t="s">
        <v>1814</v>
      </c>
      <c r="E13" s="1913">
        <f t="shared" si="2"/>
        <v>51.519413287941532</v>
      </c>
      <c r="F13" s="1913">
        <f t="shared" si="1"/>
        <v>0.96148409392329748</v>
      </c>
      <c r="G13" s="1913">
        <f t="shared" si="1"/>
        <v>0.54895692121341799</v>
      </c>
      <c r="H13" s="1913">
        <f t="shared" ref="H13:K14" si="3">IF(SUM(H20,H27,H34,H41,H48,H55,H64,H71,H78,H85,H92,H99,H116,H109)=0,"NO",SUM(H20,H27,H34,H41,H48,H55,H64,H71,H78,H85,H92,H99,H116,H109))</f>
        <v>16741.838296116708</v>
      </c>
      <c r="I13" s="1913">
        <f t="shared" si="3"/>
        <v>0.31244554620189646</v>
      </c>
      <c r="J13" s="1913">
        <f t="shared" si="3"/>
        <v>0.17838999747771261</v>
      </c>
      <c r="K13" s="3065" t="str">
        <f t="shared" si="3"/>
        <v>NO</v>
      </c>
    </row>
    <row r="14" spans="2:11" ht="18" customHeight="1" x14ac:dyDescent="0.2">
      <c r="B14" s="282" t="s">
        <v>135</v>
      </c>
      <c r="C14" s="1913" t="str">
        <f>IF(SUM(C21,C28,C35,C42,C49,C56,C65,C72,C79,C86,C93,C100,C117,C110)=0,"NO",SUM(C21,C28,C35,C42,C49,C56,C65,C72,C79,C86,C93,C100,C117,C110))</f>
        <v>NO</v>
      </c>
      <c r="D14" s="3077" t="s">
        <v>1814</v>
      </c>
      <c r="E14" s="1913" t="str">
        <f t="shared" si="2"/>
        <v>NA</v>
      </c>
      <c r="F14" s="1913" t="str">
        <f t="shared" si="1"/>
        <v>NA</v>
      </c>
      <c r="G14" s="1913" t="str">
        <f t="shared" si="1"/>
        <v>NA</v>
      </c>
      <c r="H14" s="1913" t="str">
        <f t="shared" si="3"/>
        <v>NO</v>
      </c>
      <c r="I14" s="1913" t="str">
        <f t="shared" si="3"/>
        <v>NO</v>
      </c>
      <c r="J14" s="1913" t="str">
        <f t="shared" si="3"/>
        <v>NO</v>
      </c>
      <c r="K14" s="3065" t="str">
        <f t="shared" si="3"/>
        <v>NO</v>
      </c>
    </row>
    <row r="15" spans="2:11" ht="18" customHeight="1" x14ac:dyDescent="0.2">
      <c r="B15" s="282" t="s">
        <v>136</v>
      </c>
      <c r="C15" s="1913" t="str">
        <f>IF(SUM(C22,C29,C36,C43,C50,C57,C66,C73,C80,C87,C94,C101,C118)=0,"NO",SUM(C22,C29,C36,C43,C50,C57,C66,C73,C80,C87,C94,C101,C118))</f>
        <v>NO</v>
      </c>
      <c r="D15" s="3077" t="s">
        <v>1814</v>
      </c>
      <c r="E15" s="1913" t="str">
        <f t="shared" si="2"/>
        <v>NA</v>
      </c>
      <c r="F15" s="1913" t="str">
        <f t="shared" si="1"/>
        <v>NA</v>
      </c>
      <c r="G15" s="1913" t="str">
        <f t="shared" si="1"/>
        <v>NA</v>
      </c>
      <c r="H15" s="1913" t="str">
        <f>IF(SUM(H22,H29,H36,H43,H50,H57,H66,H73,H80,H87,H94,H101,H118)=0,"NO",SUM(H22,H29,H36,H43,H50,H57,H66,H73,H80,H87,H94,H101,H118))</f>
        <v>NO</v>
      </c>
      <c r="I15" s="1913" t="str">
        <f>IF(SUM(I22,I29,I36,I43,I50,I57,I66,I73,I80,I87,I94,I101,I118)=0,"NO",SUM(I22,I29,I36,I43,I50,I57,I66,I73,I80,I87,I94,I101,I118))</f>
        <v>NO</v>
      </c>
      <c r="J15" s="1913" t="str">
        <f>IF(SUM(J22,J29,J36,J43,J50,J57,J66,J73,J80,J87,J94,J101,J118)=0,"NO",SUM(J22,J29,J36,J43,J50,J57,J66,J73,J80,J87,J94,J101,J118))</f>
        <v>NO</v>
      </c>
      <c r="K15" s="3065" t="str">
        <f>IF(SUM(K22,K29,K36,K43,K50,K57,K66,K73,K80,K87,K94,K101,K118)=0,"NO",SUM(K22,K29,K36,K43,K50,K57,K66,K73,K80,K87,K94,K101,K118))</f>
        <v>NO</v>
      </c>
    </row>
    <row r="16" spans="2:11" ht="18" customHeight="1" x14ac:dyDescent="0.2">
      <c r="B16" s="282" t="s">
        <v>137</v>
      </c>
      <c r="C16" s="1913">
        <f>IF(SUM(C23,C30,C37,C44,C51,C58,C67,C74,C81,C88,C95,C102,C119,C111)=0,"NO",SUM(C23,C30,C37,C44,C51,C58,C67,C74,C81,C88,C95,C102,C119,C111))</f>
        <v>124001.99489823796</v>
      </c>
      <c r="D16" s="3092" t="s">
        <v>1814</v>
      </c>
      <c r="E16" s="1913">
        <f t="shared" si="2"/>
        <v>94.649592257443885</v>
      </c>
      <c r="F16" s="1913">
        <f t="shared" si="1"/>
        <v>9.1444708951713665</v>
      </c>
      <c r="G16" s="1913">
        <f t="shared" si="1"/>
        <v>5.8176099102077687</v>
      </c>
      <c r="H16" s="1913">
        <f>IF(SUM(H23,H30,H37,H44,H51,H58,H67,H74,H81,H88,H95,H102,H119,H111)=0,"NO",SUM(H23,H30,H37,H44,H51,H58,H67,H74,H81,H88,H95,H102,H119,H111))</f>
        <v>11736.73825622786</v>
      </c>
      <c r="I16" s="1913">
        <f>IF(SUM(I23,I30,I37,I44,I51,I58,I67,I74,I81,I88,I95,I102,I119,I111)=0,"NO",SUM(I23,I30,I37,I44,I51,I58,I67,I74,I81,I88,I95,I102,I119,I111))</f>
        <v>1.1339326332901254</v>
      </c>
      <c r="J16" s="1913">
        <f>IF(SUM(J23,J30,J37,J44,J51,J58,J67,J74,J81,J88,J95,J102,J119,J111)=0,"NO",SUM(J23,J30,J37,J44,J51,J58,J67,J74,J81,J88,J95,J102,J119,J111))</f>
        <v>0.72139523440552233</v>
      </c>
      <c r="K16" s="3065" t="str">
        <f>IF(SUM(K23,K30,K37,K44,K51,K58,K67,K74,K81,K88,K95,K102,K119,K111)=0,"NO",SUM(K23,K30,K37,K44,K51,K58,K67,K74,K81,K88,K95,K102,K119,K111))</f>
        <v>NO</v>
      </c>
    </row>
    <row r="17" spans="2:11" ht="18" customHeight="1" x14ac:dyDescent="0.2">
      <c r="B17" s="1241" t="s">
        <v>151</v>
      </c>
      <c r="C17" s="1913">
        <f>IF(SUM(C18:C23)=0,"NO",SUM(C18:C23))</f>
        <v>53042.698036062866</v>
      </c>
      <c r="D17" s="3076" t="s">
        <v>1814</v>
      </c>
      <c r="E17" s="628"/>
      <c r="F17" s="628"/>
      <c r="G17" s="628"/>
      <c r="H17" s="1913">
        <f>IF(SUM(H18:H22)=0,"NO",SUM(H18:H22))</f>
        <v>2573.2111314566109</v>
      </c>
      <c r="I17" s="1913">
        <f t="shared" ref="I17:K17" si="4">IF(SUM(I18:I23)=0,"NO",SUM(I18:I23))</f>
        <v>5.5926734335182721E-2</v>
      </c>
      <c r="J17" s="1913">
        <f t="shared" si="4"/>
        <v>3.1687363277597677E-2</v>
      </c>
      <c r="K17" s="3065" t="str">
        <f t="shared" si="4"/>
        <v>NO</v>
      </c>
    </row>
    <row r="18" spans="2:11" ht="18" customHeight="1" x14ac:dyDescent="0.2">
      <c r="B18" s="282" t="s">
        <v>132</v>
      </c>
      <c r="C18" s="691">
        <v>1835.2437697298612</v>
      </c>
      <c r="D18" s="3077" t="s">
        <v>1814</v>
      </c>
      <c r="E18" s="1913">
        <f>IFERROR(H18*1000/$C18,"NA")</f>
        <v>71.376964274781301</v>
      </c>
      <c r="F18" s="1913">
        <f t="shared" ref="F18:G23" si="5">IFERROR(I18*1000000/$C18,"NA")</f>
        <v>3.8221688270859659</v>
      </c>
      <c r="G18" s="1913">
        <f t="shared" si="5"/>
        <v>1.1581903951442309</v>
      </c>
      <c r="H18" s="691">
        <v>130.99412898752325</v>
      </c>
      <c r="I18" s="691">
        <v>7.01461152676521E-3</v>
      </c>
      <c r="J18" s="691">
        <v>2.125561706849416E-3</v>
      </c>
      <c r="K18" s="3093" t="s">
        <v>2146</v>
      </c>
    </row>
    <row r="19" spans="2:11" ht="18" customHeight="1" x14ac:dyDescent="0.2">
      <c r="B19" s="282" t="s">
        <v>133</v>
      </c>
      <c r="C19" s="691">
        <v>27296.034181190102</v>
      </c>
      <c r="D19" s="3077" t="s">
        <v>1814</v>
      </c>
      <c r="E19" s="1913">
        <f t="shared" ref="E19:E23" si="6">IFERROR(H19*1000/$C19,"NA")</f>
        <v>44.434477830177535</v>
      </c>
      <c r="F19" s="1913">
        <f t="shared" si="5"/>
        <v>0.95565220311645005</v>
      </c>
      <c r="G19" s="1913">
        <f t="shared" si="5"/>
        <v>0.59489504524374093</v>
      </c>
      <c r="H19" s="691">
        <v>1212.8850256758597</v>
      </c>
      <c r="I19" s="691">
        <v>2.6085515201596243E-2</v>
      </c>
      <c r="J19" s="691">
        <v>1.6238275489193786E-2</v>
      </c>
      <c r="K19" s="3093" t="s">
        <v>2146</v>
      </c>
    </row>
    <row r="20" spans="2:11" ht="18" customHeight="1" x14ac:dyDescent="0.2">
      <c r="B20" s="282" t="s">
        <v>134</v>
      </c>
      <c r="C20" s="691">
        <v>23911.420085142898</v>
      </c>
      <c r="D20" s="3077" t="s">
        <v>1814</v>
      </c>
      <c r="E20" s="1913">
        <f t="shared" si="6"/>
        <v>51.411918339265007</v>
      </c>
      <c r="F20" s="1913">
        <f t="shared" si="5"/>
        <v>0.95463203463203472</v>
      </c>
      <c r="G20" s="1913">
        <f t="shared" si="5"/>
        <v>0.55720346320346326</v>
      </c>
      <c r="H20" s="691">
        <v>1229.3319767932278</v>
      </c>
      <c r="I20" s="691">
        <v>2.2826607606821266E-2</v>
      </c>
      <c r="J20" s="691">
        <v>1.3323526081554472E-2</v>
      </c>
      <c r="K20" s="3093" t="s">
        <v>2146</v>
      </c>
    </row>
    <row r="21" spans="2:11" ht="18" customHeight="1" x14ac:dyDescent="0.2">
      <c r="B21" s="282" t="s">
        <v>135</v>
      </c>
      <c r="C21" s="691" t="s">
        <v>2146</v>
      </c>
      <c r="D21" s="3077" t="s">
        <v>1814</v>
      </c>
      <c r="E21" s="1913" t="str">
        <f t="shared" si="6"/>
        <v>NA</v>
      </c>
      <c r="F21" s="1913" t="str">
        <f t="shared" si="5"/>
        <v>NA</v>
      </c>
      <c r="G21" s="1913" t="str">
        <f t="shared" si="5"/>
        <v>NA</v>
      </c>
      <c r="H21" s="691" t="s">
        <v>2146</v>
      </c>
      <c r="I21" s="691" t="s">
        <v>2146</v>
      </c>
      <c r="J21" s="691" t="s">
        <v>2146</v>
      </c>
      <c r="K21" s="3093" t="s">
        <v>2146</v>
      </c>
    </row>
    <row r="22" spans="2:11" ht="18" customHeight="1" x14ac:dyDescent="0.2">
      <c r="B22" s="282" t="s">
        <v>136</v>
      </c>
      <c r="C22" s="691" t="s">
        <v>2146</v>
      </c>
      <c r="D22" s="3077" t="s">
        <v>1814</v>
      </c>
      <c r="E22" s="1913" t="str">
        <f t="shared" si="6"/>
        <v>NA</v>
      </c>
      <c r="F22" s="1913" t="str">
        <f t="shared" si="5"/>
        <v>NA</v>
      </c>
      <c r="G22" s="1913" t="str">
        <f t="shared" si="5"/>
        <v>NA</v>
      </c>
      <c r="H22" s="691" t="s">
        <v>2146</v>
      </c>
      <c r="I22" s="691" t="s">
        <v>2146</v>
      </c>
      <c r="J22" s="691" t="s">
        <v>2146</v>
      </c>
      <c r="K22" s="3093" t="s">
        <v>2146</v>
      </c>
    </row>
    <row r="23" spans="2:11" ht="18" customHeight="1" x14ac:dyDescent="0.2">
      <c r="B23" s="282" t="s">
        <v>137</v>
      </c>
      <c r="C23" s="691" t="s">
        <v>2146</v>
      </c>
      <c r="D23" s="3077" t="s">
        <v>1814</v>
      </c>
      <c r="E23" s="1913" t="str">
        <f t="shared" si="6"/>
        <v>NA</v>
      </c>
      <c r="F23" s="1913" t="str">
        <f t="shared" si="5"/>
        <v>NA</v>
      </c>
      <c r="G23" s="1913" t="str">
        <f t="shared" si="5"/>
        <v>NA</v>
      </c>
      <c r="H23" s="691" t="s">
        <v>2146</v>
      </c>
      <c r="I23" s="691" t="s">
        <v>2146</v>
      </c>
      <c r="J23" s="691" t="s">
        <v>2146</v>
      </c>
      <c r="K23" s="3093" t="s">
        <v>2146</v>
      </c>
    </row>
    <row r="24" spans="2:11" ht="18" customHeight="1" x14ac:dyDescent="0.2">
      <c r="B24" s="1241" t="s">
        <v>152</v>
      </c>
      <c r="C24" s="1913">
        <f>IF(SUM(C25:C30)=0,"NO",SUM(C25:C30))</f>
        <v>222524.31413166597</v>
      </c>
      <c r="D24" s="3077" t="s">
        <v>1814</v>
      </c>
      <c r="E24" s="628"/>
      <c r="F24" s="628"/>
      <c r="G24" s="628"/>
      <c r="H24" s="1913">
        <f>IF(SUM(H25:H29)=0,"NO",SUM(H25:H29))</f>
        <v>13867.544056210947</v>
      </c>
      <c r="I24" s="1913">
        <f t="shared" ref="I24:K24" si="7">IF(SUM(I25:I30)=0,"NO",SUM(I25:I30))</f>
        <v>0.26550517664676743</v>
      </c>
      <c r="J24" s="1913">
        <f t="shared" si="7"/>
        <v>0.15465014104088276</v>
      </c>
      <c r="K24" s="3065" t="str">
        <f t="shared" si="7"/>
        <v>NO</v>
      </c>
    </row>
    <row r="25" spans="2:11" ht="18" customHeight="1" x14ac:dyDescent="0.2">
      <c r="B25" s="282" t="s">
        <v>132</v>
      </c>
      <c r="C25" s="691">
        <v>34728.382798417399</v>
      </c>
      <c r="D25" s="3077" t="s">
        <v>1814</v>
      </c>
      <c r="E25" s="1913">
        <f>IFERROR(H25*1000/$C25,"NA")</f>
        <v>73.09868826931374</v>
      </c>
      <c r="F25" s="1913">
        <f t="shared" ref="F25:G30" si="8">IFERROR(I25*1000000/$C25,"NA")</f>
        <v>1.9257279529099764</v>
      </c>
      <c r="G25" s="1913">
        <f t="shared" si="8"/>
        <v>0.84091309154677985</v>
      </c>
      <c r="H25" s="691">
        <v>2538.5992282789111</v>
      </c>
      <c r="I25" s="691">
        <v>6.6877417514270371E-2</v>
      </c>
      <c r="J25" s="691">
        <v>2.9203551743437185E-2</v>
      </c>
      <c r="K25" s="3093" t="s">
        <v>2146</v>
      </c>
    </row>
    <row r="26" spans="2:11" ht="18" customHeight="1" x14ac:dyDescent="0.2">
      <c r="B26" s="282" t="s">
        <v>133</v>
      </c>
      <c r="C26" s="691">
        <v>45072.213037442452</v>
      </c>
      <c r="D26" s="3077" t="s">
        <v>1814</v>
      </c>
      <c r="E26" s="1913">
        <f t="shared" ref="E26:E30" si="9">IFERROR(H26*1000/$C26,"NA")</f>
        <v>91.202788061113665</v>
      </c>
      <c r="F26" s="1913">
        <f t="shared" si="8"/>
        <v>0.95238095238095211</v>
      </c>
      <c r="G26" s="1913">
        <f t="shared" si="8"/>
        <v>0.70609523809523811</v>
      </c>
      <c r="H26" s="691">
        <v>4110.7114930992284</v>
      </c>
      <c r="I26" s="691">
        <v>4.2925917178516612E-2</v>
      </c>
      <c r="J26" s="691">
        <v>3.1825274996152224E-2</v>
      </c>
      <c r="K26" s="3093" t="s">
        <v>2146</v>
      </c>
    </row>
    <row r="27" spans="2:11" ht="18" customHeight="1" x14ac:dyDescent="0.2">
      <c r="B27" s="282" t="s">
        <v>134</v>
      </c>
      <c r="C27" s="691">
        <v>140400</v>
      </c>
      <c r="D27" s="3077" t="s">
        <v>1814</v>
      </c>
      <c r="E27" s="1913">
        <f t="shared" si="9"/>
        <v>51.411918339265</v>
      </c>
      <c r="F27" s="1913">
        <f t="shared" si="8"/>
        <v>0.95727272727272728</v>
      </c>
      <c r="G27" s="1913">
        <f t="shared" si="8"/>
        <v>0.57027272727272738</v>
      </c>
      <c r="H27" s="691">
        <v>7218.2333348328066</v>
      </c>
      <c r="I27" s="691">
        <v>0.13440109090909091</v>
      </c>
      <c r="J27" s="691">
        <v>8.0066290909090926E-2</v>
      </c>
      <c r="K27" s="3093" t="s">
        <v>2146</v>
      </c>
    </row>
    <row r="28" spans="2:11" ht="18" customHeight="1" x14ac:dyDescent="0.2">
      <c r="B28" s="282" t="s">
        <v>135</v>
      </c>
      <c r="C28" s="691" t="s">
        <v>2146</v>
      </c>
      <c r="D28" s="3077" t="s">
        <v>1814</v>
      </c>
      <c r="E28" s="1913" t="str">
        <f t="shared" si="9"/>
        <v>NA</v>
      </c>
      <c r="F28" s="1913" t="str">
        <f t="shared" si="8"/>
        <v>NA</v>
      </c>
      <c r="G28" s="1913" t="str">
        <f t="shared" si="8"/>
        <v>NA</v>
      </c>
      <c r="H28" s="691" t="s">
        <v>2146</v>
      </c>
      <c r="I28" s="691" t="s">
        <v>2146</v>
      </c>
      <c r="J28" s="691" t="s">
        <v>2146</v>
      </c>
      <c r="K28" s="3093" t="s">
        <v>2146</v>
      </c>
    </row>
    <row r="29" spans="2:11" ht="18" customHeight="1" x14ac:dyDescent="0.2">
      <c r="B29" s="282" t="s">
        <v>136</v>
      </c>
      <c r="C29" s="691" t="s">
        <v>2146</v>
      </c>
      <c r="D29" s="3077" t="s">
        <v>1814</v>
      </c>
      <c r="E29" s="1913" t="str">
        <f t="shared" si="9"/>
        <v>NA</v>
      </c>
      <c r="F29" s="1913" t="str">
        <f t="shared" si="8"/>
        <v>NA</v>
      </c>
      <c r="G29" s="1913" t="str">
        <f t="shared" si="8"/>
        <v>NA</v>
      </c>
      <c r="H29" s="691" t="s">
        <v>2146</v>
      </c>
      <c r="I29" s="691" t="s">
        <v>2146</v>
      </c>
      <c r="J29" s="691" t="s">
        <v>2146</v>
      </c>
      <c r="K29" s="3093" t="s">
        <v>2146</v>
      </c>
    </row>
    <row r="30" spans="2:11" ht="18" customHeight="1" x14ac:dyDescent="0.2">
      <c r="B30" s="282" t="s">
        <v>137</v>
      </c>
      <c r="C30" s="691">
        <v>2323.7182958061303</v>
      </c>
      <c r="D30" s="3077" t="s">
        <v>1814</v>
      </c>
      <c r="E30" s="1913">
        <f t="shared" si="9"/>
        <v>94</v>
      </c>
      <c r="F30" s="1913">
        <f t="shared" si="8"/>
        <v>9.1666666666666679</v>
      </c>
      <c r="G30" s="1913">
        <f t="shared" si="8"/>
        <v>5.833333333333333</v>
      </c>
      <c r="H30" s="691">
        <v>218.42951980577624</v>
      </c>
      <c r="I30" s="691">
        <v>2.1300751044889529E-2</v>
      </c>
      <c r="J30" s="691">
        <v>1.3555023392202426E-2</v>
      </c>
      <c r="K30" s="3093" t="s">
        <v>2146</v>
      </c>
    </row>
    <row r="31" spans="2:11" ht="18" customHeight="1" x14ac:dyDescent="0.2">
      <c r="B31" s="1241" t="s">
        <v>153</v>
      </c>
      <c r="C31" s="1913">
        <f>IF(SUM(C32:C37)=0,"NO",SUM(C32:C37))</f>
        <v>106769.89641880197</v>
      </c>
      <c r="D31" s="3077" t="s">
        <v>1814</v>
      </c>
      <c r="E31" s="628"/>
      <c r="F31" s="628"/>
      <c r="G31" s="628"/>
      <c r="H31" s="1913">
        <f>IF(SUM(H32:H36)=0,"NO",SUM(H32:H36))</f>
        <v>6570.5784458041981</v>
      </c>
      <c r="I31" s="1913">
        <f t="shared" ref="I31:K31" si="10">IF(SUM(I32:I37)=0,"NO",SUM(I32:I37))</f>
        <v>0.22639885085377856</v>
      </c>
      <c r="J31" s="1913">
        <f t="shared" si="10"/>
        <v>7.0444353591148035E-2</v>
      </c>
      <c r="K31" s="3065" t="str">
        <f t="shared" si="10"/>
        <v>NO</v>
      </c>
    </row>
    <row r="32" spans="2:11" ht="18" customHeight="1" x14ac:dyDescent="0.2">
      <c r="B32" s="282" t="s">
        <v>132</v>
      </c>
      <c r="C32" s="691">
        <v>64318.923084055117</v>
      </c>
      <c r="D32" s="3077" t="s">
        <v>1814</v>
      </c>
      <c r="E32" s="1913">
        <f>IFERROR(H32*1000/$C32,"NA")</f>
        <v>66.092131142222087</v>
      </c>
      <c r="F32" s="1913">
        <f t="shared" ref="F32:G37" si="11">IFERROR(I32*1000000/$C32,"NA")</f>
        <v>2.8564544364390301</v>
      </c>
      <c r="G32" s="1913">
        <f t="shared" si="11"/>
        <v>0.74676708703489714</v>
      </c>
      <c r="H32" s="691">
        <v>4250.974699397867</v>
      </c>
      <c r="I32" s="691">
        <v>0.18372407319042997</v>
      </c>
      <c r="J32" s="691">
        <v>4.8031254832701445E-2</v>
      </c>
      <c r="K32" s="3093" t="s">
        <v>2146</v>
      </c>
    </row>
    <row r="33" spans="2:11" ht="18" customHeight="1" x14ac:dyDescent="0.2">
      <c r="B33" s="282" t="s">
        <v>133</v>
      </c>
      <c r="C33" s="691">
        <v>3089.833425562872</v>
      </c>
      <c r="D33" s="3077" t="s">
        <v>1814</v>
      </c>
      <c r="E33" s="1913">
        <f t="shared" ref="E33:E37" si="12">IFERROR(H33*1000/$C33,"NA")</f>
        <v>91.274000905829723</v>
      </c>
      <c r="F33" s="1913">
        <f t="shared" si="11"/>
        <v>0.95238095238095222</v>
      </c>
      <c r="G33" s="1913">
        <f t="shared" si="11"/>
        <v>0.66666666666666663</v>
      </c>
      <c r="H33" s="691">
        <v>282.02145888368858</v>
      </c>
      <c r="I33" s="691">
        <v>2.942698500536068E-3</v>
      </c>
      <c r="J33" s="691">
        <v>2.0598889503752479E-3</v>
      </c>
      <c r="K33" s="3093" t="s">
        <v>2146</v>
      </c>
    </row>
    <row r="34" spans="2:11" ht="18" customHeight="1" x14ac:dyDescent="0.2">
      <c r="B34" s="282" t="s">
        <v>134</v>
      </c>
      <c r="C34" s="691">
        <v>38953.040587086893</v>
      </c>
      <c r="D34" s="3077" t="s">
        <v>1814</v>
      </c>
      <c r="E34" s="1913">
        <f t="shared" si="12"/>
        <v>52.308683913063</v>
      </c>
      <c r="F34" s="1913">
        <f t="shared" si="11"/>
        <v>0.95635855149418503</v>
      </c>
      <c r="G34" s="1913">
        <f t="shared" si="11"/>
        <v>0.48840889170175522</v>
      </c>
      <c r="H34" s="691">
        <v>2037.5822875226422</v>
      </c>
      <c r="I34" s="691">
        <v>3.7253073472160621E-2</v>
      </c>
      <c r="J34" s="691">
        <v>1.90250113815526E-2</v>
      </c>
      <c r="K34" s="3093" t="s">
        <v>2146</v>
      </c>
    </row>
    <row r="35" spans="2:11" ht="18" customHeight="1" x14ac:dyDescent="0.2">
      <c r="B35" s="282" t="s">
        <v>135</v>
      </c>
      <c r="C35" s="691" t="s">
        <v>2146</v>
      </c>
      <c r="D35" s="3077" t="s">
        <v>1814</v>
      </c>
      <c r="E35" s="1913" t="str">
        <f t="shared" si="12"/>
        <v>NA</v>
      </c>
      <c r="F35" s="1913" t="str">
        <f t="shared" si="11"/>
        <v>NA</v>
      </c>
      <c r="G35" s="1913" t="str">
        <f t="shared" si="11"/>
        <v>NA</v>
      </c>
      <c r="H35" s="691" t="s">
        <v>2146</v>
      </c>
      <c r="I35" s="691" t="s">
        <v>2146</v>
      </c>
      <c r="J35" s="691" t="s">
        <v>2146</v>
      </c>
      <c r="K35" s="3093" t="s">
        <v>2146</v>
      </c>
    </row>
    <row r="36" spans="2:11" ht="18" customHeight="1" x14ac:dyDescent="0.2">
      <c r="B36" s="282" t="s">
        <v>136</v>
      </c>
      <c r="C36" s="691" t="s">
        <v>2146</v>
      </c>
      <c r="D36" s="3077" t="s">
        <v>1814</v>
      </c>
      <c r="E36" s="1913" t="str">
        <f t="shared" si="12"/>
        <v>NA</v>
      </c>
      <c r="F36" s="1913" t="str">
        <f t="shared" si="11"/>
        <v>NA</v>
      </c>
      <c r="G36" s="1913" t="str">
        <f t="shared" si="11"/>
        <v>NA</v>
      </c>
      <c r="H36" s="691" t="s">
        <v>2146</v>
      </c>
      <c r="I36" s="691" t="s">
        <v>2146</v>
      </c>
      <c r="J36" s="691" t="s">
        <v>2146</v>
      </c>
      <c r="K36" s="3093" t="s">
        <v>2146</v>
      </c>
    </row>
    <row r="37" spans="2:11" ht="18" customHeight="1" x14ac:dyDescent="0.2">
      <c r="B37" s="282" t="s">
        <v>137</v>
      </c>
      <c r="C37" s="691">
        <v>408.09932209709001</v>
      </c>
      <c r="D37" s="3077" t="s">
        <v>1814</v>
      </c>
      <c r="E37" s="1913">
        <f t="shared" si="12"/>
        <v>80.895347013765274</v>
      </c>
      <c r="F37" s="1913">
        <f t="shared" si="11"/>
        <v>6.0745155809450777</v>
      </c>
      <c r="G37" s="1913">
        <f t="shared" si="11"/>
        <v>3.2545960127881579</v>
      </c>
      <c r="H37" s="691">
        <v>33.013336277126463</v>
      </c>
      <c r="I37" s="691">
        <v>2.4790056906518971E-3</v>
      </c>
      <c r="J37" s="691">
        <v>1.3281984265187394E-3</v>
      </c>
      <c r="K37" s="3093" t="s">
        <v>2146</v>
      </c>
    </row>
    <row r="38" spans="2:11" ht="18" customHeight="1" x14ac:dyDescent="0.2">
      <c r="B38" s="1241" t="s">
        <v>154</v>
      </c>
      <c r="C38" s="1913">
        <f>IF(SUM(C39:C44)=0,"NO",SUM(C39:C44))</f>
        <v>52674.864691204726</v>
      </c>
      <c r="D38" s="3077" t="s">
        <v>1814</v>
      </c>
      <c r="E38" s="628"/>
      <c r="F38" s="628"/>
      <c r="G38" s="628"/>
      <c r="H38" s="1913">
        <f>IF(SUM(H39:H43)=0,"NO",SUM(H39:H43))</f>
        <v>1770.9591543256661</v>
      </c>
      <c r="I38" s="1913">
        <f t="shared" ref="I38:K38" si="13">IF(SUM(I39:I44)=0,"NO",SUM(I39:I44))</f>
        <v>0.24264111665164254</v>
      </c>
      <c r="J38" s="1913">
        <f t="shared" si="13"/>
        <v>0.16137317586815389</v>
      </c>
      <c r="K38" s="3065" t="str">
        <f t="shared" si="13"/>
        <v>NO</v>
      </c>
    </row>
    <row r="39" spans="2:11" ht="18" customHeight="1" x14ac:dyDescent="0.2">
      <c r="B39" s="282" t="s">
        <v>132</v>
      </c>
      <c r="C39" s="691">
        <v>650.06247735592126</v>
      </c>
      <c r="D39" s="3077" t="s">
        <v>1814</v>
      </c>
      <c r="E39" s="1913">
        <f>IFERROR(H39*1000/$C39,"NA")</f>
        <v>68.031016826550029</v>
      </c>
      <c r="F39" s="1913">
        <f t="shared" ref="F39:G44" si="14">IFERROR(I39*1000000/$C39,"NA")</f>
        <v>0.56592871569118108</v>
      </c>
      <c r="G39" s="1913">
        <f t="shared" si="14"/>
        <v>0.8802592453233532</v>
      </c>
      <c r="H39" s="691">
        <v>44.224411335309483</v>
      </c>
      <c r="I39" s="691">
        <v>3.6788902292906402E-4</v>
      </c>
      <c r="J39" s="691">
        <v>5.7222350573035263E-4</v>
      </c>
      <c r="K39" s="3093" t="s">
        <v>2146</v>
      </c>
    </row>
    <row r="40" spans="2:11" ht="18" customHeight="1" x14ac:dyDescent="0.2">
      <c r="B40" s="282" t="s">
        <v>133</v>
      </c>
      <c r="C40" s="691">
        <v>6829.2</v>
      </c>
      <c r="D40" s="3077" t="s">
        <v>1814</v>
      </c>
      <c r="E40" s="1913">
        <f t="shared" ref="E40:E44" si="15">IFERROR(H40*1000/$C40,"NA")</f>
        <v>89.999999999999986</v>
      </c>
      <c r="F40" s="1913">
        <f t="shared" si="14"/>
        <v>0.95238095238095233</v>
      </c>
      <c r="G40" s="1913">
        <f t="shared" si="14"/>
        <v>0.66666666666666674</v>
      </c>
      <c r="H40" s="691">
        <v>614.62799999999993</v>
      </c>
      <c r="I40" s="691">
        <v>6.5039999999999994E-3</v>
      </c>
      <c r="J40" s="691">
        <v>4.5528000000000001E-3</v>
      </c>
      <c r="K40" s="3093" t="s">
        <v>2146</v>
      </c>
    </row>
    <row r="41" spans="2:11" ht="18" customHeight="1" x14ac:dyDescent="0.2">
      <c r="B41" s="282" t="s">
        <v>134</v>
      </c>
      <c r="C41" s="691">
        <v>21631.302213848801</v>
      </c>
      <c r="D41" s="3077" t="s">
        <v>1814</v>
      </c>
      <c r="E41" s="1913">
        <f t="shared" si="15"/>
        <v>51.411918339264993</v>
      </c>
      <c r="F41" s="1913">
        <f t="shared" si="14"/>
        <v>0.91363636363636358</v>
      </c>
      <c r="G41" s="1913">
        <f t="shared" si="14"/>
        <v>0.86863636363636343</v>
      </c>
      <c r="H41" s="691">
        <v>1112.1067429903567</v>
      </c>
      <c r="I41" s="691">
        <v>1.976314429538004E-2</v>
      </c>
      <c r="J41" s="691">
        <v>1.8789735695756839E-2</v>
      </c>
      <c r="K41" s="3093" t="s">
        <v>2146</v>
      </c>
    </row>
    <row r="42" spans="2:11" ht="18" customHeight="1" x14ac:dyDescent="0.2">
      <c r="B42" s="282" t="s">
        <v>135</v>
      </c>
      <c r="C42" s="691" t="s">
        <v>2146</v>
      </c>
      <c r="D42" s="3077" t="s">
        <v>1814</v>
      </c>
      <c r="E42" s="1913" t="str">
        <f t="shared" si="15"/>
        <v>NA</v>
      </c>
      <c r="F42" s="1913" t="str">
        <f t="shared" si="14"/>
        <v>NA</v>
      </c>
      <c r="G42" s="1913" t="str">
        <f t="shared" si="14"/>
        <v>NA</v>
      </c>
      <c r="H42" s="691" t="s">
        <v>2146</v>
      </c>
      <c r="I42" s="691" t="s">
        <v>2146</v>
      </c>
      <c r="J42" s="691" t="s">
        <v>2146</v>
      </c>
      <c r="K42" s="3093" t="s">
        <v>2146</v>
      </c>
    </row>
    <row r="43" spans="2:11" ht="18" customHeight="1" x14ac:dyDescent="0.2">
      <c r="B43" s="282" t="s">
        <v>136</v>
      </c>
      <c r="C43" s="691" t="s">
        <v>2146</v>
      </c>
      <c r="D43" s="3077" t="s">
        <v>1814</v>
      </c>
      <c r="E43" s="1913" t="str">
        <f t="shared" si="15"/>
        <v>NA</v>
      </c>
      <c r="F43" s="1913" t="str">
        <f t="shared" si="14"/>
        <v>NA</v>
      </c>
      <c r="G43" s="1913" t="str">
        <f t="shared" si="14"/>
        <v>NA</v>
      </c>
      <c r="H43" s="691" t="s">
        <v>2146</v>
      </c>
      <c r="I43" s="691" t="s">
        <v>2146</v>
      </c>
      <c r="J43" s="691" t="s">
        <v>2146</v>
      </c>
      <c r="K43" s="3093" t="s">
        <v>2146</v>
      </c>
    </row>
    <row r="44" spans="2:11" ht="18" customHeight="1" x14ac:dyDescent="0.2">
      <c r="B44" s="282" t="s">
        <v>137</v>
      </c>
      <c r="C44" s="691">
        <v>23564.300000000003</v>
      </c>
      <c r="D44" s="3076" t="s">
        <v>1814</v>
      </c>
      <c r="E44" s="1913">
        <f t="shared" si="15"/>
        <v>94</v>
      </c>
      <c r="F44" s="1913">
        <f t="shared" si="14"/>
        <v>9.1666666666666696</v>
      </c>
      <c r="G44" s="1913">
        <f t="shared" si="14"/>
        <v>5.833333333333333</v>
      </c>
      <c r="H44" s="691">
        <v>2215.0442000000003</v>
      </c>
      <c r="I44" s="691">
        <v>0.21600608333333343</v>
      </c>
      <c r="J44" s="691">
        <v>0.13745841666666669</v>
      </c>
      <c r="K44" s="3093" t="s">
        <v>2146</v>
      </c>
    </row>
    <row r="45" spans="2:11" ht="18" customHeight="1" x14ac:dyDescent="0.2">
      <c r="B45" s="1241" t="s">
        <v>155</v>
      </c>
      <c r="C45" s="1913">
        <f>IF(SUM(C46:C51)=0,"NO",SUM(C46:C51))</f>
        <v>146998.34012903098</v>
      </c>
      <c r="D45" s="3076" t="s">
        <v>1814</v>
      </c>
      <c r="E45" s="628"/>
      <c r="F45" s="628"/>
      <c r="G45" s="628"/>
      <c r="H45" s="1913">
        <f>IF(SUM(H46:H50)=0,"NO",SUM(H46:H50))</f>
        <v>3309.006745054241</v>
      </c>
      <c r="I45" s="1913">
        <f t="shared" ref="I45:K45" si="16">IF(SUM(I46:I51)=0,"NO",SUM(I46:I51))</f>
        <v>0.93449619070877787</v>
      </c>
      <c r="J45" s="1913">
        <f t="shared" si="16"/>
        <v>0.60752144803479136</v>
      </c>
      <c r="K45" s="3065" t="str">
        <f t="shared" si="16"/>
        <v>NO</v>
      </c>
    </row>
    <row r="46" spans="2:11" ht="18" customHeight="1" x14ac:dyDescent="0.2">
      <c r="B46" s="282" t="s">
        <v>132</v>
      </c>
      <c r="C46" s="691">
        <v>2967.6688957965421</v>
      </c>
      <c r="D46" s="3076" t="s">
        <v>1814</v>
      </c>
      <c r="E46" s="1913">
        <f>IFERROR(H46*1000/$C46,"NA")</f>
        <v>67.522761705863658</v>
      </c>
      <c r="F46" s="1913">
        <f t="shared" ref="F46:G51" si="17">IFERROR(I46*1000000/$C46,"NA")</f>
        <v>2.0357421832124731</v>
      </c>
      <c r="G46" s="1913">
        <f t="shared" si="17"/>
        <v>2.3580584027776887</v>
      </c>
      <c r="H46" s="691">
        <v>200.38519967277341</v>
      </c>
      <c r="I46" s="691">
        <v>6.0414087569806013E-3</v>
      </c>
      <c r="J46" s="691">
        <v>6.9979365763950217E-3</v>
      </c>
      <c r="K46" s="3093" t="s">
        <v>2146</v>
      </c>
    </row>
    <row r="47" spans="2:11" ht="18" customHeight="1" x14ac:dyDescent="0.2">
      <c r="B47" s="282" t="s">
        <v>133</v>
      </c>
      <c r="C47" s="691">
        <v>17622.24506956985</v>
      </c>
      <c r="D47" s="3076" t="s">
        <v>1814</v>
      </c>
      <c r="E47" s="1913">
        <f t="shared" ref="E47:E51" si="18">IFERROR(H47*1000/$C47,"NA")</f>
        <v>89.585372966129512</v>
      </c>
      <c r="F47" s="1913">
        <f t="shared" si="17"/>
        <v>0.95238095238095244</v>
      </c>
      <c r="G47" s="1913">
        <f t="shared" si="17"/>
        <v>0.67523809523809519</v>
      </c>
      <c r="H47" s="691">
        <v>1578.6953970579518</v>
      </c>
      <c r="I47" s="691">
        <v>1.6783090542447476E-2</v>
      </c>
      <c r="J47" s="691">
        <v>1.189921119459526E-2</v>
      </c>
      <c r="K47" s="3093" t="s">
        <v>2146</v>
      </c>
    </row>
    <row r="48" spans="2:11" ht="18" customHeight="1" x14ac:dyDescent="0.2">
      <c r="B48" s="282" t="s">
        <v>134</v>
      </c>
      <c r="C48" s="691">
        <v>29758.199999999997</v>
      </c>
      <c r="D48" s="3076" t="s">
        <v>1814</v>
      </c>
      <c r="E48" s="1913">
        <f t="shared" si="18"/>
        <v>51.411918339265</v>
      </c>
      <c r="F48" s="1913">
        <f t="shared" si="17"/>
        <v>0.9140909090909094</v>
      </c>
      <c r="G48" s="1913">
        <f t="shared" si="17"/>
        <v>0.86459090909090919</v>
      </c>
      <c r="H48" s="691">
        <v>1529.9261483235157</v>
      </c>
      <c r="I48" s="691">
        <v>2.7201700090909095E-2</v>
      </c>
      <c r="J48" s="691">
        <v>2.572866919090909E-2</v>
      </c>
      <c r="K48" s="3093" t="s">
        <v>2146</v>
      </c>
    </row>
    <row r="49" spans="2:11" ht="18" customHeight="1" x14ac:dyDescent="0.2">
      <c r="B49" s="282" t="s">
        <v>135</v>
      </c>
      <c r="C49" s="691" t="s">
        <v>2146</v>
      </c>
      <c r="D49" s="3076" t="s">
        <v>1814</v>
      </c>
      <c r="E49" s="1913" t="str">
        <f t="shared" si="18"/>
        <v>NA</v>
      </c>
      <c r="F49" s="1913" t="str">
        <f t="shared" si="17"/>
        <v>NA</v>
      </c>
      <c r="G49" s="1913" t="str">
        <f t="shared" si="17"/>
        <v>NA</v>
      </c>
      <c r="H49" s="691" t="s">
        <v>2146</v>
      </c>
      <c r="I49" s="691" t="s">
        <v>2146</v>
      </c>
      <c r="J49" s="691" t="s">
        <v>2146</v>
      </c>
      <c r="K49" s="3093" t="s">
        <v>2146</v>
      </c>
    </row>
    <row r="50" spans="2:11" ht="18" customHeight="1" x14ac:dyDescent="0.2">
      <c r="B50" s="282" t="s">
        <v>136</v>
      </c>
      <c r="C50" s="691" t="s">
        <v>2146</v>
      </c>
      <c r="D50" s="3076" t="s">
        <v>1814</v>
      </c>
      <c r="E50" s="1913" t="str">
        <f t="shared" si="18"/>
        <v>NA</v>
      </c>
      <c r="F50" s="1913" t="str">
        <f t="shared" si="17"/>
        <v>NA</v>
      </c>
      <c r="G50" s="1913" t="str">
        <f t="shared" si="17"/>
        <v>NA</v>
      </c>
      <c r="H50" s="691" t="s">
        <v>2146</v>
      </c>
      <c r="I50" s="691" t="s">
        <v>2146</v>
      </c>
      <c r="J50" s="691" t="s">
        <v>2146</v>
      </c>
      <c r="K50" s="3093" t="s">
        <v>2146</v>
      </c>
    </row>
    <row r="51" spans="2:11" ht="18" customHeight="1" x14ac:dyDescent="0.2">
      <c r="B51" s="282" t="s">
        <v>137</v>
      </c>
      <c r="C51" s="691">
        <v>96650.226163664585</v>
      </c>
      <c r="D51" s="3076" t="s">
        <v>1814</v>
      </c>
      <c r="E51" s="1913">
        <f t="shared" si="18"/>
        <v>94.888758766565473</v>
      </c>
      <c r="F51" s="1913">
        <f t="shared" si="17"/>
        <v>9.1512459559143284</v>
      </c>
      <c r="G51" s="1913">
        <f t="shared" si="17"/>
        <v>5.8240487727333559</v>
      </c>
      <c r="H51" s="691">
        <v>9171.0199951779632</v>
      </c>
      <c r="I51" s="691">
        <v>0.88446999131844073</v>
      </c>
      <c r="J51" s="691">
        <v>0.56289563107289198</v>
      </c>
      <c r="K51" s="3093" t="s">
        <v>2146</v>
      </c>
    </row>
    <row r="52" spans="2:11" ht="18" customHeight="1" x14ac:dyDescent="0.2">
      <c r="B52" s="1241" t="s">
        <v>156</v>
      </c>
      <c r="C52" s="3094">
        <f>IF(SUM(C53:C58)=0,"NO",SUM(C53:C58))</f>
        <v>94443.87676634411</v>
      </c>
      <c r="D52" s="3076" t="s">
        <v>1814</v>
      </c>
      <c r="E52" s="628"/>
      <c r="F52" s="628"/>
      <c r="G52" s="628"/>
      <c r="H52" s="1913">
        <f>IF(SUM(H53:H57)=0,"NO",SUM(H53:H57))</f>
        <v>6117.5864879602923</v>
      </c>
      <c r="I52" s="1913">
        <f t="shared" ref="I52:K52" si="19">IF(SUM(I53:I58)=0,"NO",SUM(I53:I58))</f>
        <v>0.30835942225642404</v>
      </c>
      <c r="J52" s="1913">
        <f t="shared" si="19"/>
        <v>5.3581616885861105E-2</v>
      </c>
      <c r="K52" s="3065" t="str">
        <f t="shared" si="19"/>
        <v>NO</v>
      </c>
    </row>
    <row r="53" spans="2:11" ht="18" customHeight="1" x14ac:dyDescent="0.2">
      <c r="B53" s="282" t="s">
        <v>132</v>
      </c>
      <c r="C53" s="2147">
        <v>9807.7091696409207</v>
      </c>
      <c r="D53" s="3076" t="s">
        <v>1814</v>
      </c>
      <c r="E53" s="1913">
        <f>IFERROR(H53*1000/$C53,"NA")</f>
        <v>64.945521966582874</v>
      </c>
      <c r="F53" s="1913">
        <f t="shared" ref="F53:G58" si="20">IFERROR(I53*1000000/$C53,"NA")</f>
        <v>22.129672026409931</v>
      </c>
      <c r="G53" s="1913">
        <f t="shared" si="20"/>
        <v>1.6566650065012118</v>
      </c>
      <c r="H53" s="691">
        <v>636.96679131877079</v>
      </c>
      <c r="I53" s="691">
        <v>0.21704138725456684</v>
      </c>
      <c r="J53" s="691">
        <v>1.6248088575285171E-2</v>
      </c>
      <c r="K53" s="3093" t="s">
        <v>2146</v>
      </c>
    </row>
    <row r="54" spans="2:11" ht="18" customHeight="1" x14ac:dyDescent="0.2">
      <c r="B54" s="282" t="s">
        <v>133</v>
      </c>
      <c r="C54" s="691">
        <v>31393.425459543665</v>
      </c>
      <c r="D54" s="3076" t="s">
        <v>1814</v>
      </c>
      <c r="E54" s="1913">
        <f t="shared" ref="E54:E58" si="21">IFERROR(H54*1000/$C54,"NA")</f>
        <v>89.11360241135651</v>
      </c>
      <c r="F54" s="1913">
        <f t="shared" si="20"/>
        <v>0.94068282659725933</v>
      </c>
      <c r="G54" s="1913">
        <f t="shared" si="20"/>
        <v>0.80496276942182143</v>
      </c>
      <c r="H54" s="691">
        <v>2797.5812347323313</v>
      </c>
      <c r="I54" s="691">
        <v>2.9531256197853899E-2</v>
      </c>
      <c r="J54" s="691">
        <v>2.5270538699551787E-2</v>
      </c>
      <c r="K54" s="3093" t="s">
        <v>2146</v>
      </c>
    </row>
    <row r="55" spans="2:11" ht="18" customHeight="1" x14ac:dyDescent="0.2">
      <c r="B55" s="282" t="s">
        <v>134</v>
      </c>
      <c r="C55" s="691">
        <v>52187.091020489373</v>
      </c>
      <c r="D55" s="3076" t="s">
        <v>1814</v>
      </c>
      <c r="E55" s="1913">
        <f t="shared" si="21"/>
        <v>51.411918339265007</v>
      </c>
      <c r="F55" s="1913">
        <f t="shared" si="20"/>
        <v>0.99852235260123012</v>
      </c>
      <c r="G55" s="1913">
        <f t="shared" si="20"/>
        <v>0.11315106184905362</v>
      </c>
      <c r="H55" s="691">
        <v>2683.0384619091897</v>
      </c>
      <c r="I55" s="691">
        <v>5.210997690119358E-2</v>
      </c>
      <c r="J55" s="691">
        <v>5.905024763781584E-3</v>
      </c>
      <c r="K55" s="3093" t="s">
        <v>2146</v>
      </c>
    </row>
    <row r="56" spans="2:11" ht="18" customHeight="1" x14ac:dyDescent="0.2">
      <c r="B56" s="282" t="s">
        <v>135</v>
      </c>
      <c r="C56" s="691" t="s">
        <v>2146</v>
      </c>
      <c r="D56" s="3076" t="s">
        <v>1814</v>
      </c>
      <c r="E56" s="1913" t="str">
        <f t="shared" si="21"/>
        <v>NA</v>
      </c>
      <c r="F56" s="1913" t="str">
        <f t="shared" si="20"/>
        <v>NA</v>
      </c>
      <c r="G56" s="1913" t="str">
        <f t="shared" si="20"/>
        <v>NA</v>
      </c>
      <c r="H56" s="691" t="s">
        <v>2146</v>
      </c>
      <c r="I56" s="691" t="s">
        <v>2146</v>
      </c>
      <c r="J56" s="691" t="s">
        <v>2146</v>
      </c>
      <c r="K56" s="3093" t="s">
        <v>2146</v>
      </c>
    </row>
    <row r="57" spans="2:11" ht="18" customHeight="1" x14ac:dyDescent="0.2">
      <c r="B57" s="282" t="s">
        <v>136</v>
      </c>
      <c r="C57" s="691" t="s">
        <v>2146</v>
      </c>
      <c r="D57" s="3076" t="s">
        <v>1814</v>
      </c>
      <c r="E57" s="1913" t="str">
        <f t="shared" si="21"/>
        <v>NA</v>
      </c>
      <c r="F57" s="1913" t="str">
        <f t="shared" si="20"/>
        <v>NA</v>
      </c>
      <c r="G57" s="1913" t="str">
        <f t="shared" si="20"/>
        <v>NA</v>
      </c>
      <c r="H57" s="691" t="s">
        <v>2146</v>
      </c>
      <c r="I57" s="691" t="s">
        <v>2146</v>
      </c>
      <c r="J57" s="691" t="s">
        <v>2146</v>
      </c>
      <c r="K57" s="3093" t="s">
        <v>2146</v>
      </c>
    </row>
    <row r="58" spans="2:11" ht="18" customHeight="1" x14ac:dyDescent="0.2">
      <c r="B58" s="282" t="s">
        <v>137</v>
      </c>
      <c r="C58" s="2190">
        <v>1055.651116670153</v>
      </c>
      <c r="D58" s="3076" t="s">
        <v>1814</v>
      </c>
      <c r="E58" s="3095">
        <f t="shared" si="21"/>
        <v>93.999999999999986</v>
      </c>
      <c r="F58" s="3095">
        <f t="shared" si="20"/>
        <v>9.1666666666666679</v>
      </c>
      <c r="G58" s="3095">
        <f t="shared" si="20"/>
        <v>5.833333333333333</v>
      </c>
      <c r="H58" s="2190">
        <v>99.231204966994369</v>
      </c>
      <c r="I58" s="691">
        <v>9.6768019028097372E-3</v>
      </c>
      <c r="J58" s="691">
        <v>6.1579648472425592E-3</v>
      </c>
      <c r="K58" s="3093" t="s">
        <v>2146</v>
      </c>
    </row>
    <row r="59" spans="2:11" ht="18" customHeight="1" x14ac:dyDescent="0.2">
      <c r="B59" s="1241" t="s">
        <v>157</v>
      </c>
      <c r="C59" s="3094">
        <f>IF(SUM(C61,C68,C75,C82,C89,C96,C103,C112)=0,"NO",SUM(C61,C68,C75,C82,C89,C96,C103,C112))</f>
        <v>90225.347182148966</v>
      </c>
      <c r="D59" s="3076" t="s">
        <v>1814</v>
      </c>
      <c r="E59" s="1914"/>
      <c r="F59" s="1914"/>
      <c r="G59" s="1914"/>
      <c r="H59" s="1913">
        <f>IF(SUM(H61,H68,H75,H82,H89,H96,H103,H112)=0,"NO",SUM(H61,H68,H75,H82,H89,H96,H103,H112))</f>
        <v>5982.4087980610975</v>
      </c>
      <c r="I59" s="1913">
        <f>IF(SUM(I61,I68,I75,I82,I89,I96,I103,I112)=0,"NO",SUM(I61,I68,I75,I82,I89,I96,I103,I112))</f>
        <v>0.314035293093751</v>
      </c>
      <c r="J59" s="1913">
        <f>IF(SUM(J61,J68,J75,J82,J89,J96,J103,J112)=0,"NO",SUM(J61,J68,J75,J82,J89,J96,J103,J112))</f>
        <v>0.25497172349817698</v>
      </c>
      <c r="K59" s="3065" t="str">
        <f>IF(SUM(K61,K68,K75,K82,K89,K96,K103,K112)=0,"NO",SUM(K61,K68,K75,K82,K89,K96,K103,K112))</f>
        <v>NO</v>
      </c>
    </row>
    <row r="60" spans="2:11" ht="18" customHeight="1" x14ac:dyDescent="0.2">
      <c r="B60" s="1242" t="s">
        <v>158</v>
      </c>
      <c r="C60" s="3096"/>
      <c r="D60" s="3097"/>
      <c r="E60" s="3097"/>
      <c r="F60" s="3097"/>
      <c r="G60" s="3097"/>
      <c r="H60" s="3097"/>
      <c r="I60" s="3097"/>
      <c r="J60" s="3097"/>
      <c r="K60" s="3098"/>
    </row>
    <row r="61" spans="2:11" ht="18" customHeight="1" x14ac:dyDescent="0.2">
      <c r="B61" s="1242" t="s">
        <v>159</v>
      </c>
      <c r="C61" s="1913">
        <f>IF(SUM(C62:C67)=0,"NO",SUM(C62:C67))</f>
        <v>5952.6430666179513</v>
      </c>
      <c r="D61" s="3076" t="s">
        <v>1814</v>
      </c>
      <c r="E61" s="628"/>
      <c r="F61" s="628"/>
      <c r="G61" s="628"/>
      <c r="H61" s="1913">
        <f>IF(SUM(H62:H66)=0,"NO",SUM(H62:H66))</f>
        <v>328.22947730316673</v>
      </c>
      <c r="I61" s="1913">
        <f t="shared" ref="I61:K61" si="22">IF(SUM(I62:I67)=0,"NO",SUM(I62:I67))</f>
        <v>3.9322041267521514E-2</v>
      </c>
      <c r="J61" s="1913">
        <f t="shared" si="22"/>
        <v>8.1208839364151457E-3</v>
      </c>
      <c r="K61" s="3065" t="str">
        <f t="shared" si="22"/>
        <v>NO</v>
      </c>
    </row>
    <row r="62" spans="2:11" ht="18" customHeight="1" x14ac:dyDescent="0.2">
      <c r="B62" s="158" t="s">
        <v>132</v>
      </c>
      <c r="C62" s="691">
        <v>1552.6430666179517</v>
      </c>
      <c r="D62" s="3076" t="s">
        <v>1814</v>
      </c>
      <c r="E62" s="1913">
        <f>IFERROR(H62*1000/$C62,"NA")</f>
        <v>65.705401842691103</v>
      </c>
      <c r="F62" s="1913">
        <f t="shared" ref="F62:G67" si="23">IFERROR(I62*1000000/$C62,"NA")</f>
        <v>22.690367171291616</v>
      </c>
      <c r="G62" s="1913">
        <f t="shared" si="23"/>
        <v>2.9264188493189462</v>
      </c>
      <c r="H62" s="691">
        <v>102.01703661040072</v>
      </c>
      <c r="I62" s="691">
        <v>3.5230041267521515E-2</v>
      </c>
      <c r="J62" s="691">
        <v>4.5436839364151466E-3</v>
      </c>
      <c r="K62" s="3093" t="s">
        <v>2146</v>
      </c>
    </row>
    <row r="63" spans="2:11" ht="18" customHeight="1" x14ac:dyDescent="0.2">
      <c r="B63" s="158" t="s">
        <v>133</v>
      </c>
      <c r="C63" s="691" t="s">
        <v>2146</v>
      </c>
      <c r="D63" s="3076" t="s">
        <v>1814</v>
      </c>
      <c r="E63" s="1913" t="str">
        <f t="shared" ref="E63:E67" si="24">IFERROR(H63*1000/$C63,"NA")</f>
        <v>NA</v>
      </c>
      <c r="F63" s="1913" t="str">
        <f t="shared" si="23"/>
        <v>NA</v>
      </c>
      <c r="G63" s="1913" t="str">
        <f t="shared" si="23"/>
        <v>NA</v>
      </c>
      <c r="H63" s="691" t="s">
        <v>2146</v>
      </c>
      <c r="I63" s="691" t="s">
        <v>2146</v>
      </c>
      <c r="J63" s="691" t="s">
        <v>2146</v>
      </c>
      <c r="K63" s="3093" t="s">
        <v>2146</v>
      </c>
    </row>
    <row r="64" spans="2:11" ht="18" customHeight="1" x14ac:dyDescent="0.2">
      <c r="B64" s="158" t="s">
        <v>134</v>
      </c>
      <c r="C64" s="691">
        <v>4399.9999999999991</v>
      </c>
      <c r="D64" s="3076" t="s">
        <v>1814</v>
      </c>
      <c r="E64" s="1913">
        <f t="shared" si="24"/>
        <v>51.411918339265014</v>
      </c>
      <c r="F64" s="1913">
        <f t="shared" si="23"/>
        <v>0.92999999999999994</v>
      </c>
      <c r="G64" s="1913">
        <f t="shared" si="23"/>
        <v>0.81300000000000006</v>
      </c>
      <c r="H64" s="691">
        <v>226.21244069276602</v>
      </c>
      <c r="I64" s="691">
        <v>4.0919999999999993E-3</v>
      </c>
      <c r="J64" s="691">
        <v>3.5771999999999996E-3</v>
      </c>
      <c r="K64" s="3093" t="s">
        <v>2146</v>
      </c>
    </row>
    <row r="65" spans="2:11" ht="18" customHeight="1" x14ac:dyDescent="0.2">
      <c r="B65" s="158" t="s">
        <v>135</v>
      </c>
      <c r="C65" s="691" t="s">
        <v>2146</v>
      </c>
      <c r="D65" s="3076" t="s">
        <v>1814</v>
      </c>
      <c r="E65" s="1913" t="str">
        <f t="shared" si="24"/>
        <v>NA</v>
      </c>
      <c r="F65" s="1913" t="str">
        <f t="shared" si="23"/>
        <v>NA</v>
      </c>
      <c r="G65" s="1913" t="str">
        <f t="shared" si="23"/>
        <v>NA</v>
      </c>
      <c r="H65" s="691" t="s">
        <v>2146</v>
      </c>
      <c r="I65" s="691" t="s">
        <v>2146</v>
      </c>
      <c r="J65" s="691" t="s">
        <v>2146</v>
      </c>
      <c r="K65" s="3093" t="s">
        <v>2146</v>
      </c>
    </row>
    <row r="66" spans="2:11" ht="18" customHeight="1" x14ac:dyDescent="0.2">
      <c r="B66" s="158" t="s">
        <v>136</v>
      </c>
      <c r="C66" s="691" t="s">
        <v>2146</v>
      </c>
      <c r="D66" s="3076" t="s">
        <v>1814</v>
      </c>
      <c r="E66" s="1913" t="str">
        <f t="shared" si="24"/>
        <v>NA</v>
      </c>
      <c r="F66" s="1913" t="str">
        <f t="shared" si="23"/>
        <v>NA</v>
      </c>
      <c r="G66" s="1913" t="str">
        <f t="shared" si="23"/>
        <v>NA</v>
      </c>
      <c r="H66" s="691" t="s">
        <v>2146</v>
      </c>
      <c r="I66" s="691" t="s">
        <v>2146</v>
      </c>
      <c r="J66" s="691" t="s">
        <v>2146</v>
      </c>
      <c r="K66" s="3093" t="s">
        <v>2146</v>
      </c>
    </row>
    <row r="67" spans="2:11" ht="18" customHeight="1" x14ac:dyDescent="0.2">
      <c r="B67" s="158" t="s">
        <v>137</v>
      </c>
      <c r="C67" s="691" t="s">
        <v>2146</v>
      </c>
      <c r="D67" s="3076" t="s">
        <v>1814</v>
      </c>
      <c r="E67" s="1913" t="str">
        <f t="shared" si="24"/>
        <v>NA</v>
      </c>
      <c r="F67" s="1913" t="str">
        <f t="shared" si="23"/>
        <v>NA</v>
      </c>
      <c r="G67" s="1913" t="str">
        <f t="shared" si="23"/>
        <v>NA</v>
      </c>
      <c r="H67" s="691" t="s">
        <v>2146</v>
      </c>
      <c r="I67" s="691" t="s">
        <v>2146</v>
      </c>
      <c r="J67" s="691" t="s">
        <v>2146</v>
      </c>
      <c r="K67" s="3093" t="s">
        <v>2146</v>
      </c>
    </row>
    <row r="68" spans="2:11" ht="18" customHeight="1" x14ac:dyDescent="0.2">
      <c r="B68" s="1242" t="s">
        <v>160</v>
      </c>
      <c r="C68" s="1913" t="str">
        <f>IF(SUM(C69:C73)=0,"IE",SUM(C69:C73))</f>
        <v>IE</v>
      </c>
      <c r="D68" s="3077" t="s">
        <v>1814</v>
      </c>
      <c r="E68" s="628"/>
      <c r="F68" s="628"/>
      <c r="G68" s="628"/>
      <c r="H68" s="1913" t="str">
        <f>IF(SUM(H69:H73)=0,"IE",SUM(H69:H73))</f>
        <v>IE</v>
      </c>
      <c r="I68" s="1913" t="str">
        <f t="shared" ref="I68:J68" si="25">IF(SUM(I69:I73)=0,"IE",SUM(I69:I73))</f>
        <v>IE</v>
      </c>
      <c r="J68" s="1913" t="str">
        <f t="shared" si="25"/>
        <v>IE</v>
      </c>
      <c r="K68" s="3065" t="str">
        <f>IF(SUM(K69:K73)=0,"NO",SUM(K69:K73))</f>
        <v>NO</v>
      </c>
    </row>
    <row r="69" spans="2:11" ht="18" customHeight="1" x14ac:dyDescent="0.2">
      <c r="B69" s="158" t="s">
        <v>132</v>
      </c>
      <c r="C69" s="691" t="s">
        <v>2153</v>
      </c>
      <c r="D69" s="3077" t="s">
        <v>1814</v>
      </c>
      <c r="E69" s="1913" t="str">
        <f>IFERROR(H69*1000/$C69,"NA")</f>
        <v>NA</v>
      </c>
      <c r="F69" s="1913" t="str">
        <f t="shared" ref="F69:G74" si="26">IFERROR(I69*1000000/$C69,"NA")</f>
        <v>NA</v>
      </c>
      <c r="G69" s="1913" t="str">
        <f t="shared" si="26"/>
        <v>NA</v>
      </c>
      <c r="H69" s="691" t="s">
        <v>2153</v>
      </c>
      <c r="I69" s="691" t="s">
        <v>2153</v>
      </c>
      <c r="J69" s="691" t="s">
        <v>2153</v>
      </c>
      <c r="K69" s="3093" t="s">
        <v>2146</v>
      </c>
    </row>
    <row r="70" spans="2:11" ht="18" customHeight="1" x14ac:dyDescent="0.2">
      <c r="B70" s="158" t="s">
        <v>133</v>
      </c>
      <c r="C70" s="691" t="s">
        <v>2153</v>
      </c>
      <c r="D70" s="3077" t="s">
        <v>1814</v>
      </c>
      <c r="E70" s="1913" t="str">
        <f t="shared" ref="E70:E74" si="27">IFERROR(H70*1000/$C70,"NA")</f>
        <v>NA</v>
      </c>
      <c r="F70" s="1913" t="str">
        <f t="shared" si="26"/>
        <v>NA</v>
      </c>
      <c r="G70" s="1913" t="str">
        <f t="shared" si="26"/>
        <v>NA</v>
      </c>
      <c r="H70" s="691" t="s">
        <v>2153</v>
      </c>
      <c r="I70" s="691" t="s">
        <v>2153</v>
      </c>
      <c r="J70" s="691" t="s">
        <v>2153</v>
      </c>
      <c r="K70" s="3093" t="s">
        <v>2146</v>
      </c>
    </row>
    <row r="71" spans="2:11" ht="18" customHeight="1" x14ac:dyDescent="0.2">
      <c r="B71" s="158" t="s">
        <v>134</v>
      </c>
      <c r="C71" s="691" t="s">
        <v>2153</v>
      </c>
      <c r="D71" s="3077" t="s">
        <v>1814</v>
      </c>
      <c r="E71" s="1913" t="str">
        <f t="shared" si="27"/>
        <v>NA</v>
      </c>
      <c r="F71" s="1913" t="str">
        <f t="shared" si="26"/>
        <v>NA</v>
      </c>
      <c r="G71" s="1913" t="str">
        <f t="shared" si="26"/>
        <v>NA</v>
      </c>
      <c r="H71" s="691" t="s">
        <v>2153</v>
      </c>
      <c r="I71" s="691" t="s">
        <v>2153</v>
      </c>
      <c r="J71" s="691" t="s">
        <v>2153</v>
      </c>
      <c r="K71" s="3093" t="s">
        <v>2146</v>
      </c>
    </row>
    <row r="72" spans="2:11" ht="18" customHeight="1" x14ac:dyDescent="0.2">
      <c r="B72" s="158" t="s">
        <v>135</v>
      </c>
      <c r="C72" s="691" t="s">
        <v>2146</v>
      </c>
      <c r="D72" s="3077" t="s">
        <v>1814</v>
      </c>
      <c r="E72" s="1913" t="str">
        <f t="shared" si="27"/>
        <v>NA</v>
      </c>
      <c r="F72" s="1913" t="str">
        <f t="shared" si="26"/>
        <v>NA</v>
      </c>
      <c r="G72" s="1913" t="str">
        <f t="shared" si="26"/>
        <v>NA</v>
      </c>
      <c r="H72" s="691" t="s">
        <v>2146</v>
      </c>
      <c r="I72" s="691" t="s">
        <v>2146</v>
      </c>
      <c r="J72" s="691" t="s">
        <v>2146</v>
      </c>
      <c r="K72" s="3093" t="s">
        <v>2146</v>
      </c>
    </row>
    <row r="73" spans="2:11" ht="18" customHeight="1" x14ac:dyDescent="0.2">
      <c r="B73" s="158" t="s">
        <v>136</v>
      </c>
      <c r="C73" s="691" t="s">
        <v>2146</v>
      </c>
      <c r="D73" s="3077" t="s">
        <v>1814</v>
      </c>
      <c r="E73" s="1913" t="str">
        <f t="shared" si="27"/>
        <v>NA</v>
      </c>
      <c r="F73" s="1913" t="str">
        <f t="shared" si="26"/>
        <v>NA</v>
      </c>
      <c r="G73" s="1913" t="str">
        <f t="shared" si="26"/>
        <v>NA</v>
      </c>
      <c r="H73" s="691" t="s">
        <v>2146</v>
      </c>
      <c r="I73" s="691" t="s">
        <v>2146</v>
      </c>
      <c r="J73" s="691" t="s">
        <v>2146</v>
      </c>
      <c r="K73" s="3093" t="s">
        <v>2146</v>
      </c>
    </row>
    <row r="74" spans="2:11" ht="18" customHeight="1" x14ac:dyDescent="0.2">
      <c r="B74" s="158" t="s">
        <v>137</v>
      </c>
      <c r="C74" s="691" t="s">
        <v>2153</v>
      </c>
      <c r="D74" s="3076" t="s">
        <v>1814</v>
      </c>
      <c r="E74" s="1913" t="str">
        <f t="shared" si="27"/>
        <v>NA</v>
      </c>
      <c r="F74" s="1913" t="str">
        <f t="shared" si="26"/>
        <v>NA</v>
      </c>
      <c r="G74" s="1913" t="str">
        <f t="shared" si="26"/>
        <v>NA</v>
      </c>
      <c r="H74" s="691" t="s">
        <v>2153</v>
      </c>
      <c r="I74" s="691" t="s">
        <v>2153</v>
      </c>
      <c r="J74" s="691" t="s">
        <v>2153</v>
      </c>
      <c r="K74" s="3093" t="s">
        <v>2146</v>
      </c>
    </row>
    <row r="75" spans="2:11" ht="18" customHeight="1" x14ac:dyDescent="0.2">
      <c r="B75" s="1242" t="s">
        <v>161</v>
      </c>
      <c r="C75" s="1913">
        <f>IF(SUM(C76:C81)=0,"NO",SUM(C76:C81))</f>
        <v>46726.743285306402</v>
      </c>
      <c r="D75" s="3077" t="s">
        <v>1814</v>
      </c>
      <c r="E75" s="628"/>
      <c r="F75" s="628"/>
      <c r="G75" s="628"/>
      <c r="H75" s="1913">
        <f>IF(SUM(H76:H80)=0,"NO",SUM(H76:H80))</f>
        <v>3219.7408101720621</v>
      </c>
      <c r="I75" s="1913">
        <f t="shared" ref="I75:K75" si="28">IF(SUM(I76:I81)=0,"NO",SUM(I76:I81))</f>
        <v>0.15450122167800737</v>
      </c>
      <c r="J75" s="1913">
        <f t="shared" si="28"/>
        <v>0.15152684140175535</v>
      </c>
      <c r="K75" s="3065" t="str">
        <f t="shared" si="28"/>
        <v>NO</v>
      </c>
    </row>
    <row r="76" spans="2:11" ht="18" customHeight="1" x14ac:dyDescent="0.2">
      <c r="B76" s="158" t="s">
        <v>132</v>
      </c>
      <c r="C76" s="691">
        <v>44348.072547924283</v>
      </c>
      <c r="D76" s="3077" t="s">
        <v>1814</v>
      </c>
      <c r="E76" s="1913">
        <f>IFERROR(H76*1000/$C76,"NA")</f>
        <v>69.522144815564829</v>
      </c>
      <c r="F76" s="1913">
        <f t="shared" ref="F76:G81" si="29">IFERROR(I76*1000000/$C76,"NA")</f>
        <v>3.3836142618900089</v>
      </c>
      <c r="G76" s="1913">
        <f t="shared" si="29"/>
        <v>3.3700086980289345</v>
      </c>
      <c r="H76" s="691">
        <v>3083.1731219679673</v>
      </c>
      <c r="I76" s="691">
        <v>0.1500567707604894</v>
      </c>
      <c r="J76" s="691">
        <v>0.14945339022732304</v>
      </c>
      <c r="K76" s="3093" t="s">
        <v>2146</v>
      </c>
    </row>
    <row r="77" spans="2:11" ht="18" customHeight="1" x14ac:dyDescent="0.2">
      <c r="B77" s="158" t="s">
        <v>133</v>
      </c>
      <c r="C77" s="691">
        <v>248.7650981378963</v>
      </c>
      <c r="D77" s="3077" t="s">
        <v>1814</v>
      </c>
      <c r="E77" s="1913">
        <f t="shared" ref="E77:E81" si="30">IFERROR(H77*1000/$C77,"NA")</f>
        <v>108.79803321094397</v>
      </c>
      <c r="F77" s="1913">
        <f t="shared" si="29"/>
        <v>0.95238095238095244</v>
      </c>
      <c r="G77" s="1913">
        <f t="shared" si="29"/>
        <v>0.75923809523809538</v>
      </c>
      <c r="H77" s="691">
        <v>27.065153408930581</v>
      </c>
      <c r="I77" s="691">
        <v>2.3691914108371078E-4</v>
      </c>
      <c r="J77" s="691">
        <v>1.8887193927193425E-4</v>
      </c>
      <c r="K77" s="3093" t="s">
        <v>2146</v>
      </c>
    </row>
    <row r="78" spans="2:11" ht="18" customHeight="1" x14ac:dyDescent="0.2">
      <c r="B78" s="158" t="s">
        <v>134</v>
      </c>
      <c r="C78" s="691">
        <v>2129.905639244223</v>
      </c>
      <c r="D78" s="3077" t="s">
        <v>1814</v>
      </c>
      <c r="E78" s="1913">
        <f t="shared" si="30"/>
        <v>51.411918339265</v>
      </c>
      <c r="F78" s="1913">
        <f t="shared" si="29"/>
        <v>1.9754545454545456</v>
      </c>
      <c r="G78" s="1913">
        <f t="shared" si="29"/>
        <v>0.88481818181818161</v>
      </c>
      <c r="H78" s="691">
        <v>109.50253479516401</v>
      </c>
      <c r="I78" s="691">
        <v>4.2075317764342698E-3</v>
      </c>
      <c r="J78" s="691">
        <v>1.8845792351603653E-3</v>
      </c>
      <c r="K78" s="3093" t="s">
        <v>2146</v>
      </c>
    </row>
    <row r="79" spans="2:11" ht="18" customHeight="1" x14ac:dyDescent="0.2">
      <c r="B79" s="158" t="s">
        <v>135</v>
      </c>
      <c r="C79" s="691" t="s">
        <v>2146</v>
      </c>
      <c r="D79" s="3076" t="s">
        <v>1814</v>
      </c>
      <c r="E79" s="1913" t="str">
        <f t="shared" si="30"/>
        <v>NA</v>
      </c>
      <c r="F79" s="1913" t="str">
        <f t="shared" si="29"/>
        <v>NA</v>
      </c>
      <c r="G79" s="1913" t="str">
        <f t="shared" si="29"/>
        <v>NA</v>
      </c>
      <c r="H79" s="691" t="s">
        <v>2146</v>
      </c>
      <c r="I79" s="691" t="s">
        <v>2146</v>
      </c>
      <c r="J79" s="691" t="s">
        <v>2146</v>
      </c>
      <c r="K79" s="3093" t="s">
        <v>2146</v>
      </c>
    </row>
    <row r="80" spans="2:11" ht="18" customHeight="1" x14ac:dyDescent="0.2">
      <c r="B80" s="158" t="s">
        <v>136</v>
      </c>
      <c r="C80" s="691" t="s">
        <v>2146</v>
      </c>
      <c r="D80" s="3076" t="s">
        <v>1814</v>
      </c>
      <c r="E80" s="1913" t="str">
        <f t="shared" si="30"/>
        <v>NA</v>
      </c>
      <c r="F80" s="1913" t="str">
        <f t="shared" si="29"/>
        <v>NA</v>
      </c>
      <c r="G80" s="1913" t="str">
        <f t="shared" si="29"/>
        <v>NA</v>
      </c>
      <c r="H80" s="691" t="s">
        <v>2146</v>
      </c>
      <c r="I80" s="691" t="s">
        <v>2146</v>
      </c>
      <c r="J80" s="691" t="s">
        <v>2146</v>
      </c>
      <c r="K80" s="3093" t="s">
        <v>2146</v>
      </c>
    </row>
    <row r="81" spans="2:11" ht="18" customHeight="1" x14ac:dyDescent="0.2">
      <c r="B81" s="158" t="s">
        <v>137</v>
      </c>
      <c r="C81" s="691" t="s">
        <v>2146</v>
      </c>
      <c r="D81" s="3076" t="s">
        <v>1814</v>
      </c>
      <c r="E81" s="1913" t="str">
        <f t="shared" si="30"/>
        <v>NA</v>
      </c>
      <c r="F81" s="1913" t="str">
        <f t="shared" si="29"/>
        <v>NA</v>
      </c>
      <c r="G81" s="1913" t="str">
        <f t="shared" si="29"/>
        <v>NA</v>
      </c>
      <c r="H81" s="691" t="s">
        <v>2146</v>
      </c>
      <c r="I81" s="691" t="s">
        <v>2146</v>
      </c>
      <c r="J81" s="691" t="s">
        <v>2146</v>
      </c>
      <c r="K81" s="3093" t="s">
        <v>2146</v>
      </c>
    </row>
    <row r="82" spans="2:11" ht="18" customHeight="1" x14ac:dyDescent="0.2">
      <c r="B82" s="1242" t="s">
        <v>162</v>
      </c>
      <c r="C82" s="1913" t="str">
        <f>IF(SUM(C83:C87)=0,"IE",SUM(C83:C87))</f>
        <v>IE</v>
      </c>
      <c r="D82" s="3077" t="s">
        <v>1814</v>
      </c>
      <c r="E82" s="628"/>
      <c r="F82" s="628"/>
      <c r="G82" s="628"/>
      <c r="H82" s="1913" t="str">
        <f>IF(SUM(H83:H87)=0,"IE",SUM(H83:H87))</f>
        <v>IE</v>
      </c>
      <c r="I82" s="1913" t="str">
        <f t="shared" ref="I82" si="31">IF(SUM(I83:I87)=0,"IE",SUM(I83:I87))</f>
        <v>IE</v>
      </c>
      <c r="J82" s="1913" t="str">
        <f t="shared" ref="J82" si="32">IF(SUM(J83:J87)=0,"IE",SUM(J83:J87))</f>
        <v>IE</v>
      </c>
      <c r="K82" s="3065" t="str">
        <f>IF(SUM(K83:K87)=0,"NO",SUM(K83:K87))</f>
        <v>NO</v>
      </c>
    </row>
    <row r="83" spans="2:11" ht="18" customHeight="1" x14ac:dyDescent="0.2">
      <c r="B83" s="158" t="s">
        <v>132</v>
      </c>
      <c r="C83" s="691" t="s">
        <v>2153</v>
      </c>
      <c r="D83" s="3077" t="s">
        <v>1814</v>
      </c>
      <c r="E83" s="1913" t="str">
        <f>IFERROR(H83*1000/$C83,"NA")</f>
        <v>NA</v>
      </c>
      <c r="F83" s="1913" t="str">
        <f t="shared" ref="F83:F88" si="33">IFERROR(I83*1000000/$C83,"NA")</f>
        <v>NA</v>
      </c>
      <c r="G83" s="1913" t="str">
        <f t="shared" ref="G83:G88" si="34">IFERROR(J83*1000000/$C83,"NA")</f>
        <v>NA</v>
      </c>
      <c r="H83" s="691" t="s">
        <v>2153</v>
      </c>
      <c r="I83" s="691" t="s">
        <v>2153</v>
      </c>
      <c r="J83" s="691" t="s">
        <v>2153</v>
      </c>
      <c r="K83" s="3093" t="s">
        <v>2146</v>
      </c>
    </row>
    <row r="84" spans="2:11" ht="18" customHeight="1" x14ac:dyDescent="0.2">
      <c r="B84" s="158" t="s">
        <v>163</v>
      </c>
      <c r="C84" s="691" t="s">
        <v>2153</v>
      </c>
      <c r="D84" s="3077" t="s">
        <v>1814</v>
      </c>
      <c r="E84" s="1913" t="str">
        <f t="shared" ref="E84:E88" si="35">IFERROR(H84*1000/$C84,"NA")</f>
        <v>NA</v>
      </c>
      <c r="F84" s="1913" t="str">
        <f t="shared" si="33"/>
        <v>NA</v>
      </c>
      <c r="G84" s="1913" t="str">
        <f t="shared" si="34"/>
        <v>NA</v>
      </c>
      <c r="H84" s="691" t="s">
        <v>2153</v>
      </c>
      <c r="I84" s="691" t="s">
        <v>2153</v>
      </c>
      <c r="J84" s="691" t="s">
        <v>2153</v>
      </c>
      <c r="K84" s="3093" t="s">
        <v>2146</v>
      </c>
    </row>
    <row r="85" spans="2:11" ht="18" customHeight="1" x14ac:dyDescent="0.2">
      <c r="B85" s="158" t="s">
        <v>134</v>
      </c>
      <c r="C85" s="691" t="s">
        <v>2153</v>
      </c>
      <c r="D85" s="3077" t="s">
        <v>1814</v>
      </c>
      <c r="E85" s="1913" t="str">
        <f t="shared" si="35"/>
        <v>NA</v>
      </c>
      <c r="F85" s="1913" t="str">
        <f t="shared" si="33"/>
        <v>NA</v>
      </c>
      <c r="G85" s="1913" t="str">
        <f t="shared" si="34"/>
        <v>NA</v>
      </c>
      <c r="H85" s="691" t="s">
        <v>2153</v>
      </c>
      <c r="I85" s="691" t="s">
        <v>2153</v>
      </c>
      <c r="J85" s="691" t="s">
        <v>2153</v>
      </c>
      <c r="K85" s="3093" t="s">
        <v>2146</v>
      </c>
    </row>
    <row r="86" spans="2:11" ht="18" customHeight="1" x14ac:dyDescent="0.2">
      <c r="B86" s="158" t="s">
        <v>135</v>
      </c>
      <c r="C86" s="691" t="s">
        <v>2146</v>
      </c>
      <c r="D86" s="3077" t="s">
        <v>1814</v>
      </c>
      <c r="E86" s="1913" t="str">
        <f t="shared" si="35"/>
        <v>NA</v>
      </c>
      <c r="F86" s="1913" t="str">
        <f t="shared" si="33"/>
        <v>NA</v>
      </c>
      <c r="G86" s="1913" t="str">
        <f t="shared" si="34"/>
        <v>NA</v>
      </c>
      <c r="H86" s="691" t="s">
        <v>2146</v>
      </c>
      <c r="I86" s="691" t="s">
        <v>2146</v>
      </c>
      <c r="J86" s="691" t="s">
        <v>2146</v>
      </c>
      <c r="K86" s="3093" t="s">
        <v>2146</v>
      </c>
    </row>
    <row r="87" spans="2:11" ht="18" customHeight="1" x14ac:dyDescent="0.2">
      <c r="B87" s="158" t="s">
        <v>136</v>
      </c>
      <c r="C87" s="691" t="s">
        <v>2146</v>
      </c>
      <c r="D87" s="3077" t="s">
        <v>1814</v>
      </c>
      <c r="E87" s="1913" t="str">
        <f t="shared" si="35"/>
        <v>NA</v>
      </c>
      <c r="F87" s="1913" t="str">
        <f t="shared" si="33"/>
        <v>NA</v>
      </c>
      <c r="G87" s="1913" t="str">
        <f t="shared" si="34"/>
        <v>NA</v>
      </c>
      <c r="H87" s="691" t="s">
        <v>2146</v>
      </c>
      <c r="I87" s="691" t="s">
        <v>2146</v>
      </c>
      <c r="J87" s="691" t="s">
        <v>2146</v>
      </c>
      <c r="K87" s="3093" t="s">
        <v>2146</v>
      </c>
    </row>
    <row r="88" spans="2:11" ht="18" customHeight="1" x14ac:dyDescent="0.2">
      <c r="B88" s="158" t="s">
        <v>137</v>
      </c>
      <c r="C88" s="691" t="s">
        <v>2153</v>
      </c>
      <c r="D88" s="3076" t="s">
        <v>1814</v>
      </c>
      <c r="E88" s="1913" t="str">
        <f t="shared" si="35"/>
        <v>NA</v>
      </c>
      <c r="F88" s="1913" t="str">
        <f t="shared" si="33"/>
        <v>NA</v>
      </c>
      <c r="G88" s="1913" t="str">
        <f t="shared" si="34"/>
        <v>NA</v>
      </c>
      <c r="H88" s="691" t="s">
        <v>2153</v>
      </c>
      <c r="I88" s="691" t="s">
        <v>2153</v>
      </c>
      <c r="J88" s="691" t="s">
        <v>2153</v>
      </c>
      <c r="K88" s="3093" t="s">
        <v>2146</v>
      </c>
    </row>
    <row r="89" spans="2:11" ht="18" customHeight="1" x14ac:dyDescent="0.2">
      <c r="B89" s="1242" t="s">
        <v>164</v>
      </c>
      <c r="C89" s="1913">
        <f>IF(SUM(C90:C95)=0,"NO",SUM(C90:C95))</f>
        <v>26035.038449117466</v>
      </c>
      <c r="D89" s="3077" t="s">
        <v>1814</v>
      </c>
      <c r="E89" s="628"/>
      <c r="F89" s="628"/>
      <c r="G89" s="628"/>
      <c r="H89" s="1913">
        <f>IF(SUM(H90:H94)=0,"NO",SUM(H90:H94))</f>
        <v>1761.4540093197747</v>
      </c>
      <c r="I89" s="1913">
        <f t="shared" ref="I89:K89" si="36">IF(SUM(I90:I95)=0,"NO",SUM(I90:I95))</f>
        <v>8.7435557815414608E-2</v>
      </c>
      <c r="J89" s="1913">
        <f t="shared" si="36"/>
        <v>8.503005889785438E-2</v>
      </c>
      <c r="K89" s="3065" t="str">
        <f t="shared" si="36"/>
        <v>NO</v>
      </c>
    </row>
    <row r="90" spans="2:11" ht="18" customHeight="1" x14ac:dyDescent="0.2">
      <c r="B90" s="158" t="s">
        <v>132</v>
      </c>
      <c r="C90" s="691">
        <v>22926.135854220047</v>
      </c>
      <c r="D90" s="3077" t="s">
        <v>1814</v>
      </c>
      <c r="E90" s="1913">
        <f>IFERROR(H90*1000/$C90,"NA")</f>
        <v>69.859978723425698</v>
      </c>
      <c r="F90" s="1913">
        <f t="shared" ref="F90:G95" si="37">IFERROR(I90*1000000/$C90,"NA")</f>
        <v>3.6905165033980234</v>
      </c>
      <c r="G90" s="1913">
        <f t="shared" si="37"/>
        <v>3.5855926325435532</v>
      </c>
      <c r="H90" s="691">
        <v>1601.6193629861796</v>
      </c>
      <c r="I90" s="691">
        <v>8.4609282729144225E-2</v>
      </c>
      <c r="J90" s="691">
        <v>8.2203783811583997E-2</v>
      </c>
      <c r="K90" s="3093" t="s">
        <v>2146</v>
      </c>
    </row>
    <row r="91" spans="2:11" ht="18" customHeight="1" x14ac:dyDescent="0.2">
      <c r="B91" s="158" t="s">
        <v>133</v>
      </c>
      <c r="C91" s="691" t="s">
        <v>2146</v>
      </c>
      <c r="D91" s="3077" t="s">
        <v>1814</v>
      </c>
      <c r="E91" s="1913" t="str">
        <f t="shared" ref="E91:E95" si="38">IFERROR(H91*1000/$C91,"NA")</f>
        <v>NA</v>
      </c>
      <c r="F91" s="1913" t="str">
        <f t="shared" si="37"/>
        <v>NA</v>
      </c>
      <c r="G91" s="1913" t="str">
        <f t="shared" si="37"/>
        <v>NA</v>
      </c>
      <c r="H91" s="691" t="s">
        <v>2146</v>
      </c>
      <c r="I91" s="691" t="s">
        <v>2146</v>
      </c>
      <c r="J91" s="691" t="s">
        <v>2146</v>
      </c>
      <c r="K91" s="3093" t="s">
        <v>2146</v>
      </c>
    </row>
    <row r="92" spans="2:11" ht="18" customHeight="1" x14ac:dyDescent="0.2">
      <c r="B92" s="158" t="s">
        <v>134</v>
      </c>
      <c r="C92" s="691">
        <v>3108.9025948974204</v>
      </c>
      <c r="D92" s="3077" t="s">
        <v>1814</v>
      </c>
      <c r="E92" s="1913">
        <f t="shared" si="38"/>
        <v>51.411918339264993</v>
      </c>
      <c r="F92" s="1913">
        <f t="shared" si="37"/>
        <v>0.90909090909090884</v>
      </c>
      <c r="G92" s="1913">
        <f t="shared" si="37"/>
        <v>0.90909090909090884</v>
      </c>
      <c r="H92" s="691">
        <v>159.8346463335952</v>
      </c>
      <c r="I92" s="691">
        <v>2.8262750862703815E-3</v>
      </c>
      <c r="J92" s="691">
        <v>2.8262750862703815E-3</v>
      </c>
      <c r="K92" s="3093" t="s">
        <v>2146</v>
      </c>
    </row>
    <row r="93" spans="2:11" ht="18" customHeight="1" x14ac:dyDescent="0.2">
      <c r="B93" s="158" t="s">
        <v>135</v>
      </c>
      <c r="C93" s="691" t="s">
        <v>2146</v>
      </c>
      <c r="D93" s="3077" t="s">
        <v>1814</v>
      </c>
      <c r="E93" s="1913" t="str">
        <f t="shared" ref="E93:E94" si="39">IFERROR(H93*1000/$C93,"NA")</f>
        <v>NA</v>
      </c>
      <c r="F93" s="1913" t="str">
        <f t="shared" ref="F93:F94" si="40">IFERROR(I93*1000000/$C93,"NA")</f>
        <v>NA</v>
      </c>
      <c r="G93" s="1913" t="str">
        <f t="shared" ref="G93:G94" si="41">IFERROR(J93*1000000/$C93,"NA")</f>
        <v>NA</v>
      </c>
      <c r="H93" s="691" t="s">
        <v>2146</v>
      </c>
      <c r="I93" s="691" t="s">
        <v>2146</v>
      </c>
      <c r="J93" s="691" t="s">
        <v>2146</v>
      </c>
      <c r="K93" s="3093" t="s">
        <v>2146</v>
      </c>
    </row>
    <row r="94" spans="2:11" ht="18" customHeight="1" x14ac:dyDescent="0.2">
      <c r="B94" s="158" t="s">
        <v>136</v>
      </c>
      <c r="C94" s="691" t="s">
        <v>2146</v>
      </c>
      <c r="D94" s="3077" t="s">
        <v>1814</v>
      </c>
      <c r="E94" s="1913" t="str">
        <f t="shared" si="39"/>
        <v>NA</v>
      </c>
      <c r="F94" s="1913" t="str">
        <f t="shared" si="40"/>
        <v>NA</v>
      </c>
      <c r="G94" s="1913" t="str">
        <f t="shared" si="41"/>
        <v>NA</v>
      </c>
      <c r="H94" s="691" t="s">
        <v>2146</v>
      </c>
      <c r="I94" s="691" t="s">
        <v>2146</v>
      </c>
      <c r="J94" s="691" t="s">
        <v>2146</v>
      </c>
      <c r="K94" s="3093" t="s">
        <v>2146</v>
      </c>
    </row>
    <row r="95" spans="2:11" ht="18" customHeight="1" x14ac:dyDescent="0.2">
      <c r="B95" s="158" t="s">
        <v>137</v>
      </c>
      <c r="C95" s="691" t="s">
        <v>2146</v>
      </c>
      <c r="D95" s="3076" t="s">
        <v>1814</v>
      </c>
      <c r="E95" s="1913" t="str">
        <f t="shared" si="38"/>
        <v>NA</v>
      </c>
      <c r="F95" s="1913" t="str">
        <f t="shared" si="37"/>
        <v>NA</v>
      </c>
      <c r="G95" s="1913" t="str">
        <f t="shared" si="37"/>
        <v>NA</v>
      </c>
      <c r="H95" s="691" t="s">
        <v>2146</v>
      </c>
      <c r="I95" s="691" t="s">
        <v>2146</v>
      </c>
      <c r="J95" s="691" t="s">
        <v>2146</v>
      </c>
      <c r="K95" s="3093" t="s">
        <v>2146</v>
      </c>
    </row>
    <row r="96" spans="2:11" ht="18" customHeight="1" x14ac:dyDescent="0.2">
      <c r="B96" s="1242" t="s">
        <v>165</v>
      </c>
      <c r="C96" s="1913">
        <f>IF(SUM(C97:C102)=0,"NO",SUM(C97:C102))</f>
        <v>8151.61</v>
      </c>
      <c r="D96" s="3076" t="s">
        <v>1814</v>
      </c>
      <c r="E96" s="628"/>
      <c r="F96" s="628"/>
      <c r="G96" s="628"/>
      <c r="H96" s="1913">
        <f>IF(SUM(H97:H101)=0,"NO",SUM(H97:H101))</f>
        <v>467.67338933446126</v>
      </c>
      <c r="I96" s="1913">
        <f t="shared" ref="I96:K96" si="42">IF(SUM(I97:I102)=0,"NO",SUM(I97:I102))</f>
        <v>7.3835119445887437E-3</v>
      </c>
      <c r="J96" s="1913">
        <f t="shared" si="42"/>
        <v>6.9809594143722944E-3</v>
      </c>
      <c r="K96" s="3065" t="str">
        <f t="shared" si="42"/>
        <v>NO</v>
      </c>
    </row>
    <row r="97" spans="2:11" ht="18" customHeight="1" x14ac:dyDescent="0.2">
      <c r="B97" s="158" t="s">
        <v>132</v>
      </c>
      <c r="C97" s="691">
        <v>964.09999999999991</v>
      </c>
      <c r="D97" s="3076" t="s">
        <v>1814</v>
      </c>
      <c r="E97" s="1913">
        <f>IFERROR(H97*1000/$C97,"NA")</f>
        <v>67.876236904885388</v>
      </c>
      <c r="F97" s="1913">
        <f t="shared" ref="F97:G102" si="43">IFERROR(I97*1000000/$C97,"NA")</f>
        <v>0.79644886040903062</v>
      </c>
      <c r="G97" s="1913">
        <f t="shared" si="43"/>
        <v>1.0959013843743644</v>
      </c>
      <c r="H97" s="691">
        <v>65.439480000000003</v>
      </c>
      <c r="I97" s="691">
        <v>7.6785634632034634E-4</v>
      </c>
      <c r="J97" s="691">
        <v>1.0565585246753246E-3</v>
      </c>
      <c r="K97" s="3093" t="s">
        <v>2146</v>
      </c>
    </row>
    <row r="98" spans="2:11" ht="18" customHeight="1" x14ac:dyDescent="0.2">
      <c r="B98" s="158" t="s">
        <v>133</v>
      </c>
      <c r="C98" s="691">
        <v>813.02</v>
      </c>
      <c r="D98" s="3076" t="s">
        <v>1814</v>
      </c>
      <c r="E98" s="1913">
        <f t="shared" ref="E98:E102" si="44">IFERROR(H98*1000/$C98,"NA")</f>
        <v>91.644916484219337</v>
      </c>
      <c r="F98" s="1913">
        <f t="shared" si="43"/>
        <v>0.95238095238095222</v>
      </c>
      <c r="G98" s="1913">
        <f t="shared" si="43"/>
        <v>0.66666666666666663</v>
      </c>
      <c r="H98" s="691">
        <v>74.509150000000005</v>
      </c>
      <c r="I98" s="691">
        <v>7.7430476190476179E-4</v>
      </c>
      <c r="J98" s="691">
        <v>5.4201333333333331E-4</v>
      </c>
      <c r="K98" s="3093" t="s">
        <v>2146</v>
      </c>
    </row>
    <row r="99" spans="2:11" ht="18" customHeight="1" x14ac:dyDescent="0.2">
      <c r="B99" s="158" t="s">
        <v>134</v>
      </c>
      <c r="C99" s="691">
        <v>6374.49</v>
      </c>
      <c r="D99" s="3076" t="s">
        <v>1814</v>
      </c>
      <c r="E99" s="1913">
        <f t="shared" si="44"/>
        <v>51.411918339264993</v>
      </c>
      <c r="F99" s="1913">
        <f t="shared" si="43"/>
        <v>0.91636363636363627</v>
      </c>
      <c r="G99" s="1913">
        <f t="shared" si="43"/>
        <v>0.84436363636363643</v>
      </c>
      <c r="H99" s="691">
        <v>327.72475933446128</v>
      </c>
      <c r="I99" s="691">
        <v>5.8413508363636358E-3</v>
      </c>
      <c r="J99" s="691">
        <v>5.3823875563636363E-3</v>
      </c>
      <c r="K99" s="3093" t="s">
        <v>2146</v>
      </c>
    </row>
    <row r="100" spans="2:11" ht="18" customHeight="1" x14ac:dyDescent="0.2">
      <c r="B100" s="158" t="s">
        <v>135</v>
      </c>
      <c r="C100" s="691" t="s">
        <v>2146</v>
      </c>
      <c r="D100" s="3077" t="s">
        <v>1814</v>
      </c>
      <c r="E100" s="1913" t="str">
        <f t="shared" si="44"/>
        <v>NA</v>
      </c>
      <c r="F100" s="1913" t="str">
        <f t="shared" si="43"/>
        <v>NA</v>
      </c>
      <c r="G100" s="1913" t="str">
        <f t="shared" si="43"/>
        <v>NA</v>
      </c>
      <c r="H100" s="691" t="s">
        <v>2146</v>
      </c>
      <c r="I100" s="691" t="s">
        <v>2146</v>
      </c>
      <c r="J100" s="691" t="s">
        <v>2146</v>
      </c>
      <c r="K100" s="3093" t="s">
        <v>2146</v>
      </c>
    </row>
    <row r="101" spans="2:11" ht="18" customHeight="1" x14ac:dyDescent="0.2">
      <c r="B101" s="158" t="s">
        <v>136</v>
      </c>
      <c r="C101" s="691" t="s">
        <v>2146</v>
      </c>
      <c r="D101" s="3077" t="s">
        <v>1814</v>
      </c>
      <c r="E101" s="1913" t="str">
        <f t="shared" si="44"/>
        <v>NA</v>
      </c>
      <c r="F101" s="1913" t="str">
        <f t="shared" si="43"/>
        <v>NA</v>
      </c>
      <c r="G101" s="1913" t="str">
        <f t="shared" si="43"/>
        <v>NA</v>
      </c>
      <c r="H101" s="691" t="s">
        <v>2146</v>
      </c>
      <c r="I101" s="691" t="s">
        <v>2146</v>
      </c>
      <c r="J101" s="691" t="s">
        <v>2146</v>
      </c>
      <c r="K101" s="3093" t="s">
        <v>2146</v>
      </c>
    </row>
    <row r="102" spans="2:11" ht="18" customHeight="1" x14ac:dyDescent="0.2">
      <c r="B102" s="158" t="s">
        <v>137</v>
      </c>
      <c r="C102" s="691" t="s">
        <v>2146</v>
      </c>
      <c r="D102" s="3077" t="s">
        <v>1814</v>
      </c>
      <c r="E102" s="1913" t="str">
        <f t="shared" si="44"/>
        <v>NA</v>
      </c>
      <c r="F102" s="1913" t="str">
        <f t="shared" si="43"/>
        <v>NA</v>
      </c>
      <c r="G102" s="1913" t="str">
        <f t="shared" si="43"/>
        <v>NA</v>
      </c>
      <c r="H102" s="691" t="s">
        <v>2146</v>
      </c>
      <c r="I102" s="691" t="s">
        <v>2146</v>
      </c>
      <c r="J102" s="691" t="s">
        <v>2146</v>
      </c>
      <c r="K102" s="3093" t="s">
        <v>2146</v>
      </c>
    </row>
    <row r="103" spans="2:11" ht="18" customHeight="1" x14ac:dyDescent="0.2">
      <c r="B103" s="1242" t="s">
        <v>166</v>
      </c>
      <c r="C103" s="1913" t="str">
        <f>IF(SUM(C104:C107,C109:C111)=0,"IE",SUM(C104:C107,C109:C111))</f>
        <v>IE</v>
      </c>
      <c r="D103" s="3076" t="s">
        <v>1814</v>
      </c>
      <c r="E103" s="628"/>
      <c r="F103" s="628"/>
      <c r="G103" s="628"/>
      <c r="H103" s="1913" t="str">
        <f>IF(SUM(H104:H107,H109:H110)=0,"IE",SUM(H104:H107,H109:H110))</f>
        <v>IE</v>
      </c>
      <c r="I103" s="1913" t="str">
        <f t="shared" ref="I103:J103" si="45">IF(SUM(I104:I107,I109:I110)=0,"IE",SUM(I104:I107,I109:I110))</f>
        <v>IE</v>
      </c>
      <c r="J103" s="1913" t="str">
        <f t="shared" si="45"/>
        <v>IE</v>
      </c>
      <c r="K103" s="3065" t="str">
        <f>IF(SUM(K104:K107,K109:K110)=0,"NO",SUM(K104:K107,K109:K110))</f>
        <v>NO</v>
      </c>
    </row>
    <row r="104" spans="2:11" ht="18" customHeight="1" x14ac:dyDescent="0.2">
      <c r="B104" s="158" t="s">
        <v>167</v>
      </c>
      <c r="C104" s="691" t="s">
        <v>2153</v>
      </c>
      <c r="D104" s="3076" t="s">
        <v>1814</v>
      </c>
      <c r="E104" s="1913" t="str">
        <f t="shared" ref="E104:E106" si="46">IFERROR(H104*1000/$C104,"NA")</f>
        <v>NA</v>
      </c>
      <c r="F104" s="1913" t="str">
        <f t="shared" ref="F104:G106" si="47">IFERROR(I104*1000000/$C104,"NA")</f>
        <v>NA</v>
      </c>
      <c r="G104" s="1913" t="str">
        <f t="shared" si="47"/>
        <v>NA</v>
      </c>
      <c r="H104" s="691" t="s">
        <v>2153</v>
      </c>
      <c r="I104" s="691" t="s">
        <v>2153</v>
      </c>
      <c r="J104" s="691" t="s">
        <v>2153</v>
      </c>
      <c r="K104" s="3093" t="s">
        <v>2146</v>
      </c>
    </row>
    <row r="105" spans="2:11" ht="18" customHeight="1" x14ac:dyDescent="0.2">
      <c r="B105" s="158" t="s">
        <v>168</v>
      </c>
      <c r="C105" s="691" t="s">
        <v>2153</v>
      </c>
      <c r="D105" s="3076" t="s">
        <v>1814</v>
      </c>
      <c r="E105" s="1913" t="str">
        <f t="shared" si="46"/>
        <v>NA</v>
      </c>
      <c r="F105" s="1913" t="str">
        <f t="shared" si="47"/>
        <v>NA</v>
      </c>
      <c r="G105" s="1913" t="str">
        <f t="shared" si="47"/>
        <v>NA</v>
      </c>
      <c r="H105" s="691" t="s">
        <v>2153</v>
      </c>
      <c r="I105" s="691" t="s">
        <v>2153</v>
      </c>
      <c r="J105" s="691" t="s">
        <v>2153</v>
      </c>
      <c r="K105" s="3093" t="s">
        <v>2146</v>
      </c>
    </row>
    <row r="106" spans="2:11" ht="18" customHeight="1" x14ac:dyDescent="0.2">
      <c r="B106" s="158" t="s">
        <v>169</v>
      </c>
      <c r="C106" s="691" t="s">
        <v>2153</v>
      </c>
      <c r="D106" s="3076" t="s">
        <v>1814</v>
      </c>
      <c r="E106" s="1913" t="str">
        <f t="shared" si="46"/>
        <v>NA</v>
      </c>
      <c r="F106" s="1913" t="str">
        <f t="shared" si="47"/>
        <v>NA</v>
      </c>
      <c r="G106" s="1913" t="str">
        <f t="shared" si="47"/>
        <v>NA</v>
      </c>
      <c r="H106" s="691" t="s">
        <v>2153</v>
      </c>
      <c r="I106" s="691" t="s">
        <v>2153</v>
      </c>
      <c r="J106" s="691" t="s">
        <v>2153</v>
      </c>
      <c r="K106" s="3093" t="s">
        <v>2146</v>
      </c>
    </row>
    <row r="107" spans="2:11" ht="18" customHeight="1" x14ac:dyDescent="0.2">
      <c r="B107" s="158" t="s">
        <v>170</v>
      </c>
      <c r="C107" s="1913" t="str">
        <f>C108</f>
        <v>NA</v>
      </c>
      <c r="D107" s="3076" t="s">
        <v>1814</v>
      </c>
      <c r="E107" s="628"/>
      <c r="F107" s="628"/>
      <c r="G107" s="628"/>
      <c r="H107" s="1913" t="str">
        <f>H108</f>
        <v>NA</v>
      </c>
      <c r="I107" s="1913" t="str">
        <f t="shared" ref="I107:K107" si="48">I108</f>
        <v>NA</v>
      </c>
      <c r="J107" s="1913" t="str">
        <f t="shared" si="48"/>
        <v>NA</v>
      </c>
      <c r="K107" s="3065" t="str">
        <f t="shared" si="48"/>
        <v>NO</v>
      </c>
    </row>
    <row r="108" spans="2:11" ht="18" customHeight="1" x14ac:dyDescent="0.2">
      <c r="B108" s="3091" t="s">
        <v>2147</v>
      </c>
      <c r="C108" s="691" t="s">
        <v>2147</v>
      </c>
      <c r="D108" s="3076" t="s">
        <v>1814</v>
      </c>
      <c r="E108" s="1913" t="str">
        <f t="shared" ref="E108:E111" si="49">IFERROR(H108*1000/$C108,"NA")</f>
        <v>NA</v>
      </c>
      <c r="F108" s="1913" t="str">
        <f t="shared" ref="F108:G111" si="50">IFERROR(I108*1000000/$C108,"NA")</f>
        <v>NA</v>
      </c>
      <c r="G108" s="1913" t="str">
        <f t="shared" si="50"/>
        <v>NA</v>
      </c>
      <c r="H108" s="691" t="s">
        <v>2147</v>
      </c>
      <c r="I108" s="691" t="s">
        <v>2147</v>
      </c>
      <c r="J108" s="691" t="s">
        <v>2147</v>
      </c>
      <c r="K108" s="3093" t="s">
        <v>2146</v>
      </c>
    </row>
    <row r="109" spans="2:11" ht="18" customHeight="1" x14ac:dyDescent="0.2">
      <c r="B109" s="158" t="s">
        <v>134</v>
      </c>
      <c r="C109" s="691" t="s">
        <v>2153</v>
      </c>
      <c r="D109" s="3076" t="s">
        <v>1814</v>
      </c>
      <c r="E109" s="1913" t="str">
        <f t="shared" si="49"/>
        <v>NA</v>
      </c>
      <c r="F109" s="1913" t="str">
        <f t="shared" si="50"/>
        <v>NA</v>
      </c>
      <c r="G109" s="1913" t="str">
        <f t="shared" si="50"/>
        <v>NA</v>
      </c>
      <c r="H109" s="691" t="s">
        <v>2153</v>
      </c>
      <c r="I109" s="691" t="s">
        <v>2153</v>
      </c>
      <c r="J109" s="691" t="s">
        <v>2153</v>
      </c>
      <c r="K109" s="3093" t="s">
        <v>2146</v>
      </c>
    </row>
    <row r="110" spans="2:11" ht="18" customHeight="1" x14ac:dyDescent="0.2">
      <c r="B110" s="158" t="s">
        <v>135</v>
      </c>
      <c r="C110" s="691" t="s">
        <v>2153</v>
      </c>
      <c r="D110" s="3076" t="s">
        <v>1814</v>
      </c>
      <c r="E110" s="1913" t="str">
        <f t="shared" si="49"/>
        <v>NA</v>
      </c>
      <c r="F110" s="1913" t="str">
        <f t="shared" si="50"/>
        <v>NA</v>
      </c>
      <c r="G110" s="1913" t="str">
        <f t="shared" si="50"/>
        <v>NA</v>
      </c>
      <c r="H110" s="691" t="s">
        <v>2153</v>
      </c>
      <c r="I110" s="691" t="s">
        <v>2153</v>
      </c>
      <c r="J110" s="691" t="s">
        <v>2153</v>
      </c>
      <c r="K110" s="3093" t="s">
        <v>2146</v>
      </c>
    </row>
    <row r="111" spans="2:11" ht="18" customHeight="1" x14ac:dyDescent="0.2">
      <c r="B111" s="158" t="s">
        <v>137</v>
      </c>
      <c r="C111" s="691" t="s">
        <v>2153</v>
      </c>
      <c r="D111" s="3076" t="s">
        <v>1814</v>
      </c>
      <c r="E111" s="1913" t="str">
        <f t="shared" si="49"/>
        <v>NA</v>
      </c>
      <c r="F111" s="1913" t="str">
        <f t="shared" si="50"/>
        <v>NA</v>
      </c>
      <c r="G111" s="1913" t="str">
        <f t="shared" si="50"/>
        <v>NA</v>
      </c>
      <c r="H111" s="691" t="s">
        <v>2153</v>
      </c>
      <c r="I111" s="691" t="s">
        <v>2153</v>
      </c>
      <c r="J111" s="691" t="s">
        <v>2153</v>
      </c>
      <c r="K111" s="3093" t="s">
        <v>2146</v>
      </c>
    </row>
    <row r="112" spans="2:11" ht="18" customHeight="1" x14ac:dyDescent="0.2">
      <c r="B112" s="1242" t="s">
        <v>171</v>
      </c>
      <c r="C112" s="1913">
        <f>C113</f>
        <v>3359.3123811071391</v>
      </c>
      <c r="D112" s="3076" t="s">
        <v>1814</v>
      </c>
      <c r="E112" s="628"/>
      <c r="F112" s="628"/>
      <c r="G112" s="628"/>
      <c r="H112" s="1913">
        <f>H113</f>
        <v>205.31111193163343</v>
      </c>
      <c r="I112" s="1913">
        <f>I113</f>
        <v>2.5392960388218741E-2</v>
      </c>
      <c r="J112" s="1913">
        <f>J113</f>
        <v>3.3129798477798318E-3</v>
      </c>
      <c r="K112" s="3065" t="str">
        <f>K113</f>
        <v>NO</v>
      </c>
    </row>
    <row r="113" spans="2:11" ht="18" customHeight="1" x14ac:dyDescent="0.2">
      <c r="B113" s="3090" t="s">
        <v>2259</v>
      </c>
      <c r="C113" s="3099">
        <f>IF(SUM(C114:C119)=0,"NO",SUM(C114:C119))</f>
        <v>3359.3123811071391</v>
      </c>
      <c r="D113" s="3099" t="s">
        <v>1814</v>
      </c>
      <c r="E113" s="628"/>
      <c r="F113" s="628"/>
      <c r="G113" s="628"/>
      <c r="H113" s="3099">
        <f>IF(SUM(H114:H118)=0,"NO",SUM(H114:H118))</f>
        <v>205.31111193163343</v>
      </c>
      <c r="I113" s="3099">
        <f t="shared" ref="I113" si="51">IF(SUM(I114:I119)=0,"NO",SUM(I114:I119))</f>
        <v>2.5392960388218741E-2</v>
      </c>
      <c r="J113" s="3099">
        <f t="shared" ref="J113" si="52">IF(SUM(J114:J119)=0,"NO",SUM(J114:J119))</f>
        <v>3.3129798477798318E-3</v>
      </c>
      <c r="K113" s="3100" t="str">
        <f t="shared" ref="K113" si="53">IF(SUM(K114:K119)=0,"NO",SUM(K114:K119))</f>
        <v>NO</v>
      </c>
    </row>
    <row r="114" spans="2:11" ht="18" customHeight="1" x14ac:dyDescent="0.2">
      <c r="B114" s="158" t="s">
        <v>132</v>
      </c>
      <c r="C114" s="691">
        <v>550.92238110713913</v>
      </c>
      <c r="D114" s="3076" t="s">
        <v>1814</v>
      </c>
      <c r="E114" s="1913">
        <f>IFERROR(H114*1000/$C114,"NA")</f>
        <v>61.489876803646858</v>
      </c>
      <c r="F114" s="1913">
        <f t="shared" ref="F114:G119" si="54">IFERROR(I114*1000000/$C114,"NA")</f>
        <v>41.389761780058279</v>
      </c>
      <c r="G114" s="1913">
        <f t="shared" si="54"/>
        <v>1.7504261403136425</v>
      </c>
      <c r="H114" s="691">
        <v>33.876149342649768</v>
      </c>
      <c r="I114" s="691">
        <v>2.2802546113326966E-2</v>
      </c>
      <c r="J114" s="691">
        <v>9.6434893717377106E-4</v>
      </c>
      <c r="K114" s="3093" t="s">
        <v>2146</v>
      </c>
    </row>
    <row r="115" spans="2:11" ht="18" customHeight="1" x14ac:dyDescent="0.2">
      <c r="B115" s="158" t="s">
        <v>133</v>
      </c>
      <c r="C115" s="691">
        <v>701</v>
      </c>
      <c r="D115" s="3076" t="s">
        <v>1814</v>
      </c>
      <c r="E115" s="1913">
        <f t="shared" ref="E115:E119" si="55">IFERROR(H115*1000/$C115,"NA")</f>
        <v>90</v>
      </c>
      <c r="F115" s="1913">
        <f t="shared" si="54"/>
        <v>0.95238095238095222</v>
      </c>
      <c r="G115" s="1913">
        <f t="shared" si="54"/>
        <v>0.66666666666666663</v>
      </c>
      <c r="H115" s="691">
        <v>63.09</v>
      </c>
      <c r="I115" s="691">
        <v>6.6761904761904753E-4</v>
      </c>
      <c r="J115" s="691">
        <v>4.6733333333333333E-4</v>
      </c>
      <c r="K115" s="3093" t="s">
        <v>2146</v>
      </c>
    </row>
    <row r="116" spans="2:11" ht="18" customHeight="1" x14ac:dyDescent="0.2">
      <c r="B116" s="158" t="s">
        <v>134</v>
      </c>
      <c r="C116" s="691">
        <v>2107.39</v>
      </c>
      <c r="D116" s="3076" t="s">
        <v>1814</v>
      </c>
      <c r="E116" s="1913">
        <f t="shared" si="55"/>
        <v>51.411918339265007</v>
      </c>
      <c r="F116" s="1913">
        <f t="shared" si="54"/>
        <v>0.91240597481848529</v>
      </c>
      <c r="G116" s="1913">
        <f t="shared" si="54"/>
        <v>0.89271448439668377</v>
      </c>
      <c r="H116" s="691">
        <v>108.34496258898368</v>
      </c>
      <c r="I116" s="691">
        <v>1.9227952272727275E-3</v>
      </c>
      <c r="J116" s="691">
        <v>1.8812975772727273E-3</v>
      </c>
      <c r="K116" s="3093" t="s">
        <v>2146</v>
      </c>
    </row>
    <row r="117" spans="2:11" ht="18" customHeight="1" x14ac:dyDescent="0.2">
      <c r="B117" s="158" t="s">
        <v>135</v>
      </c>
      <c r="C117" s="691" t="s">
        <v>2146</v>
      </c>
      <c r="D117" s="3076" t="s">
        <v>1814</v>
      </c>
      <c r="E117" s="1913" t="str">
        <f t="shared" si="55"/>
        <v>NA</v>
      </c>
      <c r="F117" s="1913" t="str">
        <f t="shared" si="54"/>
        <v>NA</v>
      </c>
      <c r="G117" s="1913" t="str">
        <f t="shared" si="54"/>
        <v>NA</v>
      </c>
      <c r="H117" s="691" t="s">
        <v>2146</v>
      </c>
      <c r="I117" s="691" t="s">
        <v>2146</v>
      </c>
      <c r="J117" s="691" t="s">
        <v>2146</v>
      </c>
      <c r="K117" s="3093" t="s">
        <v>2146</v>
      </c>
    </row>
    <row r="118" spans="2:11" ht="18" customHeight="1" x14ac:dyDescent="0.2">
      <c r="B118" s="158" t="s">
        <v>136</v>
      </c>
      <c r="C118" s="691" t="s">
        <v>2146</v>
      </c>
      <c r="D118" s="3076" t="s">
        <v>1814</v>
      </c>
      <c r="E118" s="1913" t="str">
        <f t="shared" si="55"/>
        <v>NA</v>
      </c>
      <c r="F118" s="1913" t="str">
        <f t="shared" si="54"/>
        <v>NA</v>
      </c>
      <c r="G118" s="1913" t="str">
        <f t="shared" si="54"/>
        <v>NA</v>
      </c>
      <c r="H118" s="691" t="s">
        <v>2146</v>
      </c>
      <c r="I118" s="691" t="s">
        <v>2146</v>
      </c>
      <c r="J118" s="691" t="s">
        <v>2146</v>
      </c>
      <c r="K118" s="3093" t="s">
        <v>2146</v>
      </c>
    </row>
    <row r="119" spans="2:11" ht="18" customHeight="1" thickBot="1" x14ac:dyDescent="0.25">
      <c r="B119" s="2191" t="s">
        <v>137</v>
      </c>
      <c r="C119" s="2190" t="s">
        <v>2146</v>
      </c>
      <c r="D119" s="3101" t="s">
        <v>1814</v>
      </c>
      <c r="E119" s="3095" t="str">
        <f t="shared" si="55"/>
        <v>NA</v>
      </c>
      <c r="F119" s="3095" t="str">
        <f t="shared" si="54"/>
        <v>NA</v>
      </c>
      <c r="G119" s="3095" t="str">
        <f t="shared" si="54"/>
        <v>NA</v>
      </c>
      <c r="H119" s="2190" t="s">
        <v>2146</v>
      </c>
      <c r="I119" s="2190" t="s">
        <v>2146</v>
      </c>
      <c r="J119" s="2190" t="s">
        <v>2146</v>
      </c>
      <c r="K119" s="3102" t="s">
        <v>2146</v>
      </c>
    </row>
    <row r="120" spans="2:11" ht="12" customHeight="1" x14ac:dyDescent="0.2">
      <c r="B120" s="2015"/>
      <c r="C120" s="1"/>
      <c r="D120" s="1"/>
      <c r="E120" s="1"/>
      <c r="F120" s="1"/>
      <c r="G120" s="1"/>
      <c r="H120" s="1"/>
      <c r="I120" s="1"/>
      <c r="J120" s="1"/>
      <c r="K120" s="1"/>
    </row>
    <row r="121" spans="2:11" ht="12" customHeight="1" x14ac:dyDescent="0.2">
      <c r="B121" s="2015"/>
      <c r="C121" s="2015"/>
      <c r="D121" s="254"/>
      <c r="E121" s="254"/>
      <c r="F121" s="254"/>
      <c r="G121" s="254"/>
      <c r="H121" s="254"/>
      <c r="I121" s="254"/>
      <c r="J121" s="254"/>
      <c r="K121" s="254"/>
    </row>
  </sheetData>
  <phoneticPr fontId="49" type="noConversion"/>
  <dataValidations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97"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1538</v>
      </c>
      <c r="C1" s="213"/>
      <c r="D1" s="213"/>
      <c r="E1" s="213"/>
      <c r="F1" s="213"/>
      <c r="G1" s="213"/>
      <c r="R1" s="14" t="s">
        <v>2521</v>
      </c>
    </row>
    <row r="2" spans="2:18" ht="15.75" customHeight="1" x14ac:dyDescent="0.2">
      <c r="B2" s="3"/>
      <c r="R2" s="14" t="s">
        <v>2522</v>
      </c>
    </row>
    <row r="3" spans="2:18" ht="15.75" hidden="1" customHeight="1" x14ac:dyDescent="0.2">
      <c r="B3" s="3"/>
      <c r="R3" s="14" t="s">
        <v>2144</v>
      </c>
    </row>
    <row r="4" spans="2:18" ht="15.75" hidden="1" customHeight="1" x14ac:dyDescent="0.2">
      <c r="B4" s="3"/>
      <c r="R4" s="2"/>
    </row>
    <row r="5" spans="2:18" ht="15.75" hidden="1" customHeight="1" x14ac:dyDescent="0.2">
      <c r="B5" s="3"/>
      <c r="R5" s="2"/>
    </row>
    <row r="6" spans="2:18" ht="15.75" customHeight="1" x14ac:dyDescent="0.2">
      <c r="B6" s="3"/>
      <c r="R6" s="2" t="s">
        <v>63</v>
      </c>
    </row>
    <row r="7" spans="2:18" ht="15.75" customHeight="1" thickBot="1" x14ac:dyDescent="0.25">
      <c r="B7" s="2452" t="s">
        <v>64</v>
      </c>
      <c r="R7" s="2"/>
    </row>
    <row r="8" spans="2:18" ht="23.25" customHeight="1" x14ac:dyDescent="0.2">
      <c r="B8" s="1398" t="s">
        <v>1303</v>
      </c>
      <c r="C8" s="644" t="s">
        <v>1421</v>
      </c>
      <c r="D8" s="645"/>
      <c r="E8" s="644" t="s">
        <v>424</v>
      </c>
      <c r="F8" s="645"/>
      <c r="G8" s="644" t="s">
        <v>425</v>
      </c>
      <c r="H8" s="645"/>
      <c r="I8" s="646" t="s">
        <v>1539</v>
      </c>
      <c r="J8" s="647"/>
      <c r="K8" s="646" t="s">
        <v>1511</v>
      </c>
      <c r="L8" s="647"/>
      <c r="M8" s="2555" t="s">
        <v>1512</v>
      </c>
      <c r="N8" s="2556"/>
      <c r="O8" s="2557" t="s">
        <v>440</v>
      </c>
      <c r="P8" s="645"/>
      <c r="Q8" s="646" t="s">
        <v>1513</v>
      </c>
      <c r="R8" s="964"/>
    </row>
    <row r="9" spans="2:18" ht="24.75" thickBot="1" x14ac:dyDescent="0.25">
      <c r="B9" s="1399" t="s">
        <v>1540</v>
      </c>
      <c r="C9" s="648" t="s">
        <v>1541</v>
      </c>
      <c r="D9" s="648" t="s">
        <v>1542</v>
      </c>
      <c r="E9" s="648" t="s">
        <v>1541</v>
      </c>
      <c r="F9" s="648" t="s">
        <v>1542</v>
      </c>
      <c r="G9" s="648" t="s">
        <v>1541</v>
      </c>
      <c r="H9" s="648" t="s">
        <v>1542</v>
      </c>
      <c r="I9" s="648" t="s">
        <v>1541</v>
      </c>
      <c r="J9" s="648" t="s">
        <v>1542</v>
      </c>
      <c r="K9" s="648" t="s">
        <v>1541</v>
      </c>
      <c r="L9" s="648" t="s">
        <v>1542</v>
      </c>
      <c r="M9" s="648" t="s">
        <v>1541</v>
      </c>
      <c r="N9" s="648" t="s">
        <v>1542</v>
      </c>
      <c r="O9" s="649" t="s">
        <v>1541</v>
      </c>
      <c r="P9" s="648" t="s">
        <v>1542</v>
      </c>
      <c r="Q9" s="649" t="s">
        <v>1541</v>
      </c>
      <c r="R9" s="650" t="s">
        <v>1542</v>
      </c>
    </row>
    <row r="10" spans="2:18" ht="18" customHeight="1" thickTop="1" x14ac:dyDescent="0.2">
      <c r="B10" s="1400" t="s">
        <v>1476</v>
      </c>
      <c r="C10" s="651" t="s">
        <v>2300</v>
      </c>
      <c r="D10" s="651" t="s">
        <v>2301</v>
      </c>
      <c r="E10" s="651" t="s">
        <v>2300</v>
      </c>
      <c r="F10" s="651" t="s">
        <v>2301</v>
      </c>
      <c r="G10" s="651" t="s">
        <v>2300</v>
      </c>
      <c r="H10" s="651" t="s">
        <v>2301</v>
      </c>
      <c r="I10" s="652"/>
      <c r="J10" s="652"/>
      <c r="K10" s="652"/>
      <c r="L10" s="652"/>
      <c r="M10" s="652"/>
      <c r="N10" s="653"/>
      <c r="O10" s="653"/>
      <c r="P10" s="653"/>
      <c r="Q10" s="653"/>
      <c r="R10" s="654"/>
    </row>
    <row r="11" spans="2:18" ht="18" customHeight="1" x14ac:dyDescent="0.2">
      <c r="B11" s="620" t="s">
        <v>131</v>
      </c>
      <c r="C11" s="651" t="s">
        <v>2298</v>
      </c>
      <c r="D11" s="651" t="s">
        <v>2301</v>
      </c>
      <c r="E11" s="651" t="s">
        <v>2300</v>
      </c>
      <c r="F11" s="651" t="s">
        <v>2299</v>
      </c>
      <c r="G11" s="651" t="s">
        <v>2300</v>
      </c>
      <c r="H11" s="651" t="s">
        <v>2299</v>
      </c>
      <c r="I11" s="655"/>
      <c r="J11" s="655"/>
      <c r="K11" s="655"/>
      <c r="L11" s="655"/>
      <c r="M11" s="655"/>
      <c r="N11" s="656"/>
      <c r="O11" s="656"/>
      <c r="P11" s="656"/>
      <c r="Q11" s="656"/>
      <c r="R11" s="657"/>
    </row>
    <row r="12" spans="2:18" ht="18" customHeight="1" x14ac:dyDescent="0.2">
      <c r="B12" s="1392" t="s">
        <v>1478</v>
      </c>
      <c r="C12" s="651" t="s">
        <v>2295</v>
      </c>
      <c r="D12" s="651" t="s">
        <v>2296</v>
      </c>
      <c r="E12" s="651" t="s">
        <v>2295</v>
      </c>
      <c r="F12" s="651" t="s">
        <v>2297</v>
      </c>
      <c r="G12" s="651" t="s">
        <v>2295</v>
      </c>
      <c r="H12" s="651" t="s">
        <v>2297</v>
      </c>
      <c r="I12" s="655"/>
      <c r="J12" s="655"/>
      <c r="K12" s="655"/>
      <c r="L12" s="655"/>
      <c r="M12" s="655"/>
      <c r="N12" s="656"/>
      <c r="O12" s="656"/>
      <c r="P12" s="656"/>
      <c r="Q12" s="656"/>
      <c r="R12" s="657"/>
    </row>
    <row r="13" spans="2:18" ht="18" customHeight="1" x14ac:dyDescent="0.2">
      <c r="B13" s="1392" t="s">
        <v>1517</v>
      </c>
      <c r="C13" s="651" t="s">
        <v>2295</v>
      </c>
      <c r="D13" s="651" t="s">
        <v>2297</v>
      </c>
      <c r="E13" s="651" t="s">
        <v>2295</v>
      </c>
      <c r="F13" s="651" t="s">
        <v>2297</v>
      </c>
      <c r="G13" s="651" t="s">
        <v>2295</v>
      </c>
      <c r="H13" s="651" t="s">
        <v>2297</v>
      </c>
      <c r="I13" s="658"/>
      <c r="J13" s="658"/>
      <c r="K13" s="658"/>
      <c r="L13" s="658"/>
      <c r="M13" s="658"/>
      <c r="N13" s="659"/>
      <c r="O13" s="659"/>
      <c r="P13" s="659"/>
      <c r="Q13" s="659"/>
      <c r="R13" s="660"/>
    </row>
    <row r="14" spans="2:18" ht="18" customHeight="1" x14ac:dyDescent="0.2">
      <c r="B14" s="1392" t="s">
        <v>1480</v>
      </c>
      <c r="C14" s="651" t="s">
        <v>2298</v>
      </c>
      <c r="D14" s="651" t="s">
        <v>2299</v>
      </c>
      <c r="E14" s="651" t="s">
        <v>2300</v>
      </c>
      <c r="F14" s="651" t="s">
        <v>2299</v>
      </c>
      <c r="G14" s="651" t="s">
        <v>2300</v>
      </c>
      <c r="H14" s="651" t="s">
        <v>2299</v>
      </c>
      <c r="I14" s="655"/>
      <c r="J14" s="655"/>
      <c r="K14" s="655"/>
      <c r="L14" s="655"/>
      <c r="M14" s="655"/>
      <c r="N14" s="656"/>
      <c r="O14" s="656"/>
      <c r="P14" s="656"/>
      <c r="Q14" s="656"/>
      <c r="R14" s="657"/>
    </row>
    <row r="15" spans="2:18" ht="18" customHeight="1" x14ac:dyDescent="0.2">
      <c r="B15" s="1392" t="s">
        <v>1481</v>
      </c>
      <c r="C15" s="651" t="s">
        <v>2295</v>
      </c>
      <c r="D15" s="651" t="s">
        <v>2297</v>
      </c>
      <c r="E15" s="651" t="s">
        <v>2295</v>
      </c>
      <c r="F15" s="651" t="s">
        <v>2297</v>
      </c>
      <c r="G15" s="651" t="s">
        <v>2295</v>
      </c>
      <c r="H15" s="651" t="s">
        <v>2297</v>
      </c>
      <c r="I15" s="655"/>
      <c r="J15" s="655"/>
      <c r="K15" s="655"/>
      <c r="L15" s="655"/>
      <c r="M15" s="655"/>
      <c r="N15" s="656"/>
      <c r="O15" s="656"/>
      <c r="P15" s="656"/>
      <c r="Q15" s="656"/>
      <c r="R15" s="657"/>
    </row>
    <row r="16" spans="2:18" ht="18" customHeight="1" x14ac:dyDescent="0.2">
      <c r="B16" s="1392" t="s">
        <v>1482</v>
      </c>
      <c r="C16" s="651" t="s">
        <v>2295</v>
      </c>
      <c r="D16" s="651" t="s">
        <v>2297</v>
      </c>
      <c r="E16" s="651" t="s">
        <v>2295</v>
      </c>
      <c r="F16" s="651" t="s">
        <v>2297</v>
      </c>
      <c r="G16" s="651" t="s">
        <v>2295</v>
      </c>
      <c r="H16" s="651" t="s">
        <v>2297</v>
      </c>
      <c r="I16" s="655"/>
      <c r="J16" s="655"/>
      <c r="K16" s="655"/>
      <c r="L16" s="655"/>
      <c r="M16" s="655"/>
      <c r="N16" s="656"/>
      <c r="O16" s="656"/>
      <c r="P16" s="656"/>
      <c r="Q16" s="656"/>
      <c r="R16" s="657"/>
    </row>
    <row r="17" spans="2:18" ht="18" customHeight="1" x14ac:dyDescent="0.2">
      <c r="B17" s="620" t="s">
        <v>99</v>
      </c>
      <c r="C17" s="651" t="s">
        <v>2302</v>
      </c>
      <c r="D17" s="651" t="s">
        <v>2301</v>
      </c>
      <c r="E17" s="651" t="s">
        <v>2302</v>
      </c>
      <c r="F17" s="651" t="s">
        <v>2301</v>
      </c>
      <c r="G17" s="651" t="s">
        <v>2302</v>
      </c>
      <c r="H17" s="651" t="s">
        <v>2296</v>
      </c>
      <c r="I17" s="655"/>
      <c r="J17" s="655"/>
      <c r="K17" s="655"/>
      <c r="L17" s="655"/>
      <c r="M17" s="655"/>
      <c r="N17" s="656"/>
      <c r="O17" s="656"/>
      <c r="P17" s="656"/>
      <c r="Q17" s="656"/>
      <c r="R17" s="657"/>
    </row>
    <row r="18" spans="2:18" ht="18" customHeight="1" x14ac:dyDescent="0.2">
      <c r="B18" s="1392" t="s">
        <v>1483</v>
      </c>
      <c r="C18" s="651" t="s">
        <v>2302</v>
      </c>
      <c r="D18" s="651" t="s">
        <v>2296</v>
      </c>
      <c r="E18" s="651" t="s">
        <v>2302</v>
      </c>
      <c r="F18" s="651" t="s">
        <v>2296</v>
      </c>
      <c r="G18" s="651" t="s">
        <v>2295</v>
      </c>
      <c r="H18" s="651" t="s">
        <v>2297</v>
      </c>
      <c r="I18" s="655"/>
      <c r="J18" s="655"/>
      <c r="K18" s="655"/>
      <c r="L18" s="655"/>
      <c r="M18" s="655"/>
      <c r="N18" s="656"/>
      <c r="O18" s="656"/>
      <c r="P18" s="656"/>
      <c r="Q18" s="656"/>
      <c r="R18" s="657"/>
    </row>
    <row r="19" spans="2:18" ht="18" customHeight="1" x14ac:dyDescent="0.2">
      <c r="B19" s="1393" t="s">
        <v>1484</v>
      </c>
      <c r="C19" s="651" t="s">
        <v>2302</v>
      </c>
      <c r="D19" s="651" t="s">
        <v>2301</v>
      </c>
      <c r="E19" s="651" t="s">
        <v>2302</v>
      </c>
      <c r="F19" s="651" t="s">
        <v>2301</v>
      </c>
      <c r="G19" s="651" t="s">
        <v>2302</v>
      </c>
      <c r="H19" s="651" t="s">
        <v>2296</v>
      </c>
      <c r="I19" s="655"/>
      <c r="J19" s="655"/>
      <c r="K19" s="655"/>
      <c r="L19" s="655"/>
      <c r="M19" s="655"/>
      <c r="N19" s="656"/>
      <c r="O19" s="656"/>
      <c r="P19" s="656"/>
      <c r="Q19" s="656"/>
      <c r="R19" s="657"/>
    </row>
    <row r="20" spans="2:18" ht="18" customHeight="1" x14ac:dyDescent="0.2">
      <c r="B20" s="1394" t="s">
        <v>1518</v>
      </c>
      <c r="C20" s="651" t="s">
        <v>2303</v>
      </c>
      <c r="D20" s="651" t="s">
        <v>2304</v>
      </c>
      <c r="E20" s="661"/>
      <c r="F20" s="661"/>
      <c r="G20" s="661"/>
      <c r="H20" s="661"/>
      <c r="I20" s="655"/>
      <c r="J20" s="655"/>
      <c r="K20" s="655"/>
      <c r="L20" s="655"/>
      <c r="M20" s="655"/>
      <c r="N20" s="656"/>
      <c r="O20" s="656"/>
      <c r="P20" s="656"/>
      <c r="Q20" s="656"/>
      <c r="R20" s="657"/>
    </row>
    <row r="21" spans="2:18" ht="18" customHeight="1" x14ac:dyDescent="0.2">
      <c r="B21" s="1401" t="s">
        <v>1543</v>
      </c>
      <c r="C21" s="651" t="s">
        <v>2302</v>
      </c>
      <c r="D21" s="651" t="s">
        <v>2299</v>
      </c>
      <c r="E21" s="651" t="s">
        <v>2295</v>
      </c>
      <c r="F21" s="651" t="s">
        <v>2297</v>
      </c>
      <c r="G21" s="651" t="s">
        <v>2302</v>
      </c>
      <c r="H21" s="651" t="s">
        <v>2297</v>
      </c>
      <c r="I21" s="651" t="s">
        <v>2298</v>
      </c>
      <c r="J21" s="651" t="s">
        <v>2306</v>
      </c>
      <c r="K21" s="651" t="s">
        <v>2302</v>
      </c>
      <c r="L21" s="651" t="s">
        <v>2297</v>
      </c>
      <c r="M21" s="651" t="s">
        <v>2147</v>
      </c>
      <c r="N21" s="651" t="s">
        <v>2147</v>
      </c>
      <c r="O21" s="663" t="s">
        <v>2298</v>
      </c>
      <c r="P21" s="663" t="s">
        <v>2297</v>
      </c>
      <c r="Q21" s="651" t="s">
        <v>2147</v>
      </c>
      <c r="R21" s="711" t="s">
        <v>2147</v>
      </c>
    </row>
    <row r="22" spans="2:18" ht="18" customHeight="1" x14ac:dyDescent="0.2">
      <c r="B22" s="1394" t="s">
        <v>1487</v>
      </c>
      <c r="C22" s="651" t="s">
        <v>2295</v>
      </c>
      <c r="D22" s="651" t="s">
        <v>2297</v>
      </c>
      <c r="E22" s="661"/>
      <c r="F22" s="661"/>
      <c r="G22" s="661"/>
      <c r="H22" s="661"/>
      <c r="I22" s="655"/>
      <c r="J22" s="655"/>
      <c r="K22" s="655"/>
      <c r="L22" s="655"/>
      <c r="M22" s="655"/>
      <c r="N22" s="656"/>
      <c r="O22" s="656"/>
      <c r="P22" s="656"/>
      <c r="Q22" s="656"/>
      <c r="R22" s="657"/>
    </row>
    <row r="23" spans="2:18" ht="18" customHeight="1" x14ac:dyDescent="0.2">
      <c r="B23" s="1394" t="s">
        <v>621</v>
      </c>
      <c r="C23" s="651" t="s">
        <v>2302</v>
      </c>
      <c r="D23" s="651" t="s">
        <v>2299</v>
      </c>
      <c r="E23" s="651" t="s">
        <v>2295</v>
      </c>
      <c r="F23" s="651" t="s">
        <v>2297</v>
      </c>
      <c r="G23" s="651" t="s">
        <v>2303</v>
      </c>
      <c r="H23" s="651" t="s">
        <v>2297</v>
      </c>
      <c r="I23" s="651" t="s">
        <v>2305</v>
      </c>
      <c r="J23" s="651" t="s">
        <v>2306</v>
      </c>
      <c r="K23" s="651" t="s">
        <v>2147</v>
      </c>
      <c r="L23" s="651" t="s">
        <v>2147</v>
      </c>
      <c r="M23" s="651" t="s">
        <v>2147</v>
      </c>
      <c r="N23" s="651" t="s">
        <v>2147</v>
      </c>
      <c r="O23" s="651" t="s">
        <v>2147</v>
      </c>
      <c r="P23" s="651" t="s">
        <v>2147</v>
      </c>
      <c r="Q23" s="651" t="s">
        <v>2147</v>
      </c>
      <c r="R23" s="711" t="s">
        <v>2147</v>
      </c>
    </row>
    <row r="24" spans="2:18" ht="18" customHeight="1" x14ac:dyDescent="0.2">
      <c r="B24" s="1394" t="s">
        <v>459</v>
      </c>
      <c r="C24" s="651" t="s">
        <v>2302</v>
      </c>
      <c r="D24" s="651" t="s">
        <v>2297</v>
      </c>
      <c r="E24" s="651" t="s">
        <v>2295</v>
      </c>
      <c r="F24" s="651" t="s">
        <v>2297</v>
      </c>
      <c r="G24" s="651" t="s">
        <v>2295</v>
      </c>
      <c r="H24" s="651" t="s">
        <v>2297</v>
      </c>
      <c r="I24" s="651" t="s">
        <v>2147</v>
      </c>
      <c r="J24" s="651" t="s">
        <v>2147</v>
      </c>
      <c r="K24" s="651" t="s">
        <v>2302</v>
      </c>
      <c r="L24" s="651" t="s">
        <v>2297</v>
      </c>
      <c r="M24" s="651" t="s">
        <v>2147</v>
      </c>
      <c r="N24" s="651" t="s">
        <v>2147</v>
      </c>
      <c r="O24" s="651" t="s">
        <v>2295</v>
      </c>
      <c r="P24" s="651" t="s">
        <v>2297</v>
      </c>
      <c r="Q24" s="651" t="s">
        <v>2147</v>
      </c>
      <c r="R24" s="711" t="s">
        <v>2147</v>
      </c>
    </row>
    <row r="25" spans="2:18" ht="18" customHeight="1" x14ac:dyDescent="0.2">
      <c r="B25" s="1395" t="s">
        <v>1519</v>
      </c>
      <c r="C25" s="651" t="s">
        <v>2295</v>
      </c>
      <c r="D25" s="651" t="s">
        <v>2297</v>
      </c>
      <c r="E25" s="651" t="s">
        <v>2147</v>
      </c>
      <c r="F25" s="651" t="s">
        <v>2147</v>
      </c>
      <c r="G25" s="651" t="s">
        <v>2147</v>
      </c>
      <c r="H25" s="651" t="s">
        <v>2147</v>
      </c>
      <c r="I25" s="655"/>
      <c r="J25" s="655"/>
      <c r="K25" s="655"/>
      <c r="L25" s="655"/>
      <c r="M25" s="655"/>
      <c r="N25" s="656"/>
      <c r="O25" s="656"/>
      <c r="P25" s="656"/>
      <c r="Q25" s="656"/>
      <c r="R25" s="657"/>
    </row>
    <row r="26" spans="2:18" ht="18" customHeight="1" x14ac:dyDescent="0.2">
      <c r="B26" s="1395" t="s">
        <v>1520</v>
      </c>
      <c r="C26" s="658"/>
      <c r="D26" s="658"/>
      <c r="E26" s="658"/>
      <c r="F26" s="658"/>
      <c r="G26" s="651" t="s">
        <v>2147</v>
      </c>
      <c r="H26" s="651" t="s">
        <v>2147</v>
      </c>
      <c r="I26" s="651" t="s">
        <v>2147</v>
      </c>
      <c r="J26" s="651" t="s">
        <v>2147</v>
      </c>
      <c r="K26" s="651" t="s">
        <v>2147</v>
      </c>
      <c r="L26" s="651" t="s">
        <v>2147</v>
      </c>
      <c r="M26" s="651" t="s">
        <v>2147</v>
      </c>
      <c r="N26" s="651" t="s">
        <v>2147</v>
      </c>
      <c r="O26" s="651" t="s">
        <v>2147</v>
      </c>
      <c r="P26" s="651" t="s">
        <v>2147</v>
      </c>
      <c r="Q26" s="651" t="s">
        <v>2147</v>
      </c>
      <c r="R26" s="711" t="s">
        <v>2147</v>
      </c>
    </row>
    <row r="27" spans="2:18" ht="18" customHeight="1" x14ac:dyDescent="0.2">
      <c r="B27" s="1395" t="s">
        <v>1521</v>
      </c>
      <c r="C27" s="658"/>
      <c r="D27" s="658"/>
      <c r="E27" s="658"/>
      <c r="F27" s="658"/>
      <c r="G27" s="658"/>
      <c r="H27" s="658"/>
      <c r="I27" s="662" t="s">
        <v>2295</v>
      </c>
      <c r="J27" s="662" t="s">
        <v>2306</v>
      </c>
      <c r="K27" s="651" t="s">
        <v>2147</v>
      </c>
      <c r="L27" s="651" t="s">
        <v>2147</v>
      </c>
      <c r="M27" s="651" t="s">
        <v>2147</v>
      </c>
      <c r="N27" s="651" t="s">
        <v>2147</v>
      </c>
      <c r="O27" s="651" t="s">
        <v>2147</v>
      </c>
      <c r="P27" s="651" t="s">
        <v>2147</v>
      </c>
      <c r="Q27" s="651" t="s">
        <v>2147</v>
      </c>
      <c r="R27" s="711" t="s">
        <v>2147</v>
      </c>
    </row>
    <row r="28" spans="2:18" ht="18" customHeight="1" x14ac:dyDescent="0.2">
      <c r="B28" s="1395" t="s">
        <v>1522</v>
      </c>
      <c r="C28" s="663" t="s">
        <v>2147</v>
      </c>
      <c r="D28" s="663" t="s">
        <v>2147</v>
      </c>
      <c r="E28" s="663" t="s">
        <v>2147</v>
      </c>
      <c r="F28" s="663" t="s">
        <v>2147</v>
      </c>
      <c r="G28" s="663" t="s">
        <v>2295</v>
      </c>
      <c r="H28" s="663" t="s">
        <v>2297</v>
      </c>
      <c r="I28" s="663" t="s">
        <v>2147</v>
      </c>
      <c r="J28" s="663" t="s">
        <v>2147</v>
      </c>
      <c r="K28" s="663" t="s">
        <v>2147</v>
      </c>
      <c r="L28" s="663" t="s">
        <v>2147</v>
      </c>
      <c r="M28" s="651" t="s">
        <v>2147</v>
      </c>
      <c r="N28" s="651" t="s">
        <v>2147</v>
      </c>
      <c r="O28" s="663" t="s">
        <v>2298</v>
      </c>
      <c r="P28" s="663" t="s">
        <v>2297</v>
      </c>
      <c r="Q28" s="651" t="s">
        <v>2147</v>
      </c>
      <c r="R28" s="711" t="s">
        <v>2147</v>
      </c>
    </row>
    <row r="29" spans="2:18" ht="18" customHeight="1" x14ac:dyDescent="0.2">
      <c r="B29" s="1394" t="s">
        <v>1523</v>
      </c>
      <c r="C29" s="663" t="s">
        <v>2295</v>
      </c>
      <c r="D29" s="663" t="s">
        <v>2297</v>
      </c>
      <c r="E29" s="651" t="s">
        <v>2147</v>
      </c>
      <c r="F29" s="651" t="s">
        <v>2147</v>
      </c>
      <c r="G29" s="651" t="s">
        <v>2147</v>
      </c>
      <c r="H29" s="651" t="s">
        <v>2147</v>
      </c>
      <c r="I29" s="651" t="s">
        <v>2147</v>
      </c>
      <c r="J29" s="651" t="s">
        <v>2147</v>
      </c>
      <c r="K29" s="651" t="s">
        <v>2147</v>
      </c>
      <c r="L29" s="651" t="s">
        <v>2147</v>
      </c>
      <c r="M29" s="651" t="s">
        <v>2147</v>
      </c>
      <c r="N29" s="651" t="s">
        <v>2147</v>
      </c>
      <c r="O29" s="651" t="s">
        <v>2147</v>
      </c>
      <c r="P29" s="651" t="s">
        <v>2147</v>
      </c>
      <c r="Q29" s="651" t="s">
        <v>2147</v>
      </c>
      <c r="R29" s="711" t="s">
        <v>2147</v>
      </c>
    </row>
    <row r="30" spans="2:18" ht="18" customHeight="1" x14ac:dyDescent="0.2">
      <c r="B30" s="1402" t="s">
        <v>1491</v>
      </c>
      <c r="C30" s="663" t="s">
        <v>2298</v>
      </c>
      <c r="D30" s="651" t="s">
        <v>2299</v>
      </c>
      <c r="E30" s="651" t="s">
        <v>2300</v>
      </c>
      <c r="F30" s="651" t="s">
        <v>2299</v>
      </c>
      <c r="G30" s="651" t="s">
        <v>2302</v>
      </c>
      <c r="H30" s="651" t="s">
        <v>2299</v>
      </c>
      <c r="I30" s="652"/>
      <c r="J30" s="1230"/>
      <c r="K30" s="652"/>
      <c r="L30" s="1230"/>
      <c r="M30" s="652"/>
      <c r="N30" s="1231"/>
      <c r="O30" s="1232"/>
      <c r="P30" s="1232"/>
      <c r="Q30" s="1232"/>
      <c r="R30" s="1233"/>
    </row>
    <row r="31" spans="2:18" ht="18" customHeight="1" x14ac:dyDescent="0.2">
      <c r="B31" s="620" t="s">
        <v>1492</v>
      </c>
      <c r="C31" s="672"/>
      <c r="D31" s="672"/>
      <c r="E31" s="651" t="s">
        <v>2300</v>
      </c>
      <c r="F31" s="651" t="s">
        <v>2299</v>
      </c>
      <c r="G31" s="655"/>
      <c r="H31" s="655"/>
      <c r="I31" s="655"/>
      <c r="J31" s="672"/>
      <c r="K31" s="655"/>
      <c r="L31" s="672"/>
      <c r="M31" s="655"/>
      <c r="N31" s="673"/>
      <c r="O31" s="348"/>
      <c r="P31" s="348"/>
      <c r="Q31" s="348"/>
      <c r="R31" s="349"/>
    </row>
    <row r="32" spans="2:18" ht="18" customHeight="1" x14ac:dyDescent="0.2">
      <c r="B32" s="620" t="s">
        <v>1493</v>
      </c>
      <c r="C32" s="672"/>
      <c r="D32" s="672"/>
      <c r="E32" s="651" t="s">
        <v>2302</v>
      </c>
      <c r="F32" s="651" t="s">
        <v>2299</v>
      </c>
      <c r="G32" s="651" t="s">
        <v>2302</v>
      </c>
      <c r="H32" s="651" t="s">
        <v>2299</v>
      </c>
      <c r="I32" s="655"/>
      <c r="J32" s="672"/>
      <c r="K32" s="655"/>
      <c r="L32" s="672"/>
      <c r="M32" s="655"/>
      <c r="N32" s="673"/>
      <c r="O32" s="348"/>
      <c r="P32" s="348"/>
      <c r="Q32" s="348"/>
      <c r="R32" s="349"/>
    </row>
    <row r="33" spans="2:18" ht="18" customHeight="1" x14ac:dyDescent="0.2">
      <c r="B33" s="620" t="s">
        <v>1494</v>
      </c>
      <c r="C33" s="672"/>
      <c r="D33" s="672"/>
      <c r="E33" s="651" t="s">
        <v>2305</v>
      </c>
      <c r="F33" s="651" t="s">
        <v>2306</v>
      </c>
      <c r="G33" s="655"/>
      <c r="H33" s="655"/>
      <c r="I33" s="655"/>
      <c r="J33" s="672"/>
      <c r="K33" s="655"/>
      <c r="L33" s="672"/>
      <c r="M33" s="655"/>
      <c r="N33" s="673"/>
      <c r="O33" s="348"/>
      <c r="P33" s="348"/>
      <c r="Q33" s="348"/>
      <c r="R33" s="349"/>
    </row>
    <row r="34" spans="2:18" ht="18" customHeight="1" x14ac:dyDescent="0.2">
      <c r="B34" s="620" t="s">
        <v>1495</v>
      </c>
      <c r="C34" s="674"/>
      <c r="D34" s="674"/>
      <c r="E34" s="663" t="s">
        <v>2154</v>
      </c>
      <c r="F34" s="651" t="s">
        <v>2147</v>
      </c>
      <c r="G34" s="663" t="s">
        <v>2298</v>
      </c>
      <c r="H34" s="651" t="s">
        <v>2299</v>
      </c>
      <c r="I34" s="655"/>
      <c r="J34" s="672"/>
      <c r="K34" s="655"/>
      <c r="L34" s="672"/>
      <c r="M34" s="655"/>
      <c r="N34" s="673"/>
      <c r="O34" s="348"/>
      <c r="P34" s="348"/>
      <c r="Q34" s="348"/>
      <c r="R34" s="349"/>
    </row>
    <row r="35" spans="2:18" ht="18" customHeight="1" x14ac:dyDescent="0.2">
      <c r="B35" s="620" t="s">
        <v>1496</v>
      </c>
      <c r="C35" s="672"/>
      <c r="D35" s="672"/>
      <c r="E35" s="651" t="s">
        <v>2153</v>
      </c>
      <c r="F35" s="651" t="s">
        <v>2147</v>
      </c>
      <c r="G35" s="651" t="s">
        <v>2153</v>
      </c>
      <c r="H35" s="651" t="s">
        <v>2147</v>
      </c>
      <c r="I35" s="655"/>
      <c r="J35" s="672"/>
      <c r="K35" s="655"/>
      <c r="L35" s="672"/>
      <c r="M35" s="655"/>
      <c r="N35" s="673"/>
      <c r="O35" s="348"/>
      <c r="P35" s="348"/>
      <c r="Q35" s="348"/>
      <c r="R35" s="349"/>
    </row>
    <row r="36" spans="2:18" ht="18" customHeight="1" x14ac:dyDescent="0.2">
      <c r="B36" s="620" t="s">
        <v>1497</v>
      </c>
      <c r="C36" s="672"/>
      <c r="D36" s="672"/>
      <c r="E36" s="663" t="s">
        <v>2295</v>
      </c>
      <c r="F36" s="663" t="s">
        <v>2297</v>
      </c>
      <c r="G36" s="663" t="s">
        <v>2295</v>
      </c>
      <c r="H36" s="663" t="s">
        <v>2297</v>
      </c>
      <c r="I36" s="655"/>
      <c r="J36" s="672"/>
      <c r="K36" s="655"/>
      <c r="L36" s="672"/>
      <c r="M36" s="655"/>
      <c r="N36" s="673"/>
      <c r="O36" s="348"/>
      <c r="P36" s="348"/>
      <c r="Q36" s="348"/>
      <c r="R36" s="349"/>
    </row>
    <row r="37" spans="2:18" ht="18" customHeight="1" x14ac:dyDescent="0.2">
      <c r="B37" s="620" t="s">
        <v>721</v>
      </c>
      <c r="C37" s="663" t="s">
        <v>2295</v>
      </c>
      <c r="D37" s="663" t="s">
        <v>2297</v>
      </c>
      <c r="E37" s="675"/>
      <c r="F37" s="675"/>
      <c r="G37" s="661"/>
      <c r="H37" s="661"/>
      <c r="I37" s="655"/>
      <c r="J37" s="672"/>
      <c r="K37" s="655"/>
      <c r="L37" s="672"/>
      <c r="M37" s="655"/>
      <c r="N37" s="673"/>
      <c r="O37" s="348"/>
      <c r="P37" s="348"/>
      <c r="Q37" s="348"/>
      <c r="R37" s="349"/>
    </row>
    <row r="38" spans="2:18" ht="18" customHeight="1" x14ac:dyDescent="0.2">
      <c r="B38" s="620" t="s">
        <v>722</v>
      </c>
      <c r="C38" s="651" t="s">
        <v>2305</v>
      </c>
      <c r="D38" s="651" t="s">
        <v>2306</v>
      </c>
      <c r="E38" s="675"/>
      <c r="F38" s="675"/>
      <c r="G38" s="661"/>
      <c r="H38" s="661"/>
      <c r="I38" s="655"/>
      <c r="J38" s="672"/>
      <c r="K38" s="655"/>
      <c r="L38" s="672"/>
      <c r="M38" s="655"/>
      <c r="N38" s="673"/>
      <c r="O38" s="348"/>
      <c r="P38" s="348"/>
      <c r="Q38" s="348"/>
      <c r="R38" s="349"/>
    </row>
    <row r="39" spans="2:18" ht="18" customHeight="1" x14ac:dyDescent="0.2">
      <c r="B39" s="620" t="s">
        <v>723</v>
      </c>
      <c r="C39" s="651" t="s">
        <v>2154</v>
      </c>
      <c r="D39" s="651" t="s">
        <v>2147</v>
      </c>
      <c r="E39" s="675"/>
      <c r="F39" s="675"/>
      <c r="G39" s="661"/>
      <c r="H39" s="661"/>
      <c r="I39" s="655"/>
      <c r="J39" s="672"/>
      <c r="K39" s="655"/>
      <c r="L39" s="672"/>
      <c r="M39" s="655"/>
      <c r="N39" s="673"/>
      <c r="O39" s="348"/>
      <c r="P39" s="348"/>
      <c r="Q39" s="348"/>
      <c r="R39" s="349"/>
    </row>
    <row r="40" spans="2:18" ht="18" customHeight="1" x14ac:dyDescent="0.2">
      <c r="B40" s="620" t="s">
        <v>1499</v>
      </c>
      <c r="C40" s="651" t="s">
        <v>2147</v>
      </c>
      <c r="D40" s="651" t="s">
        <v>2147</v>
      </c>
      <c r="E40" s="651" t="s">
        <v>2147</v>
      </c>
      <c r="F40" s="651" t="s">
        <v>2147</v>
      </c>
      <c r="G40" s="651" t="s">
        <v>2147</v>
      </c>
      <c r="H40" s="651" t="s">
        <v>2147</v>
      </c>
      <c r="I40" s="655"/>
      <c r="J40" s="672"/>
      <c r="K40" s="655"/>
      <c r="L40" s="672"/>
      <c r="M40" s="655"/>
      <c r="N40" s="673"/>
      <c r="O40" s="348"/>
      <c r="P40" s="348"/>
      <c r="Q40" s="348"/>
      <c r="R40" s="349"/>
    </row>
    <row r="41" spans="2:18" ht="18" customHeight="1" x14ac:dyDescent="0.2">
      <c r="B41" s="1401" t="s">
        <v>1544</v>
      </c>
      <c r="C41" s="651" t="s">
        <v>2300</v>
      </c>
      <c r="D41" s="651" t="s">
        <v>2308</v>
      </c>
      <c r="E41" s="651" t="s">
        <v>2300</v>
      </c>
      <c r="F41" s="651" t="s">
        <v>2299</v>
      </c>
      <c r="G41" s="651" t="s">
        <v>2300</v>
      </c>
      <c r="H41" s="651" t="s">
        <v>2299</v>
      </c>
      <c r="I41" s="669"/>
      <c r="J41" s="670"/>
      <c r="K41" s="669"/>
      <c r="L41" s="670"/>
      <c r="M41" s="669"/>
      <c r="N41" s="671"/>
      <c r="O41" s="348"/>
      <c r="P41" s="348"/>
      <c r="Q41" s="348"/>
      <c r="R41" s="349"/>
    </row>
    <row r="42" spans="2:18" ht="18" customHeight="1" x14ac:dyDescent="0.2">
      <c r="B42" s="620" t="s">
        <v>981</v>
      </c>
      <c r="C42" s="651" t="s">
        <v>2302</v>
      </c>
      <c r="D42" s="651" t="s">
        <v>2307</v>
      </c>
      <c r="E42" s="651" t="s">
        <v>2302</v>
      </c>
      <c r="F42" s="651" t="s">
        <v>2297</v>
      </c>
      <c r="G42" s="651" t="s">
        <v>2302</v>
      </c>
      <c r="H42" s="651" t="s">
        <v>2297</v>
      </c>
      <c r="I42" s="655"/>
      <c r="J42" s="672"/>
      <c r="K42" s="655"/>
      <c r="L42" s="672"/>
      <c r="M42" s="655"/>
      <c r="N42" s="673"/>
      <c r="O42" s="348"/>
      <c r="P42" s="348"/>
      <c r="Q42" s="348"/>
      <c r="R42" s="349"/>
    </row>
    <row r="43" spans="2:18" ht="18" customHeight="1" x14ac:dyDescent="0.2">
      <c r="B43" s="620" t="s">
        <v>984</v>
      </c>
      <c r="C43" s="651" t="s">
        <v>2300</v>
      </c>
      <c r="D43" s="651" t="s">
        <v>2308</v>
      </c>
      <c r="E43" s="651" t="s">
        <v>2302</v>
      </c>
      <c r="F43" s="651" t="s">
        <v>2297</v>
      </c>
      <c r="G43" s="651" t="s">
        <v>2302</v>
      </c>
      <c r="H43" s="651" t="s">
        <v>2297</v>
      </c>
      <c r="I43" s="676"/>
      <c r="J43" s="677"/>
      <c r="K43" s="676"/>
      <c r="L43" s="677"/>
      <c r="M43" s="676"/>
      <c r="N43" s="678"/>
      <c r="O43" s="348"/>
      <c r="P43" s="348"/>
      <c r="Q43" s="348"/>
      <c r="R43" s="349"/>
    </row>
    <row r="44" spans="2:18" ht="18" customHeight="1" x14ac:dyDescent="0.2">
      <c r="B44" s="620" t="s">
        <v>987</v>
      </c>
      <c r="C44" s="651" t="s">
        <v>2300</v>
      </c>
      <c r="D44" s="651" t="s">
        <v>2308</v>
      </c>
      <c r="E44" s="651" t="s">
        <v>2302</v>
      </c>
      <c r="F44" s="651" t="s">
        <v>2297</v>
      </c>
      <c r="G44" s="651" t="s">
        <v>2302</v>
      </c>
      <c r="H44" s="651" t="s">
        <v>2297</v>
      </c>
      <c r="I44" s="676"/>
      <c r="J44" s="677"/>
      <c r="K44" s="676"/>
      <c r="L44" s="677"/>
      <c r="M44" s="676"/>
      <c r="N44" s="678"/>
      <c r="O44" s="348"/>
      <c r="P44" s="348"/>
      <c r="Q44" s="348"/>
      <c r="R44" s="349"/>
    </row>
    <row r="45" spans="2:18" ht="18" customHeight="1" x14ac:dyDescent="0.2">
      <c r="B45" s="620" t="s">
        <v>1525</v>
      </c>
      <c r="C45" s="651" t="s">
        <v>2302</v>
      </c>
      <c r="D45" s="651" t="s">
        <v>2307</v>
      </c>
      <c r="E45" s="651" t="s">
        <v>2298</v>
      </c>
      <c r="F45" s="651" t="s">
        <v>2299</v>
      </c>
      <c r="G45" s="651" t="s">
        <v>2154</v>
      </c>
      <c r="H45" s="651" t="s">
        <v>2147</v>
      </c>
      <c r="I45" s="655"/>
      <c r="J45" s="672"/>
      <c r="K45" s="655"/>
      <c r="L45" s="672"/>
      <c r="M45" s="655"/>
      <c r="N45" s="673"/>
      <c r="O45" s="348"/>
      <c r="P45" s="348"/>
      <c r="Q45" s="348"/>
      <c r="R45" s="349"/>
    </row>
    <row r="46" spans="2:18" ht="18" customHeight="1" x14ac:dyDescent="0.2">
      <c r="B46" s="620" t="s">
        <v>1526</v>
      </c>
      <c r="C46" s="651" t="s">
        <v>2302</v>
      </c>
      <c r="D46" s="651" t="s">
        <v>2307</v>
      </c>
      <c r="E46" s="651" t="s">
        <v>2302</v>
      </c>
      <c r="F46" s="651" t="s">
        <v>2297</v>
      </c>
      <c r="G46" s="651" t="s">
        <v>2302</v>
      </c>
      <c r="H46" s="651" t="s">
        <v>2297</v>
      </c>
      <c r="I46" s="655"/>
      <c r="J46" s="672"/>
      <c r="K46" s="655"/>
      <c r="L46" s="672"/>
      <c r="M46" s="655"/>
      <c r="N46" s="673"/>
      <c r="O46" s="348"/>
      <c r="P46" s="348"/>
      <c r="Q46" s="348"/>
      <c r="R46" s="349"/>
    </row>
    <row r="47" spans="2:18" ht="18" customHeight="1" x14ac:dyDescent="0.2">
      <c r="B47" s="620" t="s">
        <v>1527</v>
      </c>
      <c r="C47" s="651" t="s">
        <v>2146</v>
      </c>
      <c r="D47" s="651" t="s">
        <v>2147</v>
      </c>
      <c r="E47" s="651" t="s">
        <v>2146</v>
      </c>
      <c r="F47" s="651" t="s">
        <v>2147</v>
      </c>
      <c r="G47" s="651" t="s">
        <v>2146</v>
      </c>
      <c r="H47" s="651" t="s">
        <v>2147</v>
      </c>
      <c r="I47" s="658"/>
      <c r="J47" s="679"/>
      <c r="K47" s="658"/>
      <c r="L47" s="679"/>
      <c r="M47" s="658"/>
      <c r="N47" s="680"/>
      <c r="O47" s="348"/>
      <c r="P47" s="348"/>
      <c r="Q47" s="348"/>
      <c r="R47" s="349"/>
    </row>
    <row r="48" spans="2:18" ht="18" customHeight="1" x14ac:dyDescent="0.2">
      <c r="B48" s="620" t="s">
        <v>1528</v>
      </c>
      <c r="C48" s="651" t="s">
        <v>2303</v>
      </c>
      <c r="D48" s="651" t="s">
        <v>2309</v>
      </c>
      <c r="E48" s="655"/>
      <c r="F48" s="655"/>
      <c r="G48" s="655"/>
      <c r="H48" s="655"/>
      <c r="I48" s="658"/>
      <c r="J48" s="679"/>
      <c r="K48" s="658"/>
      <c r="L48" s="679"/>
      <c r="M48" s="658"/>
      <c r="N48" s="680"/>
      <c r="O48" s="348"/>
      <c r="P48" s="348"/>
      <c r="Q48" s="348"/>
      <c r="R48" s="349"/>
    </row>
    <row r="49" spans="2:18" ht="18" customHeight="1" x14ac:dyDescent="0.2">
      <c r="B49" s="620" t="s">
        <v>1529</v>
      </c>
      <c r="C49" s="651" t="s">
        <v>2295</v>
      </c>
      <c r="D49" s="651" t="s">
        <v>2297</v>
      </c>
      <c r="E49" s="651" t="s">
        <v>2147</v>
      </c>
      <c r="F49" s="651" t="s">
        <v>2147</v>
      </c>
      <c r="G49" s="651" t="s">
        <v>2305</v>
      </c>
      <c r="H49" s="651" t="s">
        <v>2306</v>
      </c>
      <c r="I49" s="655"/>
      <c r="J49" s="672"/>
      <c r="K49" s="655"/>
      <c r="L49" s="672"/>
      <c r="M49" s="655"/>
      <c r="N49" s="673"/>
      <c r="O49" s="348"/>
      <c r="P49" s="348"/>
      <c r="Q49" s="348"/>
      <c r="R49" s="349"/>
    </row>
    <row r="50" spans="2:18" ht="18" customHeight="1" x14ac:dyDescent="0.2">
      <c r="B50" s="1401" t="s">
        <v>1500</v>
      </c>
      <c r="C50" s="651" t="s">
        <v>2295</v>
      </c>
      <c r="D50" s="651" t="s">
        <v>2297</v>
      </c>
      <c r="E50" s="651" t="s">
        <v>2302</v>
      </c>
      <c r="F50" s="651" t="s">
        <v>2299</v>
      </c>
      <c r="G50" s="651" t="s">
        <v>2295</v>
      </c>
      <c r="H50" s="651" t="s">
        <v>2297</v>
      </c>
      <c r="I50" s="669"/>
      <c r="J50" s="670"/>
      <c r="K50" s="669"/>
      <c r="L50" s="670"/>
      <c r="M50" s="669"/>
      <c r="N50" s="671"/>
      <c r="O50" s="348"/>
      <c r="P50" s="348"/>
      <c r="Q50" s="348"/>
      <c r="R50" s="349"/>
    </row>
    <row r="51" spans="2:18" ht="18" customHeight="1" x14ac:dyDescent="0.2">
      <c r="B51" s="620" t="s">
        <v>1530</v>
      </c>
      <c r="C51" s="672"/>
      <c r="D51" s="672"/>
      <c r="E51" s="651" t="s">
        <v>2302</v>
      </c>
      <c r="F51" s="651" t="s">
        <v>2306</v>
      </c>
      <c r="G51" s="655"/>
      <c r="H51" s="655"/>
      <c r="I51" s="655"/>
      <c r="J51" s="672"/>
      <c r="K51" s="655"/>
      <c r="L51" s="672"/>
      <c r="M51" s="655"/>
      <c r="N51" s="673"/>
      <c r="O51" s="348"/>
      <c r="P51" s="348"/>
      <c r="Q51" s="348"/>
      <c r="R51" s="349"/>
    </row>
    <row r="52" spans="2:18" ht="18" customHeight="1" x14ac:dyDescent="0.2">
      <c r="B52" s="1396" t="s">
        <v>1531</v>
      </c>
      <c r="C52" s="672"/>
      <c r="D52" s="672"/>
      <c r="E52" s="651" t="s">
        <v>2295</v>
      </c>
      <c r="F52" s="651" t="s">
        <v>2297</v>
      </c>
      <c r="G52" s="651" t="s">
        <v>2295</v>
      </c>
      <c r="H52" s="651" t="s">
        <v>2297</v>
      </c>
      <c r="I52" s="655"/>
      <c r="J52" s="672"/>
      <c r="K52" s="655"/>
      <c r="L52" s="672"/>
      <c r="M52" s="655"/>
      <c r="N52" s="673"/>
      <c r="O52" s="348"/>
      <c r="P52" s="348"/>
      <c r="Q52" s="348"/>
      <c r="R52" s="349"/>
    </row>
    <row r="53" spans="2:18" ht="18" customHeight="1" x14ac:dyDescent="0.2">
      <c r="B53" s="1397" t="s">
        <v>1532</v>
      </c>
      <c r="C53" s="651" t="s">
        <v>2295</v>
      </c>
      <c r="D53" s="651" t="s">
        <v>2297</v>
      </c>
      <c r="E53" s="651" t="s">
        <v>2295</v>
      </c>
      <c r="F53" s="651" t="s">
        <v>2297</v>
      </c>
      <c r="G53" s="651" t="s">
        <v>2295</v>
      </c>
      <c r="H53" s="651" t="s">
        <v>2297</v>
      </c>
      <c r="I53" s="655"/>
      <c r="J53" s="672"/>
      <c r="K53" s="655"/>
      <c r="L53" s="672"/>
      <c r="M53" s="655"/>
      <c r="N53" s="673"/>
      <c r="O53" s="348"/>
      <c r="P53" s="348"/>
      <c r="Q53" s="348"/>
      <c r="R53" s="349"/>
    </row>
    <row r="54" spans="2:18" ht="18" customHeight="1" x14ac:dyDescent="0.2">
      <c r="B54" s="620" t="s">
        <v>1533</v>
      </c>
      <c r="C54" s="674"/>
      <c r="D54" s="674"/>
      <c r="E54" s="651" t="s">
        <v>2302</v>
      </c>
      <c r="F54" s="651" t="s">
        <v>2299</v>
      </c>
      <c r="G54" s="651" t="s">
        <v>2295</v>
      </c>
      <c r="H54" s="651" t="s">
        <v>2297</v>
      </c>
      <c r="I54" s="655"/>
      <c r="J54" s="672"/>
      <c r="K54" s="655"/>
      <c r="L54" s="672"/>
      <c r="M54" s="655"/>
      <c r="N54" s="673"/>
      <c r="O54" s="348"/>
      <c r="P54" s="348"/>
      <c r="Q54" s="348"/>
      <c r="R54" s="349"/>
    </row>
    <row r="55" spans="2:18" ht="18" customHeight="1" x14ac:dyDescent="0.2">
      <c r="B55" s="620" t="s">
        <v>1534</v>
      </c>
      <c r="C55" s="651" t="s">
        <v>2147</v>
      </c>
      <c r="D55" s="651" t="s">
        <v>2147</v>
      </c>
      <c r="E55" s="651" t="s">
        <v>2147</v>
      </c>
      <c r="F55" s="651" t="s">
        <v>2147</v>
      </c>
      <c r="G55" s="651" t="s">
        <v>2147</v>
      </c>
      <c r="H55" s="651" t="s">
        <v>2147</v>
      </c>
      <c r="I55" s="655"/>
      <c r="J55" s="672"/>
      <c r="K55" s="655"/>
      <c r="L55" s="672"/>
      <c r="M55" s="655"/>
      <c r="N55" s="673"/>
      <c r="O55" s="348"/>
      <c r="P55" s="348"/>
      <c r="Q55" s="348"/>
      <c r="R55" s="349"/>
    </row>
    <row r="56" spans="2:18" ht="18" customHeight="1" thickBot="1" x14ac:dyDescent="0.25">
      <c r="B56" s="1403" t="s">
        <v>2075</v>
      </c>
      <c r="C56" s="681" t="s">
        <v>2147</v>
      </c>
      <c r="D56" s="681" t="s">
        <v>2147</v>
      </c>
      <c r="E56" s="681" t="s">
        <v>2147</v>
      </c>
      <c r="F56" s="681" t="s">
        <v>2147</v>
      </c>
      <c r="G56" s="681" t="s">
        <v>2147</v>
      </c>
      <c r="H56" s="681" t="s">
        <v>2147</v>
      </c>
      <c r="I56" s="681" t="s">
        <v>2147</v>
      </c>
      <c r="J56" s="681" t="s">
        <v>2147</v>
      </c>
      <c r="K56" s="681" t="s">
        <v>2147</v>
      </c>
      <c r="L56" s="681" t="s">
        <v>2147</v>
      </c>
      <c r="M56" s="681" t="s">
        <v>2147</v>
      </c>
      <c r="N56" s="681" t="s">
        <v>2147</v>
      </c>
      <c r="O56" s="681" t="s">
        <v>2147</v>
      </c>
      <c r="P56" s="681" t="s">
        <v>2147</v>
      </c>
      <c r="Q56" s="681" t="s">
        <v>2147</v>
      </c>
      <c r="R56" s="712" t="s">
        <v>2147</v>
      </c>
    </row>
    <row r="58" spans="2:18" ht="15" customHeight="1" x14ac:dyDescent="0.2">
      <c r="B58" s="1597"/>
      <c r="C58" s="1597"/>
      <c r="D58" s="664"/>
      <c r="E58" s="664"/>
      <c r="F58" s="664"/>
      <c r="G58" s="664"/>
      <c r="H58" s="664"/>
      <c r="I58" s="664"/>
      <c r="J58" s="664"/>
      <c r="K58" s="664"/>
      <c r="L58" s="664"/>
      <c r="M58" s="664"/>
      <c r="N58" s="664"/>
      <c r="O58" s="664"/>
      <c r="P58" s="664"/>
      <c r="Q58" s="664"/>
      <c r="R58" s="664"/>
    </row>
    <row r="59" spans="2:18" ht="15" x14ac:dyDescent="0.2">
      <c r="B59" s="1606"/>
      <c r="C59" s="665"/>
      <c r="D59" s="665"/>
      <c r="E59" s="664"/>
      <c r="F59" s="664"/>
      <c r="G59" s="666"/>
      <c r="H59" s="666"/>
      <c r="I59" s="666"/>
      <c r="J59" s="664"/>
      <c r="K59" s="667"/>
      <c r="L59" s="664"/>
      <c r="M59" s="664"/>
      <c r="N59" s="664"/>
      <c r="O59" s="664"/>
      <c r="P59" s="664"/>
      <c r="Q59" s="664"/>
      <c r="R59" s="664"/>
    </row>
    <row r="60" spans="2:18" ht="15" x14ac:dyDescent="0.2">
      <c r="B60" s="1606"/>
      <c r="C60" s="666"/>
      <c r="D60" s="666"/>
      <c r="E60" s="664"/>
      <c r="F60" s="664"/>
      <c r="G60" s="666"/>
      <c r="H60" s="665"/>
      <c r="I60" s="665"/>
      <c r="J60" s="664"/>
      <c r="K60" s="664"/>
      <c r="L60" s="664"/>
      <c r="M60" s="664"/>
      <c r="N60" s="664"/>
      <c r="O60" s="664"/>
      <c r="P60" s="664"/>
      <c r="Q60" s="664"/>
      <c r="R60" s="664"/>
    </row>
    <row r="61" spans="2:18" ht="15" x14ac:dyDescent="0.2">
      <c r="B61" s="1606"/>
      <c r="C61" s="665"/>
      <c r="D61" s="665"/>
      <c r="E61" s="664"/>
      <c r="F61" s="664"/>
      <c r="G61" s="666"/>
      <c r="H61" s="664"/>
      <c r="I61" s="665"/>
      <c r="J61" s="664"/>
      <c r="K61" s="664"/>
      <c r="L61" s="664"/>
      <c r="M61" s="664"/>
      <c r="N61" s="664"/>
      <c r="O61" s="664"/>
      <c r="P61" s="664"/>
      <c r="Q61" s="664"/>
      <c r="R61" s="664"/>
    </row>
    <row r="62" spans="2:18" ht="38.25" customHeight="1" x14ac:dyDescent="0.2">
      <c r="B62" s="664"/>
      <c r="C62" s="664"/>
      <c r="D62" s="664"/>
      <c r="E62" s="664"/>
      <c r="F62" s="664"/>
      <c r="G62" s="664"/>
      <c r="H62" s="664"/>
      <c r="I62" s="664"/>
      <c r="J62" s="664"/>
      <c r="K62" s="664"/>
      <c r="L62" s="664"/>
      <c r="M62" s="664"/>
      <c r="N62" s="664"/>
      <c r="O62" s="664"/>
      <c r="P62" s="664"/>
      <c r="Q62" s="664"/>
      <c r="R62" s="664"/>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598"/>
      <c r="C65" s="1598"/>
      <c r="D65" s="1598"/>
      <c r="E65" s="664"/>
      <c r="F65" s="664"/>
      <c r="G65" s="664"/>
      <c r="H65" s="664"/>
      <c r="I65" s="664"/>
      <c r="J65" s="664"/>
      <c r="K65" s="664"/>
      <c r="L65" s="664"/>
      <c r="M65" s="664"/>
      <c r="N65" s="664"/>
      <c r="O65" s="664"/>
      <c r="P65" s="664"/>
      <c r="Q65" s="664"/>
      <c r="R65" s="664"/>
    </row>
    <row r="66" spans="2:18" ht="15" customHeight="1" x14ac:dyDescent="0.2">
      <c r="B66" s="1598"/>
      <c r="C66" s="1598"/>
      <c r="D66" s="1598"/>
      <c r="E66" s="664"/>
      <c r="F66" s="664"/>
      <c r="G66" s="664"/>
      <c r="H66" s="664"/>
      <c r="I66" s="664"/>
      <c r="J66" s="664"/>
      <c r="K66" s="664"/>
      <c r="L66" s="664"/>
      <c r="M66" s="664"/>
      <c r="N66" s="664"/>
      <c r="O66" s="664"/>
      <c r="P66" s="664"/>
      <c r="Q66" s="664"/>
      <c r="R66" s="664"/>
    </row>
    <row r="67" spans="2:18" ht="15" customHeight="1" x14ac:dyDescent="0.2">
      <c r="B67" s="1607"/>
      <c r="C67" s="665"/>
      <c r="D67" s="665"/>
      <c r="E67" s="1608"/>
      <c r="F67" s="664"/>
      <c r="G67" s="665"/>
      <c r="H67" s="664"/>
      <c r="I67" s="664"/>
      <c r="J67" s="664"/>
      <c r="K67" s="664"/>
      <c r="L67" s="664"/>
      <c r="M67" s="664"/>
      <c r="N67" s="664"/>
      <c r="O67" s="664"/>
      <c r="P67" s="664"/>
      <c r="Q67" s="664"/>
      <c r="R67" s="664"/>
    </row>
    <row r="68" spans="2:18" ht="15" customHeight="1" x14ac:dyDescent="0.2">
      <c r="B68" s="1607"/>
      <c r="C68" s="665"/>
      <c r="D68" s="665"/>
      <c r="E68" s="664"/>
      <c r="F68" s="664"/>
      <c r="G68" s="667"/>
      <c r="H68" s="664"/>
      <c r="I68" s="664"/>
      <c r="J68" s="664"/>
      <c r="K68" s="664"/>
      <c r="L68" s="664"/>
      <c r="M68" s="664"/>
      <c r="N68" s="664"/>
      <c r="O68" s="664"/>
      <c r="P68" s="664"/>
      <c r="Q68" s="664"/>
      <c r="R68" s="664"/>
    </row>
    <row r="69" spans="2:18" ht="12.75" x14ac:dyDescent="0.2"/>
    <row r="70" spans="2:18" ht="15.75" thickBot="1" x14ac:dyDescent="0.25">
      <c r="B70" s="1609"/>
      <c r="C70" s="1609"/>
      <c r="D70" s="1609"/>
      <c r="E70" s="1609"/>
      <c r="F70" s="1609"/>
      <c r="G70" s="1609"/>
      <c r="H70" s="1609"/>
      <c r="I70" s="1609"/>
      <c r="J70" s="1609"/>
      <c r="K70" s="1609"/>
      <c r="L70" s="1609"/>
      <c r="M70" s="1609"/>
      <c r="N70" s="1609"/>
      <c r="O70" s="1609"/>
      <c r="P70" s="1609"/>
      <c r="Q70" s="1609"/>
      <c r="R70" s="1609"/>
    </row>
    <row r="71" spans="2:18" ht="12" customHeight="1" x14ac:dyDescent="0.2">
      <c r="B71" s="2244" t="s">
        <v>352</v>
      </c>
      <c r="C71" s="2245"/>
      <c r="D71" s="2245"/>
      <c r="E71" s="2245"/>
      <c r="F71" s="2245"/>
      <c r="G71" s="2245"/>
      <c r="H71" s="2245"/>
      <c r="I71" s="2245"/>
      <c r="J71" s="2245"/>
      <c r="K71" s="2245"/>
      <c r="L71" s="2245"/>
      <c r="M71" s="2246"/>
      <c r="N71" s="1609"/>
      <c r="O71" s="1609"/>
      <c r="P71" s="1609"/>
      <c r="Q71" s="1609"/>
      <c r="R71" s="1609"/>
    </row>
    <row r="72" spans="2:18" ht="12" customHeight="1" x14ac:dyDescent="0.2">
      <c r="B72" s="2247"/>
      <c r="C72" s="2243"/>
      <c r="D72" s="2243"/>
      <c r="E72" s="2243"/>
      <c r="F72" s="2243"/>
      <c r="G72" s="2243"/>
      <c r="H72" s="2243"/>
      <c r="I72" s="2243"/>
      <c r="J72" s="2243"/>
      <c r="K72" s="2243"/>
      <c r="L72" s="2243"/>
      <c r="M72" s="2248"/>
      <c r="N72" s="1609"/>
      <c r="O72" s="1609"/>
      <c r="P72" s="1609"/>
      <c r="Q72" s="1609"/>
      <c r="R72" s="1609"/>
    </row>
    <row r="73" spans="2:18" ht="12" customHeight="1" x14ac:dyDescent="0.2">
      <c r="B73" s="2247"/>
      <c r="C73" s="2243"/>
      <c r="D73" s="2243"/>
      <c r="E73" s="2243"/>
      <c r="F73" s="2243"/>
      <c r="G73" s="2243"/>
      <c r="H73" s="2243"/>
      <c r="I73" s="2243"/>
      <c r="J73" s="2243"/>
      <c r="K73" s="2243"/>
      <c r="L73" s="2243"/>
      <c r="M73" s="2248"/>
      <c r="N73" s="1609"/>
      <c r="O73" s="1609"/>
      <c r="P73" s="1609"/>
      <c r="Q73" s="1609"/>
      <c r="R73" s="1609"/>
    </row>
    <row r="74" spans="2:18" ht="12" customHeight="1" x14ac:dyDescent="0.2">
      <c r="B74" s="2247"/>
      <c r="C74" s="2243"/>
      <c r="D74" s="2243"/>
      <c r="E74" s="2243"/>
      <c r="F74" s="2243"/>
      <c r="G74" s="2243"/>
      <c r="H74" s="2243"/>
      <c r="I74" s="2243"/>
      <c r="J74" s="2243"/>
      <c r="K74" s="2243"/>
      <c r="L74" s="2243"/>
      <c r="M74" s="2248"/>
      <c r="N74" s="1609"/>
      <c r="O74" s="1609"/>
      <c r="P74" s="1609"/>
      <c r="Q74" s="1609"/>
      <c r="R74" s="1609"/>
    </row>
    <row r="75" spans="2:18" ht="12" customHeight="1" x14ac:dyDescent="0.2">
      <c r="B75" s="2247"/>
      <c r="C75" s="2243"/>
      <c r="D75" s="2243"/>
      <c r="E75" s="2243"/>
      <c r="F75" s="2243"/>
      <c r="G75" s="2243"/>
      <c r="H75" s="2243"/>
      <c r="I75" s="2243"/>
      <c r="J75" s="2243"/>
      <c r="K75" s="2243"/>
      <c r="L75" s="2243"/>
      <c r="M75" s="2248"/>
      <c r="N75" s="1609"/>
      <c r="O75" s="1609"/>
      <c r="P75" s="1609"/>
      <c r="Q75" s="1609"/>
      <c r="R75" s="1609"/>
    </row>
    <row r="76" spans="2:18" ht="12" customHeight="1" x14ac:dyDescent="0.2">
      <c r="B76" s="2252"/>
      <c r="C76" s="2253"/>
      <c r="D76" s="2253"/>
      <c r="E76" s="2253"/>
      <c r="F76" s="2253"/>
      <c r="G76" s="2253"/>
      <c r="H76" s="2253"/>
      <c r="I76" s="2253"/>
      <c r="J76" s="2253"/>
      <c r="K76" s="2253"/>
      <c r="L76" s="2253"/>
      <c r="M76" s="2254"/>
      <c r="N76" s="1609"/>
      <c r="O76" s="1609"/>
      <c r="P76" s="1609"/>
      <c r="Q76" s="1609"/>
      <c r="R76" s="1609"/>
    </row>
    <row r="77" spans="2:18" ht="12" customHeight="1" x14ac:dyDescent="0.2">
      <c r="B77" s="2249"/>
      <c r="M77" s="2250"/>
      <c r="N77" s="1609"/>
      <c r="O77" s="1609"/>
      <c r="P77" s="1609"/>
      <c r="Q77" s="1609"/>
      <c r="R77" s="1609"/>
    </row>
    <row r="78" spans="2:18" ht="12" customHeight="1" thickBot="1" x14ac:dyDescent="0.25">
      <c r="B78" s="2251"/>
      <c r="C78" s="1011"/>
      <c r="D78" s="1011"/>
      <c r="E78" s="1011"/>
      <c r="F78" s="1011"/>
      <c r="G78" s="1011"/>
      <c r="H78" s="1011"/>
      <c r="I78" s="1011"/>
      <c r="J78" s="1011"/>
      <c r="K78" s="1011"/>
      <c r="L78" s="1011"/>
      <c r="M78" s="1012"/>
      <c r="N78" s="1609"/>
      <c r="O78" s="1609"/>
      <c r="P78" s="1609"/>
      <c r="Q78" s="1609"/>
      <c r="R78" s="1609"/>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1545</v>
      </c>
      <c r="C1" s="213"/>
      <c r="D1" s="213"/>
      <c r="E1" s="213"/>
      <c r="F1" s="213"/>
      <c r="G1" s="213"/>
      <c r="I1" s="14" t="s">
        <v>2521</v>
      </c>
    </row>
    <row r="2" spans="2:9" ht="15.75" x14ac:dyDescent="0.2">
      <c r="B2" s="3" t="s">
        <v>62</v>
      </c>
      <c r="I2" s="14" t="s">
        <v>2522</v>
      </c>
    </row>
    <row r="3" spans="2:9" x14ac:dyDescent="0.2">
      <c r="I3" s="14" t="s">
        <v>2144</v>
      </c>
    </row>
    <row r="4" spans="2:9" hidden="1" x14ac:dyDescent="0.2">
      <c r="I4" s="2"/>
    </row>
    <row r="5" spans="2:9" hidden="1" x14ac:dyDescent="0.2">
      <c r="I5" s="2"/>
    </row>
    <row r="6" spans="2:9" ht="13.5" thickBot="1" x14ac:dyDescent="0.25">
      <c r="B6" s="2446" t="s">
        <v>64</v>
      </c>
      <c r="I6" s="2"/>
    </row>
    <row r="7" spans="2:9" ht="18" customHeight="1" thickBot="1" x14ac:dyDescent="0.25">
      <c r="B7" s="2545"/>
      <c r="C7" s="683" t="s">
        <v>1547</v>
      </c>
      <c r="D7" s="2544"/>
      <c r="E7" s="2544"/>
      <c r="F7" s="2544"/>
      <c r="G7" s="684"/>
      <c r="H7" s="683" t="s">
        <v>1548</v>
      </c>
      <c r="I7" s="684"/>
    </row>
    <row r="8" spans="2:9" ht="18" customHeight="1" x14ac:dyDescent="0.2">
      <c r="B8" s="2546" t="s">
        <v>1546</v>
      </c>
      <c r="C8" s="2541" t="s">
        <v>424</v>
      </c>
      <c r="D8" s="2542" t="s">
        <v>70</v>
      </c>
      <c r="E8" s="2543" t="s">
        <v>71</v>
      </c>
      <c r="F8" s="2543" t="s">
        <v>1549</v>
      </c>
      <c r="G8" s="2543" t="s">
        <v>1550</v>
      </c>
      <c r="H8" s="685" t="s">
        <v>1995</v>
      </c>
      <c r="I8" s="686" t="s">
        <v>1994</v>
      </c>
    </row>
    <row r="9" spans="2:9" ht="18" customHeight="1" thickBot="1" x14ac:dyDescent="0.25">
      <c r="B9" s="2547"/>
      <c r="C9" s="687" t="s">
        <v>73</v>
      </c>
      <c r="D9" s="687"/>
      <c r="E9" s="687"/>
      <c r="F9" s="687"/>
      <c r="G9" s="687"/>
      <c r="H9" s="688" t="s">
        <v>73</v>
      </c>
      <c r="I9" s="689"/>
    </row>
    <row r="10" spans="2:9" ht="18" customHeight="1" thickTop="1" thickBot="1" x14ac:dyDescent="0.25">
      <c r="B10" s="690" t="s">
        <v>1514</v>
      </c>
      <c r="C10" s="4412">
        <f>SUM(C11:C16)</f>
        <v>5178.2861363655638</v>
      </c>
      <c r="D10" s="4413">
        <f t="shared" ref="D10:F10" si="0">SUM(D11:D16)</f>
        <v>29973.85539936689</v>
      </c>
      <c r="E10" s="4413">
        <f t="shared" si="0"/>
        <v>2045.787740628874</v>
      </c>
      <c r="F10" s="4413">
        <f t="shared" si="0"/>
        <v>3182.9752178247609</v>
      </c>
      <c r="G10" s="4414" t="s">
        <v>2146</v>
      </c>
      <c r="H10" s="4415" t="s">
        <v>2312</v>
      </c>
      <c r="I10" s="4416" t="s">
        <v>2313</v>
      </c>
    </row>
    <row r="11" spans="2:9" ht="18" customHeight="1" x14ac:dyDescent="0.2">
      <c r="B11" s="1558" t="s">
        <v>1476</v>
      </c>
      <c r="C11" s="4417">
        <f>Table1!D10</f>
        <v>1391.6847672179999</v>
      </c>
      <c r="D11" s="4418">
        <f>Table1!G10</f>
        <v>3483.5397435268651</v>
      </c>
      <c r="E11" s="4418">
        <f>Table1!H10</f>
        <v>718.45951767382735</v>
      </c>
      <c r="F11" s="4418">
        <f>Table1!F10</f>
        <v>2138.8032938589249</v>
      </c>
      <c r="G11" s="4419" t="s">
        <v>2146</v>
      </c>
      <c r="H11" s="4420" t="s">
        <v>2154</v>
      </c>
      <c r="I11" s="4421" t="s">
        <v>2154</v>
      </c>
    </row>
    <row r="12" spans="2:9" ht="18" customHeight="1" x14ac:dyDescent="0.2">
      <c r="B12" s="2393" t="s">
        <v>1551</v>
      </c>
      <c r="C12" s="4422">
        <f>'Table2(I)'!D10</f>
        <v>3.5465822636148943</v>
      </c>
      <c r="D12" s="4388">
        <f>'Table2(I)'!L10</f>
        <v>10.314809980880625</v>
      </c>
      <c r="E12" s="4388">
        <f>'Table2(I)'!M10</f>
        <v>239.36323775397858</v>
      </c>
      <c r="F12" s="4388">
        <f>'Table2(I)'!K10</f>
        <v>38.506250117455558</v>
      </c>
      <c r="G12" s="4423" t="s">
        <v>2146</v>
      </c>
      <c r="H12" s="4424" t="s">
        <v>2146</v>
      </c>
      <c r="I12" s="4425" t="s">
        <v>2146</v>
      </c>
    </row>
    <row r="13" spans="2:9" ht="18" customHeight="1" x14ac:dyDescent="0.2">
      <c r="B13" s="2393" t="s">
        <v>1552</v>
      </c>
      <c r="C13" s="4422">
        <f>Table3!D10</f>
        <v>2513.7575033661415</v>
      </c>
      <c r="D13" s="4388">
        <f>Table3!G10</f>
        <v>449.81958222232674</v>
      </c>
      <c r="E13" s="4388">
        <f>Table3!H10</f>
        <v>26.239475629635731</v>
      </c>
      <c r="F13" s="4388">
        <f>Table3!F10</f>
        <v>27.414561599679626</v>
      </c>
      <c r="G13" s="4426"/>
      <c r="H13" s="4424" t="s">
        <v>2154</v>
      </c>
      <c r="I13" s="4425" t="s">
        <v>2153</v>
      </c>
    </row>
    <row r="14" spans="2:9" ht="18" customHeight="1" x14ac:dyDescent="0.2">
      <c r="B14" s="2393" t="s">
        <v>1553</v>
      </c>
      <c r="C14" s="4422">
        <f>Table4!D10</f>
        <v>726.3529216532221</v>
      </c>
      <c r="D14" s="4388">
        <f>Table4!G10</f>
        <v>26030.181263636816</v>
      </c>
      <c r="E14" s="4423">
        <f>Table4!H10</f>
        <v>803.85393218561467</v>
      </c>
      <c r="F14" s="4423">
        <f>Table4!F10</f>
        <v>978.25111224870068</v>
      </c>
      <c r="G14" s="4426"/>
      <c r="H14" s="4427" t="s">
        <v>2154</v>
      </c>
      <c r="I14" s="4425" t="s">
        <v>2154</v>
      </c>
    </row>
    <row r="15" spans="2:9" ht="18" customHeight="1" x14ac:dyDescent="0.2">
      <c r="B15" s="2393" t="s">
        <v>1554</v>
      </c>
      <c r="C15" s="4422">
        <f>Table5!D10</f>
        <v>542.94436186458563</v>
      </c>
      <c r="D15" s="4388" t="str">
        <f>Table5!G10</f>
        <v>NO</v>
      </c>
      <c r="E15" s="4423">
        <f>Table5!H10</f>
        <v>257.8715773858176</v>
      </c>
      <c r="F15" s="4423" t="str">
        <f>Table5!F10</f>
        <v>NO</v>
      </c>
      <c r="G15" s="4423" t="s">
        <v>2147</v>
      </c>
      <c r="H15" s="4427" t="s">
        <v>2154</v>
      </c>
      <c r="I15" s="4425" t="s">
        <v>2154</v>
      </c>
    </row>
    <row r="16" spans="2:9" ht="18" customHeight="1" thickBot="1" x14ac:dyDescent="0.25">
      <c r="B16" s="2394" t="s">
        <v>2073</v>
      </c>
      <c r="C16" s="4428" t="s">
        <v>2146</v>
      </c>
      <c r="D16" s="4390" t="s">
        <v>2146</v>
      </c>
      <c r="E16" s="4429" t="s">
        <v>2146</v>
      </c>
      <c r="F16" s="4429" t="s">
        <v>2146</v>
      </c>
      <c r="G16" s="4429" t="s">
        <v>2146</v>
      </c>
      <c r="H16" s="4430" t="s">
        <v>2146</v>
      </c>
      <c r="I16" s="4399" t="s">
        <v>2146</v>
      </c>
    </row>
    <row r="17" spans="2:9" x14ac:dyDescent="0.2">
      <c r="B17" s="965"/>
      <c r="C17" s="740"/>
      <c r="D17" s="740"/>
      <c r="E17" s="740"/>
      <c r="F17" s="740"/>
      <c r="G17" s="740"/>
      <c r="H17" s="740"/>
      <c r="I17" s="740"/>
    </row>
    <row r="18" spans="2:9" x14ac:dyDescent="0.2">
      <c r="B18" s="966"/>
      <c r="C18" s="967"/>
      <c r="D18" s="967"/>
      <c r="E18" s="967"/>
      <c r="F18" s="967"/>
      <c r="G18" s="967"/>
      <c r="H18" s="967"/>
      <c r="I18" s="740"/>
    </row>
    <row r="19" spans="2:9" x14ac:dyDescent="0.2">
      <c r="B19" s="966"/>
      <c r="C19" s="740"/>
      <c r="D19" s="740"/>
      <c r="E19" s="740"/>
      <c r="F19" s="740"/>
      <c r="G19" s="740"/>
      <c r="H19" s="740"/>
      <c r="I19" s="740"/>
    </row>
    <row r="25" spans="2:9" ht="13.5" thickBot="1" x14ac:dyDescent="0.25"/>
    <row r="26" spans="2:9" x14ac:dyDescent="0.2">
      <c r="B26" s="739" t="s">
        <v>1384</v>
      </c>
      <c r="C26" s="974"/>
      <c r="D26" s="974"/>
      <c r="E26" s="974"/>
      <c r="F26" s="974"/>
      <c r="G26" s="974"/>
      <c r="H26" s="974"/>
      <c r="I26" s="975"/>
    </row>
    <row r="27" spans="2:9" x14ac:dyDescent="0.2">
      <c r="B27" s="978"/>
      <c r="C27" s="979"/>
      <c r="D27" s="979"/>
      <c r="E27" s="979"/>
      <c r="F27" s="979"/>
      <c r="G27" s="979"/>
      <c r="H27" s="979"/>
      <c r="I27" s="980"/>
    </row>
    <row r="28" spans="2:9" x14ac:dyDescent="0.2">
      <c r="B28" s="978"/>
      <c r="C28" s="979"/>
      <c r="D28" s="979"/>
      <c r="E28" s="979"/>
      <c r="F28" s="979"/>
      <c r="G28" s="979"/>
      <c r="H28" s="979"/>
      <c r="I28" s="980"/>
    </row>
    <row r="29" spans="2:9" ht="13.5" thickBot="1" x14ac:dyDescent="0.25">
      <c r="B29" s="741"/>
      <c r="C29" s="976"/>
      <c r="D29" s="976"/>
      <c r="E29" s="976"/>
      <c r="F29" s="976"/>
      <c r="G29" s="976"/>
      <c r="H29" s="976"/>
      <c r="I29" s="977"/>
    </row>
    <row r="30" spans="2:9" ht="13.5" thickBot="1" x14ac:dyDescent="0.25">
      <c r="B30" s="742"/>
      <c r="C30" s="743"/>
      <c r="D30" s="743"/>
      <c r="E30" s="743"/>
      <c r="F30" s="743"/>
      <c r="G30" s="743"/>
      <c r="H30" s="743"/>
      <c r="I30" s="744"/>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showGridLines="0" zoomScale="80" zoomScaleNormal="80" workbookViewId="0">
      <pane xSplit="3" ySplit="9" topLeftCell="D10" activePane="bottomRight" state="frozen"/>
      <selection pane="topRight" activeCell="D1" sqref="D1"/>
      <selection pane="bottomLeft" activeCell="A10" sqref="A10"/>
      <selection pane="bottomRight" activeCell="D10" sqref="D10"/>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1922</v>
      </c>
      <c r="C1" s="213"/>
      <c r="G1" s="14" t="s">
        <v>2521</v>
      </c>
    </row>
    <row r="2" spans="2:8" ht="15.75" x14ac:dyDescent="0.2">
      <c r="B2" s="3" t="s">
        <v>62</v>
      </c>
      <c r="G2" s="14" t="s">
        <v>2522</v>
      </c>
    </row>
    <row r="3" spans="2:8" x14ac:dyDescent="0.2">
      <c r="B3" s="2446" t="s">
        <v>64</v>
      </c>
      <c r="G3" s="14" t="s">
        <v>2144</v>
      </c>
    </row>
    <row r="4" spans="2:8" ht="13.5" thickBot="1" x14ac:dyDescent="0.25">
      <c r="B4" s="2446"/>
      <c r="G4" s="2"/>
    </row>
    <row r="5" spans="2:8" hidden="1" x14ac:dyDescent="0.2">
      <c r="B5" s="2446"/>
      <c r="G5" s="2"/>
    </row>
    <row r="6" spans="2:8" ht="18.75" thickBot="1" x14ac:dyDescent="0.25">
      <c r="B6" s="2462"/>
      <c r="C6" s="549"/>
      <c r="D6" s="2516"/>
      <c r="E6" s="2517"/>
      <c r="F6" s="2518" t="s">
        <v>1996</v>
      </c>
      <c r="G6" s="3767">
        <v>0.95</v>
      </c>
    </row>
    <row r="7" spans="2:8" ht="13.5" thickBot="1" x14ac:dyDescent="0.25">
      <c r="B7" s="549"/>
      <c r="C7" s="549"/>
      <c r="H7" s="619"/>
    </row>
    <row r="8" spans="2:8" ht="28.5" x14ac:dyDescent="0.2">
      <c r="B8" s="1599" t="s">
        <v>1997</v>
      </c>
      <c r="C8" s="1600" t="s">
        <v>1555</v>
      </c>
      <c r="D8" s="1601" t="s">
        <v>1556</v>
      </c>
      <c r="E8" s="1602"/>
      <c r="F8" s="2490" t="s">
        <v>2070</v>
      </c>
      <c r="G8" s="2492" t="s">
        <v>2071</v>
      </c>
    </row>
    <row r="9" spans="2:8" ht="18" customHeight="1" thickBot="1" x14ac:dyDescent="0.25">
      <c r="B9" s="1603"/>
      <c r="C9" s="1604"/>
      <c r="D9" s="1605" t="s">
        <v>1557</v>
      </c>
      <c r="E9" s="1605" t="s">
        <v>1558</v>
      </c>
      <c r="F9" s="2491" t="s">
        <v>1831</v>
      </c>
      <c r="G9" s="2493" t="s">
        <v>1831</v>
      </c>
      <c r="H9" s="19"/>
    </row>
    <row r="10" spans="2:8" ht="18" customHeight="1" thickTop="1" x14ac:dyDescent="0.25">
      <c r="B10" s="1162" t="s">
        <v>1559</v>
      </c>
      <c r="C10" s="1443" t="s">
        <v>1560</v>
      </c>
      <c r="D10" s="3768" t="s">
        <v>2310</v>
      </c>
      <c r="E10" s="3768" t="s">
        <v>2310</v>
      </c>
      <c r="F10" s="3768" t="s">
        <v>2310</v>
      </c>
      <c r="G10" s="3769" t="s">
        <v>2310</v>
      </c>
    </row>
    <row r="11" spans="2:8" ht="18" customHeight="1" x14ac:dyDescent="0.25">
      <c r="B11" s="1162" t="s">
        <v>1559</v>
      </c>
      <c r="C11" s="1166" t="s">
        <v>1561</v>
      </c>
      <c r="D11" s="3768"/>
      <c r="E11" s="3768"/>
      <c r="F11" s="3768"/>
      <c r="G11" s="3769"/>
    </row>
    <row r="12" spans="2:8" ht="18" customHeight="1" x14ac:dyDescent="0.25">
      <c r="B12" s="1162" t="s">
        <v>1559</v>
      </c>
      <c r="C12" s="1166" t="s">
        <v>1562</v>
      </c>
      <c r="D12" s="3768"/>
      <c r="E12" s="3768"/>
      <c r="F12" s="3768"/>
      <c r="G12" s="3769"/>
    </row>
    <row r="13" spans="2:8" ht="18" customHeight="1" x14ac:dyDescent="0.25">
      <c r="B13" s="1162" t="s">
        <v>1563</v>
      </c>
      <c r="C13" s="1443" t="s">
        <v>1560</v>
      </c>
      <c r="D13" s="3768" t="s">
        <v>2310</v>
      </c>
      <c r="E13" s="3768" t="s">
        <v>2310</v>
      </c>
      <c r="F13" s="3768" t="s">
        <v>2310</v>
      </c>
      <c r="G13" s="3769" t="s">
        <v>2310</v>
      </c>
    </row>
    <row r="14" spans="2:8" ht="18" customHeight="1" x14ac:dyDescent="0.25">
      <c r="B14" s="1162" t="s">
        <v>1563</v>
      </c>
      <c r="C14" s="1166" t="s">
        <v>1561</v>
      </c>
      <c r="D14" s="3768"/>
      <c r="E14" s="3768"/>
      <c r="F14" s="3768"/>
      <c r="G14" s="3769"/>
    </row>
    <row r="15" spans="2:8" ht="18" customHeight="1" x14ac:dyDescent="0.25">
      <c r="B15" s="1162" t="s">
        <v>1563</v>
      </c>
      <c r="C15" s="1166" t="s">
        <v>1562</v>
      </c>
      <c r="D15" s="3768"/>
      <c r="E15" s="3768"/>
      <c r="F15" s="3768"/>
      <c r="G15" s="3769"/>
    </row>
    <row r="16" spans="2:8" ht="18" customHeight="1" x14ac:dyDescent="0.25">
      <c r="B16" s="1162" t="s">
        <v>1564</v>
      </c>
      <c r="C16" s="1443" t="s">
        <v>1560</v>
      </c>
      <c r="D16" s="3768" t="s">
        <v>2310</v>
      </c>
      <c r="E16" s="3768" t="s">
        <v>2310</v>
      </c>
      <c r="F16" s="3768" t="s">
        <v>2310</v>
      </c>
      <c r="G16" s="3769" t="s">
        <v>2310</v>
      </c>
    </row>
    <row r="17" spans="2:7" ht="18" customHeight="1" x14ac:dyDescent="0.25">
      <c r="B17" s="1162" t="s">
        <v>1564</v>
      </c>
      <c r="C17" s="1166" t="s">
        <v>1561</v>
      </c>
      <c r="D17" s="3768"/>
      <c r="E17" s="3768"/>
      <c r="F17" s="3768"/>
      <c r="G17" s="3769"/>
    </row>
    <row r="18" spans="2:7" ht="18" customHeight="1" x14ac:dyDescent="0.25">
      <c r="B18" s="1162" t="s">
        <v>1564</v>
      </c>
      <c r="C18" s="1166" t="s">
        <v>1562</v>
      </c>
      <c r="D18" s="3768"/>
      <c r="E18" s="3768"/>
      <c r="F18" s="3768"/>
      <c r="G18" s="3769"/>
    </row>
    <row r="19" spans="2:7" ht="18" customHeight="1" x14ac:dyDescent="0.25">
      <c r="B19" s="1162" t="s">
        <v>1565</v>
      </c>
      <c r="C19" s="1443" t="s">
        <v>1560</v>
      </c>
      <c r="D19" s="3768"/>
      <c r="E19" s="3768"/>
      <c r="F19" s="3768"/>
      <c r="G19" s="3769"/>
    </row>
    <row r="20" spans="2:7" ht="18" customHeight="1" x14ac:dyDescent="0.25">
      <c r="B20" s="1162" t="s">
        <v>1565</v>
      </c>
      <c r="C20" s="1166" t="s">
        <v>1561</v>
      </c>
      <c r="D20" s="3768"/>
      <c r="E20" s="3768"/>
      <c r="F20" s="3768"/>
      <c r="G20" s="3769"/>
    </row>
    <row r="21" spans="2:7" ht="18" customHeight="1" x14ac:dyDescent="0.25">
      <c r="B21" s="1162" t="s">
        <v>1565</v>
      </c>
      <c r="C21" s="1166" t="s">
        <v>1562</v>
      </c>
      <c r="D21" s="3768"/>
      <c r="E21" s="3768"/>
      <c r="F21" s="3768"/>
      <c r="G21" s="3769"/>
    </row>
    <row r="22" spans="2:7" ht="18" customHeight="1" x14ac:dyDescent="0.25">
      <c r="B22" s="1162" t="s">
        <v>1566</v>
      </c>
      <c r="C22" s="1443" t="s">
        <v>1560</v>
      </c>
      <c r="D22" s="3768"/>
      <c r="E22" s="3768"/>
      <c r="F22" s="3768"/>
      <c r="G22" s="3769"/>
    </row>
    <row r="23" spans="2:7" ht="18" customHeight="1" x14ac:dyDescent="0.25">
      <c r="B23" s="1162" t="s">
        <v>1566</v>
      </c>
      <c r="C23" s="1166" t="s">
        <v>1561</v>
      </c>
      <c r="D23" s="3768"/>
      <c r="E23" s="3768"/>
      <c r="F23" s="3768"/>
      <c r="G23" s="3769"/>
    </row>
    <row r="24" spans="2:7" ht="18" customHeight="1" x14ac:dyDescent="0.25">
      <c r="B24" s="1162" t="s">
        <v>1566</v>
      </c>
      <c r="C24" s="1166" t="s">
        <v>1562</v>
      </c>
      <c r="D24" s="3768"/>
      <c r="E24" s="3768"/>
      <c r="F24" s="3768"/>
      <c r="G24" s="3769"/>
    </row>
    <row r="25" spans="2:7" ht="18" customHeight="1" x14ac:dyDescent="0.25">
      <c r="B25" s="1162" t="s">
        <v>1567</v>
      </c>
      <c r="C25" s="1166" t="s">
        <v>1561</v>
      </c>
      <c r="D25" s="3768"/>
      <c r="E25" s="3768"/>
      <c r="F25" s="3768"/>
      <c r="G25" s="3769"/>
    </row>
    <row r="26" spans="2:7" ht="18" customHeight="1" x14ac:dyDescent="0.25">
      <c r="B26" s="1162" t="s">
        <v>1567</v>
      </c>
      <c r="C26" s="1166" t="s">
        <v>1562</v>
      </c>
      <c r="D26" s="3768"/>
      <c r="E26" s="3768"/>
      <c r="F26" s="3768"/>
      <c r="G26" s="3769"/>
    </row>
    <row r="27" spans="2:7" ht="18" customHeight="1" x14ac:dyDescent="0.25">
      <c r="B27" s="1163" t="s">
        <v>1568</v>
      </c>
      <c r="C27" s="1443" t="s">
        <v>1560</v>
      </c>
      <c r="D27" s="3768" t="s">
        <v>2310</v>
      </c>
      <c r="E27" s="3768" t="s">
        <v>2310</v>
      </c>
      <c r="F27" s="3768" t="s">
        <v>2310</v>
      </c>
      <c r="G27" s="3769" t="s">
        <v>2310</v>
      </c>
    </row>
    <row r="28" spans="2:7" ht="18" customHeight="1" x14ac:dyDescent="0.25">
      <c r="B28" s="1163" t="s">
        <v>1568</v>
      </c>
      <c r="C28" s="1166" t="s">
        <v>1561</v>
      </c>
      <c r="D28" s="3768"/>
      <c r="E28" s="3768"/>
      <c r="F28" s="3768"/>
      <c r="G28" s="3769"/>
    </row>
    <row r="29" spans="2:7" ht="18" customHeight="1" x14ac:dyDescent="0.25">
      <c r="B29" s="1163" t="s">
        <v>1568</v>
      </c>
      <c r="C29" s="1166" t="s">
        <v>1562</v>
      </c>
      <c r="D29" s="3768"/>
      <c r="E29" s="3768"/>
      <c r="F29" s="3768"/>
      <c r="G29" s="3769"/>
    </row>
    <row r="30" spans="2:7" ht="18" customHeight="1" x14ac:dyDescent="0.25">
      <c r="B30" s="1163" t="s">
        <v>1569</v>
      </c>
      <c r="C30" s="1443" t="s">
        <v>1560</v>
      </c>
      <c r="D30" s="3768" t="s">
        <v>2310</v>
      </c>
      <c r="E30" s="3768" t="s">
        <v>2310</v>
      </c>
      <c r="F30" s="3768" t="s">
        <v>2310</v>
      </c>
      <c r="G30" s="3769" t="s">
        <v>2310</v>
      </c>
    </row>
    <row r="31" spans="2:7" ht="18" customHeight="1" x14ac:dyDescent="0.25">
      <c r="B31" s="1163" t="s">
        <v>1569</v>
      </c>
      <c r="C31" s="1166" t="s">
        <v>1561</v>
      </c>
      <c r="D31" s="3768"/>
      <c r="E31" s="3768"/>
      <c r="F31" s="3768"/>
      <c r="G31" s="3769"/>
    </row>
    <row r="32" spans="2:7" ht="18" customHeight="1" x14ac:dyDescent="0.25">
      <c r="B32" s="1163" t="s">
        <v>1569</v>
      </c>
      <c r="C32" s="1166" t="s">
        <v>1562</v>
      </c>
      <c r="D32" s="3768"/>
      <c r="E32" s="3768"/>
      <c r="F32" s="3768"/>
      <c r="G32" s="3769"/>
    </row>
    <row r="33" spans="2:7" ht="18" customHeight="1" x14ac:dyDescent="0.25">
      <c r="B33" s="1163" t="s">
        <v>1570</v>
      </c>
      <c r="C33" s="1443" t="s">
        <v>1560</v>
      </c>
      <c r="D33" s="3768" t="s">
        <v>2310</v>
      </c>
      <c r="E33" s="3768" t="s">
        <v>2310</v>
      </c>
      <c r="F33" s="3768" t="s">
        <v>2310</v>
      </c>
      <c r="G33" s="3769" t="s">
        <v>2310</v>
      </c>
    </row>
    <row r="34" spans="2:7" ht="18" customHeight="1" x14ac:dyDescent="0.25">
      <c r="B34" s="1163" t="s">
        <v>1570</v>
      </c>
      <c r="C34" s="1166" t="s">
        <v>1561</v>
      </c>
      <c r="D34" s="3768"/>
      <c r="E34" s="3768"/>
      <c r="F34" s="3768"/>
      <c r="G34" s="3769"/>
    </row>
    <row r="35" spans="2:7" ht="18" customHeight="1" x14ac:dyDescent="0.25">
      <c r="B35" s="1163" t="s">
        <v>1570</v>
      </c>
      <c r="C35" s="1166" t="s">
        <v>1562</v>
      </c>
      <c r="D35" s="3768"/>
      <c r="E35" s="3768"/>
      <c r="F35" s="3768"/>
      <c r="G35" s="3769"/>
    </row>
    <row r="36" spans="2:7" ht="18" customHeight="1" x14ac:dyDescent="0.25">
      <c r="B36" s="1163" t="s">
        <v>1571</v>
      </c>
      <c r="C36" s="1443" t="s">
        <v>1560</v>
      </c>
      <c r="D36" s="3768"/>
      <c r="E36" s="3768"/>
      <c r="F36" s="3768"/>
      <c r="G36" s="3769"/>
    </row>
    <row r="37" spans="2:7" ht="18" customHeight="1" x14ac:dyDescent="0.25">
      <c r="B37" s="1163" t="s">
        <v>1571</v>
      </c>
      <c r="C37" s="1166" t="s">
        <v>1561</v>
      </c>
      <c r="D37" s="3768"/>
      <c r="E37" s="3768"/>
      <c r="F37" s="3768"/>
      <c r="G37" s="3769"/>
    </row>
    <row r="38" spans="2:7" ht="18" customHeight="1" x14ac:dyDescent="0.25">
      <c r="B38" s="1163" t="s">
        <v>1571</v>
      </c>
      <c r="C38" s="1166" t="s">
        <v>1562</v>
      </c>
      <c r="D38" s="3768"/>
      <c r="E38" s="3768"/>
      <c r="F38" s="3768"/>
      <c r="G38" s="3769"/>
    </row>
    <row r="39" spans="2:7" ht="18" customHeight="1" x14ac:dyDescent="0.25">
      <c r="B39" s="1163" t="s">
        <v>1572</v>
      </c>
      <c r="C39" s="1443" t="s">
        <v>1560</v>
      </c>
      <c r="D39" s="3768"/>
      <c r="E39" s="3768"/>
      <c r="F39" s="3768"/>
      <c r="G39" s="3769"/>
    </row>
    <row r="40" spans="2:7" ht="18" customHeight="1" x14ac:dyDescent="0.25">
      <c r="B40" s="1163" t="s">
        <v>1572</v>
      </c>
      <c r="C40" s="1166" t="s">
        <v>1561</v>
      </c>
      <c r="D40" s="3768"/>
      <c r="E40" s="3768"/>
      <c r="F40" s="3768"/>
      <c r="G40" s="3769"/>
    </row>
    <row r="41" spans="2:7" ht="18" customHeight="1" x14ac:dyDescent="0.25">
      <c r="B41" s="1163" t="s">
        <v>1572</v>
      </c>
      <c r="C41" s="1166" t="s">
        <v>1562</v>
      </c>
      <c r="D41" s="3768"/>
      <c r="E41" s="3768"/>
      <c r="F41" s="3768"/>
      <c r="G41" s="3769"/>
    </row>
    <row r="42" spans="2:7" ht="18" customHeight="1" x14ac:dyDescent="0.25">
      <c r="B42" s="1163" t="s">
        <v>1573</v>
      </c>
      <c r="C42" s="1166" t="s">
        <v>1561</v>
      </c>
      <c r="D42" s="3768"/>
      <c r="E42" s="3768"/>
      <c r="F42" s="3768"/>
      <c r="G42" s="3769"/>
    </row>
    <row r="43" spans="2:7" ht="18" customHeight="1" x14ac:dyDescent="0.25">
      <c r="B43" s="1163" t="s">
        <v>1573</v>
      </c>
      <c r="C43" s="1166" t="s">
        <v>1562</v>
      </c>
      <c r="D43" s="3768"/>
      <c r="E43" s="3768"/>
      <c r="F43" s="3768"/>
      <c r="G43" s="3769"/>
    </row>
    <row r="44" spans="2:7" ht="18" customHeight="1" x14ac:dyDescent="0.25">
      <c r="B44" s="1162" t="s">
        <v>1574</v>
      </c>
      <c r="C44" s="1443" t="s">
        <v>1560</v>
      </c>
      <c r="D44" s="3768" t="s">
        <v>2310</v>
      </c>
      <c r="E44" s="3768" t="s">
        <v>2310</v>
      </c>
      <c r="F44" s="3768" t="s">
        <v>2310</v>
      </c>
      <c r="G44" s="3769" t="s">
        <v>2310</v>
      </c>
    </row>
    <row r="45" spans="2:7" ht="18" customHeight="1" x14ac:dyDescent="0.25">
      <c r="B45" s="1162" t="s">
        <v>1574</v>
      </c>
      <c r="C45" s="1166" t="s">
        <v>1561</v>
      </c>
      <c r="D45" s="3768"/>
      <c r="E45" s="3768"/>
      <c r="F45" s="3768"/>
      <c r="G45" s="3769"/>
    </row>
    <row r="46" spans="2:7" ht="18" customHeight="1" x14ac:dyDescent="0.25">
      <c r="B46" s="1162" t="s">
        <v>1574</v>
      </c>
      <c r="C46" s="1166" t="s">
        <v>1562</v>
      </c>
      <c r="D46" s="3768"/>
      <c r="E46" s="3768"/>
      <c r="F46" s="3768"/>
      <c r="G46" s="3769"/>
    </row>
    <row r="47" spans="2:7" ht="18" customHeight="1" x14ac:dyDescent="0.25">
      <c r="B47" s="1162" t="s">
        <v>1575</v>
      </c>
      <c r="C47" s="1443" t="s">
        <v>1560</v>
      </c>
      <c r="D47" s="3768" t="s">
        <v>2310</v>
      </c>
      <c r="E47" s="3768" t="s">
        <v>2310</v>
      </c>
      <c r="F47" s="3768" t="s">
        <v>2310</v>
      </c>
      <c r="G47" s="3769" t="s">
        <v>2310</v>
      </c>
    </row>
    <row r="48" spans="2:7" ht="18" customHeight="1" x14ac:dyDescent="0.25">
      <c r="B48" s="1162" t="s">
        <v>1575</v>
      </c>
      <c r="C48" s="1166" t="s">
        <v>1561</v>
      </c>
      <c r="D48" s="3768"/>
      <c r="E48" s="3768" t="s">
        <v>2310</v>
      </c>
      <c r="F48" s="3768" t="s">
        <v>2310</v>
      </c>
      <c r="G48" s="3769"/>
    </row>
    <row r="49" spans="2:8" ht="18" customHeight="1" x14ac:dyDescent="0.25">
      <c r="B49" s="1162" t="s">
        <v>1575</v>
      </c>
      <c r="C49" s="1166" t="s">
        <v>1562</v>
      </c>
      <c r="D49" s="3768"/>
      <c r="E49" s="3768"/>
      <c r="F49" s="3768"/>
      <c r="G49" s="3769"/>
    </row>
    <row r="50" spans="2:8" ht="18" customHeight="1" x14ac:dyDescent="0.25">
      <c r="B50" s="1162" t="s">
        <v>1576</v>
      </c>
      <c r="C50" s="1443" t="s">
        <v>1560</v>
      </c>
      <c r="D50" s="3768" t="s">
        <v>2310</v>
      </c>
      <c r="E50" s="3768" t="s">
        <v>2310</v>
      </c>
      <c r="F50" s="3768" t="s">
        <v>2310</v>
      </c>
      <c r="G50" s="3769" t="s">
        <v>2310</v>
      </c>
    </row>
    <row r="51" spans="2:8" ht="18" customHeight="1" x14ac:dyDescent="0.25">
      <c r="B51" s="1162" t="s">
        <v>1576</v>
      </c>
      <c r="C51" s="1166" t="s">
        <v>1561</v>
      </c>
      <c r="D51" s="3768"/>
      <c r="E51" s="3768"/>
      <c r="F51" s="3768"/>
      <c r="G51" s="3769"/>
    </row>
    <row r="52" spans="2:8" ht="18" customHeight="1" x14ac:dyDescent="0.25">
      <c r="B52" s="1162" t="s">
        <v>1576</v>
      </c>
      <c r="C52" s="1166" t="s">
        <v>1562</v>
      </c>
      <c r="D52" s="3768"/>
      <c r="E52" s="3768"/>
      <c r="F52" s="3768"/>
      <c r="G52" s="3769"/>
    </row>
    <row r="53" spans="2:8" ht="18" customHeight="1" x14ac:dyDescent="0.25">
      <c r="B53" s="1162" t="s">
        <v>1577</v>
      </c>
      <c r="C53" s="1443" t="s">
        <v>1560</v>
      </c>
      <c r="D53" s="3768" t="s">
        <v>2310</v>
      </c>
      <c r="E53" s="3768" t="s">
        <v>2310</v>
      </c>
      <c r="F53" s="3768" t="s">
        <v>2310</v>
      </c>
      <c r="G53" s="3769" t="s">
        <v>2310</v>
      </c>
    </row>
    <row r="54" spans="2:8" ht="18" customHeight="1" x14ac:dyDescent="0.25">
      <c r="B54" s="1162" t="s">
        <v>1577</v>
      </c>
      <c r="C54" s="1166" t="s">
        <v>1561</v>
      </c>
      <c r="D54" s="3768"/>
      <c r="E54" s="3768"/>
      <c r="F54" s="3768"/>
      <c r="G54" s="3769"/>
    </row>
    <row r="55" spans="2:8" ht="18" customHeight="1" x14ac:dyDescent="0.25">
      <c r="B55" s="1162" t="s">
        <v>1577</v>
      </c>
      <c r="C55" s="1166" t="s">
        <v>1562</v>
      </c>
      <c r="D55" s="3768"/>
      <c r="E55" s="3768"/>
      <c r="F55" s="3768"/>
      <c r="G55" s="3769"/>
    </row>
    <row r="56" spans="2:8" ht="18" customHeight="1" x14ac:dyDescent="0.25">
      <c r="B56" s="1162" t="s">
        <v>1578</v>
      </c>
      <c r="C56" s="1443" t="s">
        <v>1560</v>
      </c>
      <c r="D56" s="3768"/>
      <c r="E56" s="3768"/>
      <c r="F56" s="3768"/>
      <c r="G56" s="3769"/>
    </row>
    <row r="57" spans="2:8" ht="18" customHeight="1" x14ac:dyDescent="0.25">
      <c r="B57" s="1162" t="s">
        <v>1578</v>
      </c>
      <c r="C57" s="1166" t="s">
        <v>1561</v>
      </c>
      <c r="D57" s="3768"/>
      <c r="E57" s="3768"/>
      <c r="F57" s="3768"/>
      <c r="G57" s="3769"/>
    </row>
    <row r="58" spans="2:8" ht="18" customHeight="1" x14ac:dyDescent="0.25">
      <c r="B58" s="1162" t="s">
        <v>1578</v>
      </c>
      <c r="C58" s="1166" t="s">
        <v>1562</v>
      </c>
      <c r="D58" s="3768"/>
      <c r="E58" s="3768"/>
      <c r="F58" s="3768"/>
      <c r="G58" s="3769"/>
    </row>
    <row r="59" spans="2:8" ht="18" customHeight="1" x14ac:dyDescent="0.25">
      <c r="B59" s="1162" t="s">
        <v>1579</v>
      </c>
      <c r="C59" s="1443" t="s">
        <v>1560</v>
      </c>
      <c r="D59" s="3768"/>
      <c r="E59" s="3768"/>
      <c r="F59" s="3768"/>
      <c r="G59" s="3769"/>
    </row>
    <row r="60" spans="2:8" ht="18" customHeight="1" x14ac:dyDescent="0.25">
      <c r="B60" s="1162" t="s">
        <v>1579</v>
      </c>
      <c r="C60" s="1166" t="s">
        <v>1561</v>
      </c>
      <c r="D60" s="3768"/>
      <c r="E60" s="3768"/>
      <c r="F60" s="3768"/>
      <c r="G60" s="3769"/>
    </row>
    <row r="61" spans="2:8" ht="18" customHeight="1" x14ac:dyDescent="0.25">
      <c r="B61" s="1162" t="s">
        <v>1579</v>
      </c>
      <c r="C61" s="1166" t="s">
        <v>1562</v>
      </c>
      <c r="D61" s="3768"/>
      <c r="E61" s="3768"/>
      <c r="F61" s="3768"/>
      <c r="G61" s="3769"/>
    </row>
    <row r="62" spans="2:8" ht="18" customHeight="1" x14ac:dyDescent="0.25">
      <c r="B62" s="1162" t="s">
        <v>1580</v>
      </c>
      <c r="C62" s="1166" t="s">
        <v>1561</v>
      </c>
      <c r="D62" s="3768"/>
      <c r="E62" s="3768"/>
      <c r="F62" s="3768"/>
      <c r="G62" s="3769"/>
    </row>
    <row r="63" spans="2:8" ht="18" customHeight="1" x14ac:dyDescent="0.25">
      <c r="B63" s="1162" t="s">
        <v>1580</v>
      </c>
      <c r="C63" s="1166" t="s">
        <v>1562</v>
      </c>
      <c r="D63" s="3768"/>
      <c r="E63" s="3768"/>
      <c r="F63" s="3768"/>
      <c r="G63" s="3769"/>
    </row>
    <row r="64" spans="2:8" ht="18" customHeight="1" x14ac:dyDescent="0.25">
      <c r="B64" s="1162" t="s">
        <v>1581</v>
      </c>
      <c r="C64" s="1443" t="s">
        <v>1560</v>
      </c>
      <c r="D64" s="3768"/>
      <c r="E64" s="3768" t="s">
        <v>2310</v>
      </c>
      <c r="F64" s="3768" t="s">
        <v>2310</v>
      </c>
      <c r="G64" s="3769"/>
      <c r="H64" s="4207"/>
    </row>
    <row r="65" spans="2:7" ht="18" customHeight="1" x14ac:dyDescent="0.25">
      <c r="B65" s="1162" t="s">
        <v>1581</v>
      </c>
      <c r="C65" s="1166" t="s">
        <v>1561</v>
      </c>
      <c r="D65" s="3768"/>
      <c r="E65" s="3768"/>
      <c r="F65" s="3768"/>
      <c r="G65" s="3769"/>
    </row>
    <row r="66" spans="2:7" ht="18" customHeight="1" x14ac:dyDescent="0.25">
      <c r="B66" s="1162" t="s">
        <v>1581</v>
      </c>
      <c r="C66" s="1166" t="s">
        <v>1562</v>
      </c>
      <c r="D66" s="3768"/>
      <c r="E66" s="3768"/>
      <c r="F66" s="3768"/>
      <c r="G66" s="3769"/>
    </row>
    <row r="67" spans="2:7" ht="18" customHeight="1" x14ac:dyDescent="0.25">
      <c r="B67" s="1162" t="s">
        <v>1582</v>
      </c>
      <c r="C67" s="1443" t="s">
        <v>1560</v>
      </c>
      <c r="D67" s="3768" t="s">
        <v>2310</v>
      </c>
      <c r="E67" s="3768" t="s">
        <v>2310</v>
      </c>
      <c r="F67" s="3768" t="s">
        <v>2310</v>
      </c>
      <c r="G67" s="3769" t="s">
        <v>2310</v>
      </c>
    </row>
    <row r="68" spans="2:7" ht="18" customHeight="1" x14ac:dyDescent="0.25">
      <c r="B68" s="1162" t="s">
        <v>1582</v>
      </c>
      <c r="C68" s="1166" t="s">
        <v>1561</v>
      </c>
      <c r="D68" s="3768"/>
      <c r="E68" s="3768"/>
      <c r="F68" s="3768"/>
      <c r="G68" s="3769"/>
    </row>
    <row r="69" spans="2:7" ht="18" customHeight="1" x14ac:dyDescent="0.25">
      <c r="B69" s="1162" t="s">
        <v>1582</v>
      </c>
      <c r="C69" s="1166" t="s">
        <v>1562</v>
      </c>
      <c r="D69" s="3768"/>
      <c r="E69" s="3768"/>
      <c r="F69" s="3768"/>
      <c r="G69" s="3769"/>
    </row>
    <row r="70" spans="2:7" ht="18" customHeight="1" x14ac:dyDescent="0.25">
      <c r="B70" s="1162" t="s">
        <v>1583</v>
      </c>
      <c r="C70" s="1443" t="s">
        <v>1560</v>
      </c>
      <c r="D70" s="3768"/>
      <c r="E70" s="3768" t="s">
        <v>2310</v>
      </c>
      <c r="F70" s="3768" t="s">
        <v>2310</v>
      </c>
      <c r="G70" s="3769"/>
    </row>
    <row r="71" spans="2:7" ht="18" customHeight="1" x14ac:dyDescent="0.25">
      <c r="B71" s="1162" t="s">
        <v>1583</v>
      </c>
      <c r="C71" s="1166" t="s">
        <v>1561</v>
      </c>
      <c r="D71" s="3768"/>
      <c r="E71" s="3768"/>
      <c r="F71" s="3768"/>
      <c r="G71" s="3769"/>
    </row>
    <row r="72" spans="2:7" ht="18" customHeight="1" x14ac:dyDescent="0.25">
      <c r="B72" s="1162" t="s">
        <v>1583</v>
      </c>
      <c r="C72" s="1166" t="s">
        <v>1562</v>
      </c>
      <c r="D72" s="3768"/>
      <c r="E72" s="3768"/>
      <c r="F72" s="3768"/>
      <c r="G72" s="3769"/>
    </row>
    <row r="73" spans="2:7" ht="18" customHeight="1" x14ac:dyDescent="0.25">
      <c r="B73" s="1162" t="s">
        <v>1584</v>
      </c>
      <c r="C73" s="1443" t="s">
        <v>1560</v>
      </c>
      <c r="D73" s="3768" t="s">
        <v>2310</v>
      </c>
      <c r="E73" s="3768" t="s">
        <v>2310</v>
      </c>
      <c r="F73" s="3768" t="s">
        <v>2310</v>
      </c>
      <c r="G73" s="3769" t="s">
        <v>2310</v>
      </c>
    </row>
    <row r="74" spans="2:7" ht="18" customHeight="1" x14ac:dyDescent="0.25">
      <c r="B74" s="1162" t="s">
        <v>1584</v>
      </c>
      <c r="C74" s="1166" t="s">
        <v>1561</v>
      </c>
      <c r="D74" s="3768"/>
      <c r="E74" s="3768"/>
      <c r="F74" s="3768"/>
      <c r="G74" s="3769"/>
    </row>
    <row r="75" spans="2:7" ht="18" customHeight="1" x14ac:dyDescent="0.25">
      <c r="B75" s="1162" t="s">
        <v>1584</v>
      </c>
      <c r="C75" s="1166" t="s">
        <v>1562</v>
      </c>
      <c r="D75" s="3768"/>
      <c r="E75" s="3768"/>
      <c r="F75" s="3768"/>
      <c r="G75" s="3769"/>
    </row>
    <row r="76" spans="2:7" ht="18" customHeight="1" x14ac:dyDescent="0.25">
      <c r="B76" s="1162" t="s">
        <v>1585</v>
      </c>
      <c r="C76" s="1443" t="s">
        <v>1560</v>
      </c>
      <c r="D76" s="3768"/>
      <c r="E76" s="3768"/>
      <c r="F76" s="3768"/>
      <c r="G76" s="3769"/>
    </row>
    <row r="77" spans="2:7" ht="18" customHeight="1" x14ac:dyDescent="0.25">
      <c r="B77" s="1162" t="s">
        <v>1585</v>
      </c>
      <c r="C77" s="1166" t="s">
        <v>1561</v>
      </c>
      <c r="D77" s="3768"/>
      <c r="E77" s="3768"/>
      <c r="F77" s="3768"/>
      <c r="G77" s="3769"/>
    </row>
    <row r="78" spans="2:7" ht="18" customHeight="1" x14ac:dyDescent="0.25">
      <c r="B78" s="1162" t="s">
        <v>1585</v>
      </c>
      <c r="C78" s="1166" t="s">
        <v>1562</v>
      </c>
      <c r="D78" s="3768"/>
      <c r="E78" s="3768"/>
      <c r="F78" s="3768"/>
      <c r="G78" s="3769"/>
    </row>
    <row r="79" spans="2:7" ht="18" customHeight="1" x14ac:dyDescent="0.25">
      <c r="B79" s="1162" t="s">
        <v>1586</v>
      </c>
      <c r="C79" s="1443" t="s">
        <v>1560</v>
      </c>
      <c r="D79" s="3768"/>
      <c r="E79" s="3768"/>
      <c r="F79" s="3768"/>
      <c r="G79" s="3769"/>
    </row>
    <row r="80" spans="2:7" ht="18" customHeight="1" x14ac:dyDescent="0.25">
      <c r="B80" s="1162" t="s">
        <v>1586</v>
      </c>
      <c r="C80" s="1166" t="s">
        <v>1561</v>
      </c>
      <c r="D80" s="3768"/>
      <c r="E80" s="3768"/>
      <c r="F80" s="3768"/>
      <c r="G80" s="3769"/>
    </row>
    <row r="81" spans="2:7" ht="18" customHeight="1" x14ac:dyDescent="0.25">
      <c r="B81" s="1162" t="s">
        <v>1586</v>
      </c>
      <c r="C81" s="1166" t="s">
        <v>1562</v>
      </c>
      <c r="D81" s="3768"/>
      <c r="E81" s="3768"/>
      <c r="F81" s="3768"/>
      <c r="G81" s="3769"/>
    </row>
    <row r="82" spans="2:7" ht="18" customHeight="1" x14ac:dyDescent="0.25">
      <c r="B82" s="1162" t="s">
        <v>1587</v>
      </c>
      <c r="C82" s="1166" t="s">
        <v>1561</v>
      </c>
      <c r="D82" s="3768"/>
      <c r="E82" s="3768" t="s">
        <v>2310</v>
      </c>
      <c r="F82" s="3768" t="s">
        <v>2310</v>
      </c>
      <c r="G82" s="3769" t="s">
        <v>2310</v>
      </c>
    </row>
    <row r="83" spans="2:7" ht="18" customHeight="1" x14ac:dyDescent="0.25">
      <c r="B83" s="1162" t="s">
        <v>1587</v>
      </c>
      <c r="C83" s="1166" t="s">
        <v>1562</v>
      </c>
      <c r="D83" s="3768"/>
      <c r="E83" s="3768"/>
      <c r="F83" s="3768"/>
      <c r="G83" s="3769"/>
    </row>
    <row r="84" spans="2:7" ht="18" customHeight="1" x14ac:dyDescent="0.25">
      <c r="B84" s="1162" t="s">
        <v>1588</v>
      </c>
      <c r="C84" s="1443" t="s">
        <v>1560</v>
      </c>
      <c r="D84" s="3768"/>
      <c r="E84" s="3768"/>
      <c r="F84" s="3768"/>
      <c r="G84" s="3769"/>
    </row>
    <row r="85" spans="2:7" ht="18" customHeight="1" x14ac:dyDescent="0.25">
      <c r="B85" s="1162" t="s">
        <v>1588</v>
      </c>
      <c r="C85" s="1166" t="s">
        <v>1561</v>
      </c>
      <c r="D85" s="3768"/>
      <c r="E85" s="3768"/>
      <c r="F85" s="3768"/>
      <c r="G85" s="3769"/>
    </row>
    <row r="86" spans="2:7" ht="18" customHeight="1" x14ac:dyDescent="0.25">
      <c r="B86" s="1162" t="s">
        <v>1588</v>
      </c>
      <c r="C86" s="1166" t="s">
        <v>1562</v>
      </c>
      <c r="D86" s="3768"/>
      <c r="E86" s="3768"/>
      <c r="F86" s="3768"/>
      <c r="G86" s="3769"/>
    </row>
    <row r="87" spans="2:7" ht="18" customHeight="1" x14ac:dyDescent="0.2">
      <c r="B87" s="1162" t="s">
        <v>1589</v>
      </c>
      <c r="C87" s="1166" t="s">
        <v>1590</v>
      </c>
      <c r="D87" s="3768"/>
      <c r="E87" s="3768"/>
      <c r="F87" s="3768"/>
      <c r="G87" s="3769"/>
    </row>
    <row r="88" spans="2:7" ht="18" customHeight="1" x14ac:dyDescent="0.25">
      <c r="B88" s="1162" t="s">
        <v>1589</v>
      </c>
      <c r="C88" s="1166" t="s">
        <v>1561</v>
      </c>
      <c r="D88" s="3768"/>
      <c r="E88" s="3768"/>
      <c r="F88" s="3768"/>
      <c r="G88" s="3769"/>
    </row>
    <row r="89" spans="2:7" ht="18" customHeight="1" x14ac:dyDescent="0.25">
      <c r="B89" s="1162" t="s">
        <v>1589</v>
      </c>
      <c r="C89" s="1166" t="s">
        <v>1562</v>
      </c>
      <c r="D89" s="3768"/>
      <c r="E89" s="3768"/>
      <c r="F89" s="3768"/>
      <c r="G89" s="3769"/>
    </row>
    <row r="90" spans="2:7" ht="18" customHeight="1" x14ac:dyDescent="0.25">
      <c r="B90" s="1162" t="s">
        <v>1591</v>
      </c>
      <c r="C90" s="1443" t="s">
        <v>1560</v>
      </c>
      <c r="D90" s="3768"/>
      <c r="E90" s="3768"/>
      <c r="F90" s="3768"/>
      <c r="G90" s="3769"/>
    </row>
    <row r="91" spans="2:7" ht="18" customHeight="1" x14ac:dyDescent="0.25">
      <c r="B91" s="1162" t="s">
        <v>1591</v>
      </c>
      <c r="C91" s="1166" t="s">
        <v>1561</v>
      </c>
      <c r="D91" s="3768"/>
      <c r="E91" s="3768"/>
      <c r="F91" s="3768"/>
      <c r="G91" s="3769"/>
    </row>
    <row r="92" spans="2:7" ht="18" customHeight="1" x14ac:dyDescent="0.25">
      <c r="B92" s="1162" t="s">
        <v>1591</v>
      </c>
      <c r="C92" s="1166" t="s">
        <v>1562</v>
      </c>
      <c r="D92" s="3768"/>
      <c r="E92" s="3768"/>
      <c r="F92" s="3768"/>
      <c r="G92" s="3769"/>
    </row>
    <row r="93" spans="2:7" ht="18" customHeight="1" x14ac:dyDescent="0.25">
      <c r="B93" s="1162" t="s">
        <v>1592</v>
      </c>
      <c r="C93" s="1443" t="s">
        <v>1560</v>
      </c>
      <c r="D93" s="3768"/>
      <c r="E93" s="3768"/>
      <c r="F93" s="3768"/>
      <c r="G93" s="3769"/>
    </row>
    <row r="94" spans="2:7" ht="18" customHeight="1" x14ac:dyDescent="0.25">
      <c r="B94" s="1162" t="s">
        <v>1592</v>
      </c>
      <c r="C94" s="1166" t="s">
        <v>1561</v>
      </c>
      <c r="D94" s="3768"/>
      <c r="E94" s="3768"/>
      <c r="F94" s="3768"/>
      <c r="G94" s="3769"/>
    </row>
    <row r="95" spans="2:7" ht="18" customHeight="1" x14ac:dyDescent="0.25">
      <c r="B95" s="1162" t="s">
        <v>1592</v>
      </c>
      <c r="C95" s="1166" t="s">
        <v>1562</v>
      </c>
      <c r="D95" s="3768"/>
      <c r="E95" s="3768"/>
      <c r="F95" s="3768"/>
      <c r="G95" s="3769"/>
    </row>
    <row r="96" spans="2:7" ht="18" customHeight="1" x14ac:dyDescent="0.25">
      <c r="B96" s="1162" t="s">
        <v>1593</v>
      </c>
      <c r="C96" s="1443" t="s">
        <v>1560</v>
      </c>
      <c r="D96" s="3768"/>
      <c r="E96" s="3768"/>
      <c r="F96" s="3768"/>
      <c r="G96" s="3769"/>
    </row>
    <row r="97" spans="2:7" ht="18" customHeight="1" x14ac:dyDescent="0.25">
      <c r="B97" s="1162" t="s">
        <v>1593</v>
      </c>
      <c r="C97" s="1166" t="s">
        <v>1561</v>
      </c>
      <c r="D97" s="3768"/>
      <c r="E97" s="3768"/>
      <c r="F97" s="3768"/>
      <c r="G97" s="3769"/>
    </row>
    <row r="98" spans="2:7" ht="18" customHeight="1" x14ac:dyDescent="0.25">
      <c r="B98" s="1162" t="s">
        <v>1593</v>
      </c>
      <c r="C98" s="1166" t="s">
        <v>1562</v>
      </c>
      <c r="D98" s="3768"/>
      <c r="E98" s="3768"/>
      <c r="F98" s="3768"/>
      <c r="G98" s="3769"/>
    </row>
    <row r="99" spans="2:7" ht="18" customHeight="1" x14ac:dyDescent="0.25">
      <c r="B99" s="1162" t="s">
        <v>1594</v>
      </c>
      <c r="C99" s="1166" t="s">
        <v>1561</v>
      </c>
      <c r="D99" s="3768"/>
      <c r="E99" s="3768"/>
      <c r="F99" s="3768"/>
      <c r="G99" s="3769"/>
    </row>
    <row r="100" spans="2:7" ht="18" customHeight="1" x14ac:dyDescent="0.25">
      <c r="B100" s="1162" t="s">
        <v>1594</v>
      </c>
      <c r="C100" s="1166" t="s">
        <v>1562</v>
      </c>
      <c r="D100" s="3768"/>
      <c r="E100" s="3768"/>
      <c r="F100" s="3768"/>
      <c r="G100" s="3769"/>
    </row>
    <row r="101" spans="2:7" ht="18" customHeight="1" x14ac:dyDescent="0.25">
      <c r="B101" s="1162" t="s">
        <v>1595</v>
      </c>
      <c r="C101" s="1443" t="s">
        <v>1560</v>
      </c>
      <c r="D101" s="3768" t="s">
        <v>2310</v>
      </c>
      <c r="E101" s="3768" t="s">
        <v>2310</v>
      </c>
      <c r="F101" s="3768" t="s">
        <v>2310</v>
      </c>
      <c r="G101" s="3769" t="s">
        <v>2310</v>
      </c>
    </row>
    <row r="102" spans="2:7" ht="18" customHeight="1" x14ac:dyDescent="0.25">
      <c r="B102" s="1162" t="s">
        <v>1595</v>
      </c>
      <c r="C102" s="1166" t="s">
        <v>1561</v>
      </c>
      <c r="D102" s="3768" t="s">
        <v>2310</v>
      </c>
      <c r="E102" s="3768" t="s">
        <v>2310</v>
      </c>
      <c r="F102" s="3768" t="s">
        <v>2310</v>
      </c>
      <c r="G102" s="3769" t="s">
        <v>2310</v>
      </c>
    </row>
    <row r="103" spans="2:7" ht="18" customHeight="1" x14ac:dyDescent="0.25">
      <c r="B103" s="1162" t="s">
        <v>1596</v>
      </c>
      <c r="C103" s="1443" t="s">
        <v>1560</v>
      </c>
      <c r="D103" s="3768"/>
      <c r="E103" s="3768"/>
      <c r="F103" s="3768"/>
      <c r="G103" s="3769"/>
    </row>
    <row r="104" spans="2:7" ht="18" customHeight="1" x14ac:dyDescent="0.25">
      <c r="B104" s="1162" t="s">
        <v>1597</v>
      </c>
      <c r="C104" s="1166" t="s">
        <v>1561</v>
      </c>
      <c r="D104" s="3768"/>
      <c r="E104" s="3768"/>
      <c r="F104" s="3768"/>
      <c r="G104" s="3769"/>
    </row>
    <row r="105" spans="2:7" ht="18" customHeight="1" x14ac:dyDescent="0.25">
      <c r="B105" s="1162" t="s">
        <v>1598</v>
      </c>
      <c r="C105" s="1443" t="s">
        <v>1560</v>
      </c>
      <c r="D105" s="3768"/>
      <c r="E105" s="3768"/>
      <c r="F105" s="3768"/>
      <c r="G105" s="3769"/>
    </row>
    <row r="106" spans="2:7" ht="18" customHeight="1" x14ac:dyDescent="0.25">
      <c r="B106" s="1162" t="s">
        <v>1598</v>
      </c>
      <c r="C106" s="1166" t="s">
        <v>1561</v>
      </c>
      <c r="D106" s="3768" t="s">
        <v>2310</v>
      </c>
      <c r="E106" s="3768" t="s">
        <v>2310</v>
      </c>
      <c r="F106" s="3768" t="s">
        <v>2310</v>
      </c>
      <c r="G106" s="3769" t="s">
        <v>2310</v>
      </c>
    </row>
    <row r="107" spans="2:7" ht="18" customHeight="1" x14ac:dyDescent="0.25">
      <c r="B107" s="1162" t="s">
        <v>1599</v>
      </c>
      <c r="C107" s="1443" t="s">
        <v>1560</v>
      </c>
      <c r="D107" s="3768" t="s">
        <v>2310</v>
      </c>
      <c r="E107" s="3768" t="s">
        <v>2310</v>
      </c>
      <c r="F107" s="3768" t="s">
        <v>2310</v>
      </c>
      <c r="G107" s="3769" t="s">
        <v>2310</v>
      </c>
    </row>
    <row r="108" spans="2:7" ht="18" customHeight="1" x14ac:dyDescent="0.25">
      <c r="B108" s="1162" t="s">
        <v>1599</v>
      </c>
      <c r="C108" s="1166" t="s">
        <v>1561</v>
      </c>
      <c r="D108" s="3768" t="s">
        <v>2310</v>
      </c>
      <c r="E108" s="3768" t="s">
        <v>2310</v>
      </c>
      <c r="F108" s="3768" t="s">
        <v>2310</v>
      </c>
      <c r="G108" s="3769" t="s">
        <v>2310</v>
      </c>
    </row>
    <row r="109" spans="2:7" ht="18" customHeight="1" x14ac:dyDescent="0.25">
      <c r="B109" s="1162" t="s">
        <v>1599</v>
      </c>
      <c r="C109" s="1166" t="s">
        <v>1562</v>
      </c>
      <c r="D109" s="3768"/>
      <c r="E109" s="3768"/>
      <c r="F109" s="3768"/>
      <c r="G109" s="3769"/>
    </row>
    <row r="110" spans="2:7" ht="18" customHeight="1" x14ac:dyDescent="0.25">
      <c r="B110" s="1162" t="s">
        <v>1600</v>
      </c>
      <c r="C110" s="1443" t="s">
        <v>1560</v>
      </c>
      <c r="D110" s="3768"/>
      <c r="E110" s="3768"/>
      <c r="F110" s="3768"/>
      <c r="G110" s="3769"/>
    </row>
    <row r="111" spans="2:7" ht="18" customHeight="1" x14ac:dyDescent="0.25">
      <c r="B111" s="1162" t="s">
        <v>1600</v>
      </c>
      <c r="C111" s="1166" t="s">
        <v>1561</v>
      </c>
      <c r="D111" s="3768"/>
      <c r="E111" s="3768"/>
      <c r="F111" s="3768"/>
      <c r="G111" s="3769"/>
    </row>
    <row r="112" spans="2:7" ht="18" customHeight="1" x14ac:dyDescent="0.25">
      <c r="B112" s="1162" t="s">
        <v>1600</v>
      </c>
      <c r="C112" s="1166" t="s">
        <v>1562</v>
      </c>
      <c r="D112" s="3768"/>
      <c r="E112" s="3768"/>
      <c r="F112" s="3768"/>
      <c r="G112" s="3769"/>
    </row>
    <row r="113" spans="2:7" ht="18" customHeight="1" x14ac:dyDescent="0.25">
      <c r="B113" s="1162" t="s">
        <v>1601</v>
      </c>
      <c r="C113" s="1443" t="s">
        <v>1560</v>
      </c>
      <c r="D113" s="3768"/>
      <c r="E113" s="3768"/>
      <c r="F113" s="3768"/>
      <c r="G113" s="3769"/>
    </row>
    <row r="114" spans="2:7" ht="18" customHeight="1" x14ac:dyDescent="0.25">
      <c r="B114" s="1163" t="s">
        <v>1602</v>
      </c>
      <c r="C114" s="1443" t="s">
        <v>1560</v>
      </c>
      <c r="D114" s="3768"/>
      <c r="E114" s="3768"/>
      <c r="F114" s="3768"/>
      <c r="G114" s="3769"/>
    </row>
    <row r="115" spans="2:7" ht="18" customHeight="1" x14ac:dyDescent="0.25">
      <c r="B115" s="1162" t="s">
        <v>1603</v>
      </c>
      <c r="C115" s="1443" t="s">
        <v>1560</v>
      </c>
      <c r="D115" s="3768" t="s">
        <v>2310</v>
      </c>
      <c r="E115" s="3768" t="s">
        <v>2310</v>
      </c>
      <c r="F115" s="3768" t="s">
        <v>2310</v>
      </c>
      <c r="G115" s="3769" t="s">
        <v>2310</v>
      </c>
    </row>
    <row r="116" spans="2:7" ht="18" customHeight="1" x14ac:dyDescent="0.25">
      <c r="B116" s="1162" t="s">
        <v>1604</v>
      </c>
      <c r="C116" s="1443" t="s">
        <v>1560</v>
      </c>
      <c r="D116" s="3768" t="s">
        <v>2310</v>
      </c>
      <c r="E116" s="3768"/>
      <c r="F116" s="3768" t="s">
        <v>2310</v>
      </c>
      <c r="G116" s="3769"/>
    </row>
    <row r="117" spans="2:7" ht="18" customHeight="1" x14ac:dyDescent="0.25">
      <c r="B117" s="1162" t="s">
        <v>1605</v>
      </c>
      <c r="C117" s="1443" t="s">
        <v>1560</v>
      </c>
      <c r="D117" s="3768"/>
      <c r="E117" s="3768"/>
      <c r="F117" s="3768"/>
      <c r="G117" s="3769"/>
    </row>
    <row r="118" spans="2:7" ht="18" customHeight="1" x14ac:dyDescent="0.25">
      <c r="B118" s="1162" t="s">
        <v>1606</v>
      </c>
      <c r="C118" s="1443" t="s">
        <v>1560</v>
      </c>
      <c r="D118" s="3768" t="s">
        <v>2310</v>
      </c>
      <c r="E118" s="3768"/>
      <c r="F118" s="3768" t="s">
        <v>2310</v>
      </c>
      <c r="G118" s="3769" t="s">
        <v>2310</v>
      </c>
    </row>
    <row r="119" spans="2:7" ht="18" customHeight="1" x14ac:dyDescent="0.25">
      <c r="B119" s="1162" t="s">
        <v>1607</v>
      </c>
      <c r="C119" s="1443" t="s">
        <v>1560</v>
      </c>
      <c r="D119" s="3768" t="s">
        <v>2310</v>
      </c>
      <c r="E119" s="3768" t="s">
        <v>2310</v>
      </c>
      <c r="F119" s="3768" t="s">
        <v>2310</v>
      </c>
      <c r="G119" s="3769" t="s">
        <v>2310</v>
      </c>
    </row>
    <row r="120" spans="2:7" ht="18" customHeight="1" x14ac:dyDescent="0.25">
      <c r="B120" s="1164" t="s">
        <v>1607</v>
      </c>
      <c r="C120" s="1166" t="s">
        <v>1561</v>
      </c>
      <c r="D120" s="3768"/>
      <c r="E120" s="3768"/>
      <c r="F120" s="3768"/>
      <c r="G120" s="3769"/>
    </row>
    <row r="121" spans="2:7" ht="18" customHeight="1" x14ac:dyDescent="0.25">
      <c r="B121" s="1164" t="s">
        <v>1607</v>
      </c>
      <c r="C121" s="1166" t="s">
        <v>1562</v>
      </c>
      <c r="D121" s="3768"/>
      <c r="E121" s="3768"/>
      <c r="F121" s="3768"/>
      <c r="G121" s="3769"/>
    </row>
    <row r="122" spans="2:7" ht="18" customHeight="1" x14ac:dyDescent="0.25">
      <c r="B122" s="1164" t="s">
        <v>1608</v>
      </c>
      <c r="C122" s="1166" t="s">
        <v>1562</v>
      </c>
      <c r="D122" s="3768" t="s">
        <v>2310</v>
      </c>
      <c r="E122" s="3768"/>
      <c r="F122" s="3768" t="s">
        <v>2310</v>
      </c>
      <c r="G122" s="3769" t="s">
        <v>2310</v>
      </c>
    </row>
    <row r="123" spans="2:7" ht="18" customHeight="1" x14ac:dyDescent="0.25">
      <c r="B123" s="1164" t="s">
        <v>1609</v>
      </c>
      <c r="C123" s="1443" t="s">
        <v>1560</v>
      </c>
      <c r="D123" s="3768"/>
      <c r="E123" s="3768"/>
      <c r="F123" s="3768"/>
      <c r="G123" s="3769"/>
    </row>
    <row r="124" spans="2:7" ht="18" customHeight="1" x14ac:dyDescent="0.25">
      <c r="B124" s="1164" t="s">
        <v>1609</v>
      </c>
      <c r="C124" s="1166" t="s">
        <v>1562</v>
      </c>
      <c r="D124" s="3768"/>
      <c r="E124" s="3768"/>
      <c r="F124" s="3768"/>
      <c r="G124" s="3769"/>
    </row>
    <row r="125" spans="2:7" ht="18" customHeight="1" x14ac:dyDescent="0.25">
      <c r="B125" s="1164" t="s">
        <v>1610</v>
      </c>
      <c r="C125" s="1443" t="s">
        <v>1560</v>
      </c>
      <c r="D125" s="3768"/>
      <c r="E125" s="3768"/>
      <c r="F125" s="3768"/>
      <c r="G125" s="3769"/>
    </row>
    <row r="126" spans="2:7" ht="18" customHeight="1" x14ac:dyDescent="0.25">
      <c r="B126" s="1164" t="s">
        <v>1610</v>
      </c>
      <c r="C126" s="1166" t="s">
        <v>1562</v>
      </c>
      <c r="D126" s="3768"/>
      <c r="E126" s="3768"/>
      <c r="F126" s="3768"/>
      <c r="G126" s="3769"/>
    </row>
    <row r="127" spans="2:7" ht="18" customHeight="1" x14ac:dyDescent="0.25">
      <c r="B127" s="1164" t="s">
        <v>1611</v>
      </c>
      <c r="C127" s="1443" t="s">
        <v>1560</v>
      </c>
      <c r="D127" s="3768"/>
      <c r="E127" s="3768"/>
      <c r="F127" s="3768"/>
      <c r="G127" s="3769"/>
    </row>
    <row r="128" spans="2:7" ht="18" customHeight="1" x14ac:dyDescent="0.25">
      <c r="B128" s="1164" t="s">
        <v>1611</v>
      </c>
      <c r="C128" s="1166" t="s">
        <v>1561</v>
      </c>
      <c r="D128" s="3768"/>
      <c r="E128" s="3768"/>
      <c r="F128" s="3768"/>
      <c r="G128" s="3769"/>
    </row>
    <row r="129" spans="2:7" ht="18" customHeight="1" x14ac:dyDescent="0.25">
      <c r="B129" s="1164" t="s">
        <v>1612</v>
      </c>
      <c r="C129" s="1443" t="s">
        <v>1560</v>
      </c>
      <c r="D129" s="3768"/>
      <c r="E129" s="3768"/>
      <c r="F129" s="3768"/>
      <c r="G129" s="3769"/>
    </row>
    <row r="130" spans="2:7" ht="18" customHeight="1" x14ac:dyDescent="0.25">
      <c r="B130" s="1164" t="s">
        <v>1613</v>
      </c>
      <c r="C130" s="1443" t="s">
        <v>1560</v>
      </c>
      <c r="D130" s="3768"/>
      <c r="E130" s="3768"/>
      <c r="F130" s="3768"/>
      <c r="G130" s="3769"/>
    </row>
    <row r="131" spans="2:7" ht="18" customHeight="1" x14ac:dyDescent="0.25">
      <c r="B131" s="1165" t="s">
        <v>1614</v>
      </c>
      <c r="C131" s="1443" t="s">
        <v>1560</v>
      </c>
      <c r="D131" s="3768"/>
      <c r="E131" s="3768"/>
      <c r="F131" s="3768"/>
      <c r="G131" s="3769"/>
    </row>
    <row r="132" spans="2:7" ht="18" customHeight="1" x14ac:dyDescent="0.25">
      <c r="B132" s="1165" t="s">
        <v>1614</v>
      </c>
      <c r="C132" s="1166" t="s">
        <v>1561</v>
      </c>
      <c r="D132" s="3768"/>
      <c r="E132" s="3768"/>
      <c r="F132" s="3768"/>
      <c r="G132" s="3769"/>
    </row>
    <row r="133" spans="2:7" ht="18" customHeight="1" x14ac:dyDescent="0.2">
      <c r="B133" s="1164" t="s">
        <v>1615</v>
      </c>
      <c r="C133" s="1166" t="s">
        <v>1616</v>
      </c>
      <c r="D133" s="3768"/>
      <c r="E133" s="3768" t="s">
        <v>2310</v>
      </c>
      <c r="F133" s="3768" t="s">
        <v>2310</v>
      </c>
      <c r="G133" s="3769" t="s">
        <v>2310</v>
      </c>
    </row>
    <row r="134" spans="2:7" ht="18" customHeight="1" x14ac:dyDescent="0.25">
      <c r="B134" s="1164" t="s">
        <v>1617</v>
      </c>
      <c r="C134" s="1443" t="s">
        <v>1560</v>
      </c>
      <c r="D134" s="3768"/>
      <c r="E134" s="3768"/>
      <c r="F134" s="3768"/>
      <c r="G134" s="3769"/>
    </row>
    <row r="135" spans="2:7" ht="18" customHeight="1" x14ac:dyDescent="0.25">
      <c r="B135" s="1164" t="s">
        <v>1617</v>
      </c>
      <c r="C135" s="1166" t="s">
        <v>1561</v>
      </c>
      <c r="D135" s="3768"/>
      <c r="E135" s="3768"/>
      <c r="F135" s="3768"/>
      <c r="G135" s="3769"/>
    </row>
    <row r="136" spans="2:7" ht="18" customHeight="1" x14ac:dyDescent="0.25">
      <c r="B136" s="1164" t="s">
        <v>1617</v>
      </c>
      <c r="C136" s="1166" t="s">
        <v>1562</v>
      </c>
      <c r="D136" s="3768"/>
      <c r="E136" s="3768"/>
      <c r="F136" s="3768"/>
      <c r="G136" s="3769"/>
    </row>
    <row r="137" spans="2:7" ht="18" customHeight="1" x14ac:dyDescent="0.2">
      <c r="B137" s="1164" t="s">
        <v>1617</v>
      </c>
      <c r="C137" s="1166" t="s">
        <v>1616</v>
      </c>
      <c r="D137" s="3768"/>
      <c r="E137" s="3768"/>
      <c r="F137" s="3768"/>
      <c r="G137" s="3769"/>
    </row>
    <row r="138" spans="2:7" ht="18" customHeight="1" x14ac:dyDescent="0.25">
      <c r="B138" s="1162" t="s">
        <v>1618</v>
      </c>
      <c r="C138" s="1443" t="s">
        <v>1560</v>
      </c>
      <c r="D138" s="3768" t="s">
        <v>2310</v>
      </c>
      <c r="E138" s="3768" t="s">
        <v>2310</v>
      </c>
      <c r="F138" s="3768" t="s">
        <v>2310</v>
      </c>
      <c r="G138" s="3769" t="s">
        <v>2310</v>
      </c>
    </row>
    <row r="139" spans="2:7" ht="18" customHeight="1" x14ac:dyDescent="0.25">
      <c r="B139" s="1162" t="s">
        <v>1618</v>
      </c>
      <c r="C139" s="1166" t="s">
        <v>1561</v>
      </c>
      <c r="D139" s="3768"/>
      <c r="E139" s="3768"/>
      <c r="F139" s="3768"/>
      <c r="G139" s="3769"/>
    </row>
    <row r="140" spans="2:7" ht="18" customHeight="1" x14ac:dyDescent="0.25">
      <c r="B140" s="1162" t="s">
        <v>1619</v>
      </c>
      <c r="C140" s="1443" t="s">
        <v>1560</v>
      </c>
      <c r="D140" s="3768"/>
      <c r="E140" s="3768"/>
      <c r="F140" s="3768"/>
      <c r="G140" s="3769"/>
    </row>
    <row r="141" spans="2:7" ht="18" customHeight="1" x14ac:dyDescent="0.25">
      <c r="B141" s="1162" t="s">
        <v>1619</v>
      </c>
      <c r="C141" s="1166" t="s">
        <v>1561</v>
      </c>
      <c r="D141" s="3768"/>
      <c r="E141" s="3768"/>
      <c r="F141" s="3768"/>
      <c r="G141" s="3769"/>
    </row>
    <row r="142" spans="2:7" ht="18" customHeight="1" x14ac:dyDescent="0.25">
      <c r="B142" s="1162" t="s">
        <v>1620</v>
      </c>
      <c r="C142" s="1443" t="s">
        <v>1560</v>
      </c>
      <c r="D142" s="3768" t="s">
        <v>2310</v>
      </c>
      <c r="E142" s="3768" t="s">
        <v>2310</v>
      </c>
      <c r="F142" s="3768" t="s">
        <v>2310</v>
      </c>
      <c r="G142" s="3769" t="s">
        <v>2310</v>
      </c>
    </row>
    <row r="143" spans="2:7" ht="18" customHeight="1" x14ac:dyDescent="0.2">
      <c r="B143" s="1162" t="s">
        <v>1620</v>
      </c>
      <c r="C143" s="1166" t="s">
        <v>1511</v>
      </c>
      <c r="D143" s="3768"/>
      <c r="E143" s="3768" t="s">
        <v>2310</v>
      </c>
      <c r="F143" s="3768" t="s">
        <v>2310</v>
      </c>
      <c r="G143" s="3769" t="s">
        <v>2310</v>
      </c>
    </row>
    <row r="144" spans="2:7" ht="18" customHeight="1" x14ac:dyDescent="0.25">
      <c r="B144" s="1164" t="s">
        <v>1620</v>
      </c>
      <c r="C144" s="1166" t="s">
        <v>1621</v>
      </c>
      <c r="D144" s="3768"/>
      <c r="E144" s="3768"/>
      <c r="F144" s="3768"/>
      <c r="G144" s="3769"/>
    </row>
    <row r="145" spans="2:7" ht="18" customHeight="1" x14ac:dyDescent="0.25">
      <c r="B145" s="1164" t="s">
        <v>1622</v>
      </c>
      <c r="C145" s="1443" t="s">
        <v>1560</v>
      </c>
      <c r="D145" s="3768"/>
      <c r="E145" s="3768"/>
      <c r="F145" s="3768"/>
      <c r="G145" s="3769"/>
    </row>
    <row r="146" spans="2:7" ht="18" customHeight="1" x14ac:dyDescent="0.2">
      <c r="B146" s="1164" t="s">
        <v>1622</v>
      </c>
      <c r="C146" s="1166" t="s">
        <v>1539</v>
      </c>
      <c r="D146" s="3768"/>
      <c r="E146" s="3768"/>
      <c r="F146" s="3768"/>
      <c r="G146" s="3769"/>
    </row>
    <row r="147" spans="2:7" ht="18" customHeight="1" x14ac:dyDescent="0.2">
      <c r="B147" s="1164" t="s">
        <v>1622</v>
      </c>
      <c r="C147" s="1166" t="s">
        <v>1511</v>
      </c>
      <c r="D147" s="3768"/>
      <c r="E147" s="3768"/>
      <c r="F147" s="3768"/>
      <c r="G147" s="3769"/>
    </row>
    <row r="148" spans="2:7" ht="18" customHeight="1" x14ac:dyDescent="0.25">
      <c r="B148" s="1164" t="s">
        <v>1622</v>
      </c>
      <c r="C148" s="1166" t="s">
        <v>1621</v>
      </c>
      <c r="D148" s="3768"/>
      <c r="E148" s="3768"/>
      <c r="F148" s="3768"/>
      <c r="G148" s="3769"/>
    </row>
    <row r="149" spans="2:7" ht="18" customHeight="1" x14ac:dyDescent="0.2">
      <c r="B149" s="1164" t="s">
        <v>1622</v>
      </c>
      <c r="C149" s="1166" t="s">
        <v>1512</v>
      </c>
      <c r="D149" s="3768"/>
      <c r="E149" s="3768"/>
      <c r="F149" s="3768"/>
      <c r="G149" s="3769"/>
    </row>
    <row r="150" spans="2:7" ht="18" customHeight="1" x14ac:dyDescent="0.25">
      <c r="B150" s="1164" t="s">
        <v>1623</v>
      </c>
      <c r="C150" s="1443" t="s">
        <v>1560</v>
      </c>
      <c r="D150" s="3768"/>
      <c r="E150" s="3768"/>
      <c r="F150" s="3768"/>
      <c r="G150" s="3769"/>
    </row>
    <row r="151" spans="2:7" ht="18" customHeight="1" x14ac:dyDescent="0.25">
      <c r="B151" s="1164" t="s">
        <v>1624</v>
      </c>
      <c r="C151" s="1443" t="s">
        <v>1560</v>
      </c>
      <c r="D151" s="3768"/>
      <c r="E151" s="3768"/>
      <c r="F151" s="3768"/>
      <c r="G151" s="3769"/>
    </row>
    <row r="152" spans="2:7" ht="18" customHeight="1" x14ac:dyDescent="0.25">
      <c r="B152" s="1164" t="s">
        <v>1625</v>
      </c>
      <c r="C152" s="1443" t="s">
        <v>1560</v>
      </c>
      <c r="D152" s="3768"/>
      <c r="E152" s="3768"/>
      <c r="F152" s="3768"/>
      <c r="G152" s="3769"/>
    </row>
    <row r="153" spans="2:7" ht="18" customHeight="1" x14ac:dyDescent="0.25">
      <c r="B153" s="1164" t="s">
        <v>1625</v>
      </c>
      <c r="C153" s="1166" t="s">
        <v>1561</v>
      </c>
      <c r="D153" s="3768"/>
      <c r="E153" s="3768"/>
      <c r="F153" s="3768"/>
      <c r="G153" s="3769"/>
    </row>
    <row r="154" spans="2:7" ht="18" customHeight="1" x14ac:dyDescent="0.25">
      <c r="B154" s="1164" t="s">
        <v>1625</v>
      </c>
      <c r="C154" s="1166" t="s">
        <v>1562</v>
      </c>
      <c r="D154" s="3768"/>
      <c r="E154" s="3768"/>
      <c r="F154" s="3768"/>
      <c r="G154" s="3769"/>
    </row>
    <row r="155" spans="2:7" ht="18" customHeight="1" x14ac:dyDescent="0.2">
      <c r="B155" s="1164" t="s">
        <v>1625</v>
      </c>
      <c r="C155" s="1166" t="s">
        <v>1616</v>
      </c>
      <c r="D155" s="3768"/>
      <c r="E155" s="3768"/>
      <c r="F155" s="3768"/>
      <c r="G155" s="3769"/>
    </row>
    <row r="156" spans="2:7" ht="18" customHeight="1" x14ac:dyDescent="0.25">
      <c r="B156" s="1164" t="s">
        <v>1626</v>
      </c>
      <c r="C156" s="1443" t="s">
        <v>1560</v>
      </c>
      <c r="D156" s="3768"/>
      <c r="E156" s="3768"/>
      <c r="F156" s="3768"/>
      <c r="G156" s="3769"/>
    </row>
    <row r="157" spans="2:7" ht="18" customHeight="1" x14ac:dyDescent="0.25">
      <c r="B157" s="1164" t="s">
        <v>1626</v>
      </c>
      <c r="C157" s="1166" t="s">
        <v>1561</v>
      </c>
      <c r="D157" s="3768"/>
      <c r="E157" s="3768"/>
      <c r="F157" s="3768"/>
      <c r="G157" s="3769"/>
    </row>
    <row r="158" spans="2:7" ht="18" customHeight="1" x14ac:dyDescent="0.25">
      <c r="B158" s="1164" t="s">
        <v>1626</v>
      </c>
      <c r="C158" s="1166" t="s">
        <v>1562</v>
      </c>
      <c r="D158" s="3768"/>
      <c r="E158" s="3768"/>
      <c r="F158" s="3768"/>
      <c r="G158" s="3769"/>
    </row>
    <row r="159" spans="2:7" ht="18" customHeight="1" x14ac:dyDescent="0.25">
      <c r="B159" s="1162" t="s">
        <v>1627</v>
      </c>
      <c r="C159" s="1166" t="s">
        <v>1562</v>
      </c>
      <c r="D159" s="3768"/>
      <c r="E159" s="3768"/>
      <c r="F159" s="3768"/>
      <c r="G159" s="3769"/>
    </row>
    <row r="160" spans="2:7" ht="18" customHeight="1" x14ac:dyDescent="0.2">
      <c r="B160" s="1162" t="s">
        <v>1627</v>
      </c>
      <c r="C160" s="1166" t="s">
        <v>1616</v>
      </c>
      <c r="D160" s="3768"/>
      <c r="E160" s="3768"/>
      <c r="F160" s="3768"/>
      <c r="G160" s="3769"/>
    </row>
    <row r="161" spans="2:7" ht="18" customHeight="1" x14ac:dyDescent="0.2">
      <c r="B161" s="1162" t="s">
        <v>1628</v>
      </c>
      <c r="C161" s="1166" t="s">
        <v>1616</v>
      </c>
      <c r="D161" s="3768" t="s">
        <v>2310</v>
      </c>
      <c r="E161" s="3768" t="s">
        <v>2310</v>
      </c>
      <c r="F161" s="3768" t="s">
        <v>2310</v>
      </c>
      <c r="G161" s="3769" t="s">
        <v>2310</v>
      </c>
    </row>
    <row r="162" spans="2:7" ht="18" customHeight="1" x14ac:dyDescent="0.2">
      <c r="B162" s="1162" t="s">
        <v>1629</v>
      </c>
      <c r="C162" s="1166" t="s">
        <v>1616</v>
      </c>
      <c r="D162" s="3768"/>
      <c r="E162" s="3768"/>
      <c r="F162" s="3768"/>
      <c r="G162" s="3769"/>
    </row>
    <row r="163" spans="2:7" ht="18" customHeight="1" x14ac:dyDescent="0.2">
      <c r="B163" s="1162" t="s">
        <v>1630</v>
      </c>
      <c r="C163" s="1166" t="s">
        <v>1616</v>
      </c>
      <c r="D163" s="3768"/>
      <c r="E163" s="3768"/>
      <c r="F163" s="3768"/>
      <c r="G163" s="3769"/>
    </row>
    <row r="164" spans="2:7" ht="18" customHeight="1" x14ac:dyDescent="0.2">
      <c r="B164" s="1162" t="s">
        <v>1631</v>
      </c>
      <c r="C164" s="1166" t="s">
        <v>1616</v>
      </c>
      <c r="D164" s="3768"/>
      <c r="E164" s="3768" t="s">
        <v>2310</v>
      </c>
      <c r="F164" s="3768" t="s">
        <v>2310</v>
      </c>
      <c r="G164" s="3769"/>
    </row>
    <row r="165" spans="2:7" ht="18" customHeight="1" x14ac:dyDescent="0.2">
      <c r="B165" s="1162" t="s">
        <v>1632</v>
      </c>
      <c r="C165" s="1166" t="s">
        <v>1616</v>
      </c>
      <c r="D165" s="3768"/>
      <c r="E165" s="3768"/>
      <c r="F165" s="3768"/>
      <c r="G165" s="3769"/>
    </row>
    <row r="166" spans="2:7" ht="18" customHeight="1" x14ac:dyDescent="0.2">
      <c r="B166" s="1162" t="s">
        <v>1633</v>
      </c>
      <c r="C166" s="1166" t="s">
        <v>1616</v>
      </c>
      <c r="D166" s="3768"/>
      <c r="E166" s="3768"/>
      <c r="F166" s="3768"/>
      <c r="G166" s="3769"/>
    </row>
    <row r="167" spans="2:7" ht="18" customHeight="1" x14ac:dyDescent="0.25">
      <c r="B167" s="1164" t="s">
        <v>1634</v>
      </c>
      <c r="C167" s="1443" t="s">
        <v>1560</v>
      </c>
      <c r="D167" s="3768"/>
      <c r="E167" s="3768"/>
      <c r="F167" s="3768"/>
      <c r="G167" s="3769"/>
    </row>
    <row r="168" spans="2:7" ht="18" customHeight="1" x14ac:dyDescent="0.25">
      <c r="B168" s="1164" t="s">
        <v>1634</v>
      </c>
      <c r="C168" s="1166" t="s">
        <v>1561</v>
      </c>
      <c r="D168" s="3768"/>
      <c r="E168" s="3768"/>
      <c r="F168" s="3768"/>
      <c r="G168" s="3769"/>
    </row>
    <row r="169" spans="2:7" ht="18" customHeight="1" x14ac:dyDescent="0.25">
      <c r="B169" s="1164" t="s">
        <v>1634</v>
      </c>
      <c r="C169" s="1166" t="s">
        <v>1562</v>
      </c>
      <c r="D169" s="3768"/>
      <c r="E169" s="3768"/>
      <c r="F169" s="3768"/>
      <c r="G169" s="3769"/>
    </row>
    <row r="170" spans="2:7" ht="18" customHeight="1" x14ac:dyDescent="0.2">
      <c r="B170" s="1164" t="s">
        <v>1634</v>
      </c>
      <c r="C170" s="1166" t="s">
        <v>1616</v>
      </c>
      <c r="D170" s="3768"/>
      <c r="E170" s="3768"/>
      <c r="F170" s="3768"/>
      <c r="G170" s="3769"/>
    </row>
    <row r="171" spans="2:7" ht="18" customHeight="1" x14ac:dyDescent="0.25">
      <c r="B171" s="1164" t="s">
        <v>1635</v>
      </c>
      <c r="C171" s="1443" t="s">
        <v>1560</v>
      </c>
      <c r="D171" s="3768"/>
      <c r="E171" s="3768"/>
      <c r="F171" s="3768"/>
      <c r="G171" s="3769"/>
    </row>
    <row r="172" spans="2:7" ht="18" customHeight="1" x14ac:dyDescent="0.25">
      <c r="B172" s="1164" t="s">
        <v>1635</v>
      </c>
      <c r="C172" s="1166" t="s">
        <v>1561</v>
      </c>
      <c r="D172" s="3768"/>
      <c r="E172" s="3768"/>
      <c r="F172" s="3768"/>
      <c r="G172" s="3769"/>
    </row>
    <row r="173" spans="2:7" ht="18" customHeight="1" x14ac:dyDescent="0.25">
      <c r="B173" s="1164" t="s">
        <v>1635</v>
      </c>
      <c r="C173" s="1166" t="s">
        <v>1562</v>
      </c>
      <c r="D173" s="3768"/>
      <c r="E173" s="3768"/>
      <c r="F173" s="3768"/>
      <c r="G173" s="3769"/>
    </row>
    <row r="174" spans="2:7" ht="18" customHeight="1" x14ac:dyDescent="0.2">
      <c r="B174" s="1164" t="s">
        <v>1635</v>
      </c>
      <c r="C174" s="1166" t="s">
        <v>1616</v>
      </c>
      <c r="D174" s="3768"/>
      <c r="E174" s="3768"/>
      <c r="F174" s="3768"/>
      <c r="G174" s="3769"/>
    </row>
    <row r="175" spans="2:7" ht="18" customHeight="1" x14ac:dyDescent="0.25">
      <c r="B175" s="1163" t="s">
        <v>1636</v>
      </c>
      <c r="C175" s="1443" t="s">
        <v>1560</v>
      </c>
      <c r="D175" s="3768"/>
      <c r="E175" s="3768"/>
      <c r="F175" s="3768"/>
      <c r="G175" s="3769"/>
    </row>
    <row r="176" spans="2:7" ht="18" customHeight="1" x14ac:dyDescent="0.25">
      <c r="B176" s="1164" t="s">
        <v>1637</v>
      </c>
      <c r="C176" s="1166" t="s">
        <v>1561</v>
      </c>
      <c r="D176" s="3768" t="s">
        <v>2310</v>
      </c>
      <c r="E176" s="3768" t="s">
        <v>2310</v>
      </c>
      <c r="F176" s="3768" t="s">
        <v>2310</v>
      </c>
      <c r="G176" s="3769" t="s">
        <v>2310</v>
      </c>
    </row>
    <row r="177" spans="2:7" ht="18" customHeight="1" x14ac:dyDescent="0.25">
      <c r="B177" s="1164" t="s">
        <v>1638</v>
      </c>
      <c r="C177" s="1166" t="s">
        <v>1561</v>
      </c>
      <c r="D177" s="3768" t="s">
        <v>2310</v>
      </c>
      <c r="E177" s="3768" t="s">
        <v>2310</v>
      </c>
      <c r="F177" s="3768" t="s">
        <v>2310</v>
      </c>
      <c r="G177" s="3769" t="s">
        <v>2310</v>
      </c>
    </row>
    <row r="178" spans="2:7" ht="18" customHeight="1" x14ac:dyDescent="0.25">
      <c r="B178" s="1164" t="s">
        <v>1638</v>
      </c>
      <c r="C178" s="1166" t="s">
        <v>1562</v>
      </c>
      <c r="D178" s="3768"/>
      <c r="E178" s="3768"/>
      <c r="F178" s="3768"/>
      <c r="G178" s="3769"/>
    </row>
    <row r="179" spans="2:7" ht="18" customHeight="1" x14ac:dyDescent="0.25">
      <c r="B179" s="1164" t="s">
        <v>1639</v>
      </c>
      <c r="C179" s="1166" t="s">
        <v>1561</v>
      </c>
      <c r="D179" s="3768"/>
      <c r="E179" s="3768"/>
      <c r="F179" s="3768"/>
      <c r="G179" s="3769"/>
    </row>
    <row r="180" spans="2:7" ht="18" customHeight="1" x14ac:dyDescent="0.25">
      <c r="B180" s="1164" t="s">
        <v>1640</v>
      </c>
      <c r="C180" s="1166" t="s">
        <v>1561</v>
      </c>
      <c r="D180" s="3768"/>
      <c r="E180" s="3768"/>
      <c r="F180" s="3768"/>
      <c r="G180" s="3769"/>
    </row>
    <row r="181" spans="2:7" ht="18" customHeight="1" x14ac:dyDescent="0.25">
      <c r="B181" s="1162" t="s">
        <v>1641</v>
      </c>
      <c r="C181" s="1166" t="s">
        <v>1562</v>
      </c>
      <c r="D181" s="3768" t="s">
        <v>2310</v>
      </c>
      <c r="E181" s="3768" t="s">
        <v>2310</v>
      </c>
      <c r="F181" s="3768" t="s">
        <v>2310</v>
      </c>
      <c r="G181" s="3769" t="s">
        <v>2310</v>
      </c>
    </row>
    <row r="182" spans="2:7" ht="18" customHeight="1" x14ac:dyDescent="0.25">
      <c r="B182" s="1163" t="s">
        <v>1642</v>
      </c>
      <c r="C182" s="1166" t="s">
        <v>1562</v>
      </c>
      <c r="D182" s="3768" t="s">
        <v>2310</v>
      </c>
      <c r="E182" s="3768" t="s">
        <v>2310</v>
      </c>
      <c r="F182" s="3768" t="s">
        <v>2310</v>
      </c>
      <c r="G182" s="3769" t="s">
        <v>2310</v>
      </c>
    </row>
    <row r="183" spans="2:7" ht="18" customHeight="1" x14ac:dyDescent="0.25">
      <c r="B183" s="1162" t="s">
        <v>1643</v>
      </c>
      <c r="C183" s="1166" t="s">
        <v>1561</v>
      </c>
      <c r="D183" s="3768"/>
      <c r="E183" s="3768"/>
      <c r="F183" s="3768"/>
      <c r="G183" s="3769"/>
    </row>
    <row r="184" spans="2:7" ht="18" customHeight="1" x14ac:dyDescent="0.25">
      <c r="B184" s="1162" t="s">
        <v>1643</v>
      </c>
      <c r="C184" s="1166" t="s">
        <v>1562</v>
      </c>
      <c r="D184" s="3768"/>
      <c r="E184" s="3768"/>
      <c r="F184" s="3768"/>
      <c r="G184" s="3769"/>
    </row>
    <row r="185" spans="2:7" ht="18" customHeight="1" x14ac:dyDescent="0.25">
      <c r="B185" s="1162" t="s">
        <v>1644</v>
      </c>
      <c r="C185" s="1166" t="s">
        <v>1561</v>
      </c>
      <c r="D185" s="3768"/>
      <c r="E185" s="3768"/>
      <c r="F185" s="3768"/>
      <c r="G185" s="3769"/>
    </row>
    <row r="186" spans="2:7" ht="18" customHeight="1" x14ac:dyDescent="0.25">
      <c r="B186" s="1162" t="s">
        <v>1644</v>
      </c>
      <c r="C186" s="1166" t="s">
        <v>1562</v>
      </c>
      <c r="D186" s="3768"/>
      <c r="E186" s="3768"/>
      <c r="F186" s="3768"/>
      <c r="G186" s="3769"/>
    </row>
    <row r="187" spans="2:7" ht="18" customHeight="1" x14ac:dyDescent="0.25">
      <c r="B187" s="1162" t="s">
        <v>1645</v>
      </c>
      <c r="C187" s="1443" t="s">
        <v>1560</v>
      </c>
      <c r="D187" s="3768" t="s">
        <v>2310</v>
      </c>
      <c r="E187" s="3768" t="s">
        <v>2310</v>
      </c>
      <c r="F187" s="3768" t="s">
        <v>2310</v>
      </c>
      <c r="G187" s="3769" t="s">
        <v>2310</v>
      </c>
    </row>
    <row r="188" spans="2:7" ht="18" customHeight="1" x14ac:dyDescent="0.25">
      <c r="B188" s="1162" t="s">
        <v>1646</v>
      </c>
      <c r="C188" s="1443" t="s">
        <v>1560</v>
      </c>
      <c r="D188" s="3768" t="s">
        <v>2310</v>
      </c>
      <c r="E188" s="3768" t="s">
        <v>2310</v>
      </c>
      <c r="F188" s="3768" t="s">
        <v>2310</v>
      </c>
      <c r="G188" s="3769" t="s">
        <v>2310</v>
      </c>
    </row>
    <row r="189" spans="2:7" ht="18" customHeight="1" x14ac:dyDescent="0.25">
      <c r="B189" s="1162" t="s">
        <v>1647</v>
      </c>
      <c r="C189" s="1443" t="s">
        <v>1560</v>
      </c>
      <c r="D189" s="3768"/>
      <c r="E189" s="3768"/>
      <c r="F189" s="3768"/>
      <c r="G189" s="3769"/>
    </row>
    <row r="190" spans="2:7" ht="18" customHeight="1" x14ac:dyDescent="0.25">
      <c r="B190" s="1162" t="s">
        <v>1648</v>
      </c>
      <c r="C190" s="1443" t="s">
        <v>1560</v>
      </c>
      <c r="D190" s="3768"/>
      <c r="E190" s="3768"/>
      <c r="F190" s="3768"/>
      <c r="G190" s="3769"/>
    </row>
    <row r="191" spans="2:7" ht="18" customHeight="1" x14ac:dyDescent="0.25">
      <c r="B191" s="1164" t="s">
        <v>1648</v>
      </c>
      <c r="C191" s="1166" t="s">
        <v>1561</v>
      </c>
      <c r="D191" s="3768"/>
      <c r="E191" s="3768"/>
      <c r="F191" s="3768"/>
      <c r="G191" s="3769"/>
    </row>
    <row r="192" spans="2:7" ht="18" customHeight="1" x14ac:dyDescent="0.25">
      <c r="B192" s="1164" t="s">
        <v>1648</v>
      </c>
      <c r="C192" s="1166" t="s">
        <v>1562</v>
      </c>
      <c r="D192" s="3768"/>
      <c r="E192" s="3768"/>
      <c r="F192" s="3768"/>
      <c r="G192" s="3769"/>
    </row>
    <row r="193" spans="2:7" ht="18" customHeight="1" x14ac:dyDescent="0.25">
      <c r="B193" s="1163" t="s">
        <v>1649</v>
      </c>
      <c r="C193" s="1443" t="s">
        <v>1560</v>
      </c>
      <c r="D193" s="3768"/>
      <c r="E193" s="3768"/>
      <c r="F193" s="3768"/>
      <c r="G193" s="3769"/>
    </row>
    <row r="194" spans="2:7" ht="18" customHeight="1" x14ac:dyDescent="0.25">
      <c r="B194" s="1164" t="s">
        <v>1650</v>
      </c>
      <c r="C194" s="1443" t="s">
        <v>1560</v>
      </c>
      <c r="D194" s="3768" t="s">
        <v>2310</v>
      </c>
      <c r="E194" s="3768" t="s">
        <v>2310</v>
      </c>
      <c r="F194" s="3768"/>
      <c r="G194" s="3769" t="s">
        <v>2310</v>
      </c>
    </row>
    <row r="195" spans="2:7" ht="18" customHeight="1" x14ac:dyDescent="0.25">
      <c r="B195" s="1164" t="s">
        <v>1651</v>
      </c>
      <c r="C195" s="1443" t="s">
        <v>1560</v>
      </c>
      <c r="D195" s="3768" t="s">
        <v>2310</v>
      </c>
      <c r="E195" s="3768" t="s">
        <v>2310</v>
      </c>
      <c r="F195" s="3768"/>
      <c r="G195" s="3769" t="s">
        <v>2310</v>
      </c>
    </row>
    <row r="196" spans="2:7" ht="18" customHeight="1" x14ac:dyDescent="0.25">
      <c r="B196" s="1164" t="s">
        <v>1652</v>
      </c>
      <c r="C196" s="1443" t="s">
        <v>1560</v>
      </c>
      <c r="D196" s="3768" t="s">
        <v>2310</v>
      </c>
      <c r="E196" s="3768" t="s">
        <v>2310</v>
      </c>
      <c r="F196" s="3768"/>
      <c r="G196" s="3769" t="s">
        <v>2310</v>
      </c>
    </row>
    <row r="197" spans="2:7" ht="18" customHeight="1" x14ac:dyDescent="0.25">
      <c r="B197" s="1164" t="s">
        <v>1653</v>
      </c>
      <c r="C197" s="1443" t="s">
        <v>1560</v>
      </c>
      <c r="D197" s="3768" t="s">
        <v>2310</v>
      </c>
      <c r="E197" s="3768" t="s">
        <v>2310</v>
      </c>
      <c r="F197" s="3768"/>
      <c r="G197" s="3769" t="s">
        <v>2310</v>
      </c>
    </row>
    <row r="198" spans="2:7" ht="18" customHeight="1" x14ac:dyDescent="0.25">
      <c r="B198" s="1164" t="s">
        <v>1654</v>
      </c>
      <c r="C198" s="1443" t="s">
        <v>1560</v>
      </c>
      <c r="D198" s="3768" t="s">
        <v>2310</v>
      </c>
      <c r="E198" s="3768" t="s">
        <v>2310</v>
      </c>
      <c r="F198" s="3768"/>
      <c r="G198" s="3769" t="s">
        <v>2310</v>
      </c>
    </row>
    <row r="199" spans="2:7" ht="18" customHeight="1" x14ac:dyDescent="0.25">
      <c r="B199" s="1164" t="s">
        <v>1655</v>
      </c>
      <c r="C199" s="1443" t="s">
        <v>1560</v>
      </c>
      <c r="D199" s="3768" t="s">
        <v>2310</v>
      </c>
      <c r="E199" s="3768" t="s">
        <v>2310</v>
      </c>
      <c r="F199" s="3768"/>
      <c r="G199" s="3769" t="s">
        <v>2310</v>
      </c>
    </row>
    <row r="200" spans="2:7" ht="18" customHeight="1" x14ac:dyDescent="0.25">
      <c r="B200" s="1164" t="s">
        <v>1656</v>
      </c>
      <c r="C200" s="1443" t="s">
        <v>1560</v>
      </c>
      <c r="D200" s="3768"/>
      <c r="E200" s="3768"/>
      <c r="F200" s="3768"/>
      <c r="G200" s="3769"/>
    </row>
    <row r="201" spans="2:7" ht="18" customHeight="1" x14ac:dyDescent="0.25">
      <c r="B201" s="1164" t="s">
        <v>1657</v>
      </c>
      <c r="C201" s="1443" t="s">
        <v>1560</v>
      </c>
      <c r="D201" s="3768"/>
      <c r="E201" s="3768"/>
      <c r="F201" s="3768"/>
      <c r="G201" s="3769"/>
    </row>
    <row r="202" spans="2:7" ht="18" customHeight="1" x14ac:dyDescent="0.25">
      <c r="B202" s="1164" t="s">
        <v>1658</v>
      </c>
      <c r="C202" s="1443" t="s">
        <v>1560</v>
      </c>
      <c r="D202" s="3768"/>
      <c r="E202" s="3768" t="s">
        <v>2310</v>
      </c>
      <c r="F202" s="3768"/>
      <c r="G202" s="3769" t="s">
        <v>2310</v>
      </c>
    </row>
    <row r="203" spans="2:7" ht="18" customHeight="1" x14ac:dyDescent="0.25">
      <c r="B203" s="1164" t="s">
        <v>1659</v>
      </c>
      <c r="C203" s="1443" t="s">
        <v>1560</v>
      </c>
      <c r="D203" s="3768"/>
      <c r="E203" s="3768"/>
      <c r="F203" s="3768"/>
      <c r="G203" s="3769"/>
    </row>
    <row r="204" spans="2:7" ht="18" customHeight="1" x14ac:dyDescent="0.25">
      <c r="B204" s="1164" t="s">
        <v>1660</v>
      </c>
      <c r="C204" s="1443" t="s">
        <v>1560</v>
      </c>
      <c r="D204" s="3768"/>
      <c r="E204" s="3768"/>
      <c r="F204" s="3768"/>
      <c r="G204" s="3769"/>
    </row>
    <row r="205" spans="2:7" ht="18" customHeight="1" x14ac:dyDescent="0.25">
      <c r="B205" s="1164" t="s">
        <v>1661</v>
      </c>
      <c r="C205" s="1443" t="s">
        <v>1560</v>
      </c>
      <c r="D205" s="3768" t="s">
        <v>2310</v>
      </c>
      <c r="E205" s="3768" t="s">
        <v>2310</v>
      </c>
      <c r="F205" s="3768"/>
      <c r="G205" s="3769" t="s">
        <v>2310</v>
      </c>
    </row>
    <row r="206" spans="2:7" ht="18" customHeight="1" x14ac:dyDescent="0.25">
      <c r="B206" s="1164" t="s">
        <v>1662</v>
      </c>
      <c r="C206" s="1443" t="s">
        <v>1560</v>
      </c>
      <c r="D206" s="3768"/>
      <c r="E206" s="3768"/>
      <c r="F206" s="3768"/>
      <c r="G206" s="3769"/>
    </row>
    <row r="207" spans="2:7" ht="18" customHeight="1" x14ac:dyDescent="0.25">
      <c r="B207" s="1164" t="s">
        <v>1663</v>
      </c>
      <c r="C207" s="1443" t="s">
        <v>1560</v>
      </c>
      <c r="D207" s="3768"/>
      <c r="E207" s="3768"/>
      <c r="F207" s="3768"/>
      <c r="G207" s="3769"/>
    </row>
    <row r="208" spans="2:7" ht="18" customHeight="1" x14ac:dyDescent="0.25">
      <c r="B208" s="1162" t="s">
        <v>1664</v>
      </c>
      <c r="C208" s="1443" t="s">
        <v>1560</v>
      </c>
      <c r="D208" s="3768" t="s">
        <v>2310</v>
      </c>
      <c r="E208" s="3768" t="s">
        <v>2310</v>
      </c>
      <c r="F208" s="3768"/>
      <c r="G208" s="3769" t="s">
        <v>2310</v>
      </c>
    </row>
    <row r="209" spans="2:7" ht="18" customHeight="1" x14ac:dyDescent="0.25">
      <c r="B209" s="1163" t="s">
        <v>1914</v>
      </c>
      <c r="C209" s="1166" t="s">
        <v>1562</v>
      </c>
      <c r="D209" s="3768"/>
      <c r="E209" s="3768"/>
      <c r="F209" s="3768"/>
      <c r="G209" s="3769"/>
    </row>
    <row r="210" spans="2:7" ht="18" customHeight="1" x14ac:dyDescent="0.25">
      <c r="B210" s="1163" t="s">
        <v>1665</v>
      </c>
      <c r="C210" s="1443" t="s">
        <v>1560</v>
      </c>
      <c r="D210" s="3768"/>
      <c r="E210" s="3768"/>
      <c r="F210" s="3768"/>
      <c r="G210" s="3769"/>
    </row>
    <row r="211" spans="2:7" ht="18" customHeight="1" x14ac:dyDescent="0.25">
      <c r="B211" s="1163" t="s">
        <v>1665</v>
      </c>
      <c r="C211" s="1166" t="s">
        <v>1561</v>
      </c>
      <c r="D211" s="3768" t="s">
        <v>2310</v>
      </c>
      <c r="E211" s="3768" t="s">
        <v>2310</v>
      </c>
      <c r="F211" s="3768"/>
      <c r="G211" s="3769" t="s">
        <v>2310</v>
      </c>
    </row>
    <row r="212" spans="2:7" ht="18" customHeight="1" x14ac:dyDescent="0.25">
      <c r="B212" s="1163" t="s">
        <v>1665</v>
      </c>
      <c r="C212" s="1166" t="s">
        <v>1562</v>
      </c>
      <c r="D212" s="3768"/>
      <c r="E212" s="3768"/>
      <c r="F212" s="3768"/>
      <c r="G212" s="3769"/>
    </row>
    <row r="213" spans="2:7" ht="18" customHeight="1" x14ac:dyDescent="0.25">
      <c r="B213" s="1165" t="s">
        <v>1915</v>
      </c>
      <c r="C213" s="1166" t="s">
        <v>1562</v>
      </c>
      <c r="D213" s="3768"/>
      <c r="E213" s="3768"/>
      <c r="F213" s="3768"/>
      <c r="G213" s="3769"/>
    </row>
    <row r="214" spans="2:7" ht="18" customHeight="1" x14ac:dyDescent="0.25">
      <c r="B214" s="1165" t="s">
        <v>1666</v>
      </c>
      <c r="C214" s="1443" t="s">
        <v>1560</v>
      </c>
      <c r="D214" s="3768"/>
      <c r="E214" s="3768"/>
      <c r="F214" s="3768"/>
      <c r="G214" s="3769"/>
    </row>
    <row r="215" spans="2:7" ht="18" customHeight="1" x14ac:dyDescent="0.25">
      <c r="B215" s="1164" t="s">
        <v>1666</v>
      </c>
      <c r="C215" s="1166" t="s">
        <v>1561</v>
      </c>
      <c r="D215" s="3768" t="s">
        <v>2310</v>
      </c>
      <c r="E215" s="3768" t="s">
        <v>2310</v>
      </c>
      <c r="F215" s="3768"/>
      <c r="G215" s="3769" t="s">
        <v>2310</v>
      </c>
    </row>
    <row r="216" spans="2:7" ht="18" customHeight="1" x14ac:dyDescent="0.25">
      <c r="B216" s="1164" t="s">
        <v>1666</v>
      </c>
      <c r="C216" s="1166" t="s">
        <v>1562</v>
      </c>
      <c r="D216" s="3768" t="s">
        <v>2310</v>
      </c>
      <c r="E216" s="3768"/>
      <c r="F216" s="3768"/>
      <c r="G216" s="3769" t="s">
        <v>2310</v>
      </c>
    </row>
    <row r="217" spans="2:7" ht="18" customHeight="1" x14ac:dyDescent="0.25">
      <c r="B217" s="1165" t="s">
        <v>1667</v>
      </c>
      <c r="C217" s="1443" t="s">
        <v>1560</v>
      </c>
      <c r="D217" s="3768"/>
      <c r="E217" s="3768"/>
      <c r="F217" s="3768"/>
      <c r="G217" s="3769"/>
    </row>
    <row r="218" spans="2:7" ht="18" customHeight="1" x14ac:dyDescent="0.25">
      <c r="B218" s="1165" t="s">
        <v>1667</v>
      </c>
      <c r="C218" s="1166" t="s">
        <v>1561</v>
      </c>
      <c r="D218" s="3768"/>
      <c r="E218" s="3768"/>
      <c r="F218" s="3768"/>
      <c r="G218" s="3769"/>
    </row>
    <row r="219" spans="2:7" ht="18" customHeight="1" x14ac:dyDescent="0.25">
      <c r="B219" s="1165" t="s">
        <v>1667</v>
      </c>
      <c r="C219" s="1166" t="s">
        <v>1562</v>
      </c>
      <c r="D219" s="3768"/>
      <c r="E219" s="3768"/>
      <c r="F219" s="3768"/>
      <c r="G219" s="3769"/>
    </row>
    <row r="220" spans="2:7" ht="18" customHeight="1" x14ac:dyDescent="0.25">
      <c r="B220" s="1163" t="s">
        <v>1668</v>
      </c>
      <c r="C220" s="1443" t="s">
        <v>1560</v>
      </c>
      <c r="D220" s="3768"/>
      <c r="E220" s="3768"/>
      <c r="F220" s="3768"/>
      <c r="G220" s="3769"/>
    </row>
    <row r="221" spans="2:7" ht="18" customHeight="1" x14ac:dyDescent="0.25">
      <c r="B221" s="1164" t="s">
        <v>1669</v>
      </c>
      <c r="C221" s="1166" t="s">
        <v>1561</v>
      </c>
      <c r="D221" s="3768" t="s">
        <v>2310</v>
      </c>
      <c r="E221" s="3768" t="s">
        <v>2310</v>
      </c>
      <c r="F221" s="3768" t="s">
        <v>2310</v>
      </c>
      <c r="G221" s="3769" t="s">
        <v>2310</v>
      </c>
    </row>
    <row r="222" spans="2:7" ht="18" customHeight="1" x14ac:dyDescent="0.25">
      <c r="B222" s="1164" t="s">
        <v>1670</v>
      </c>
      <c r="C222" s="1166" t="s">
        <v>1561</v>
      </c>
      <c r="D222" s="3768"/>
      <c r="E222" s="3768"/>
      <c r="F222" s="3768"/>
      <c r="G222" s="3769"/>
    </row>
    <row r="223" spans="2:7" ht="18" customHeight="1" x14ac:dyDescent="0.25">
      <c r="B223" s="1164" t="s">
        <v>1670</v>
      </c>
      <c r="C223" s="1166" t="s">
        <v>1562</v>
      </c>
      <c r="D223" s="3768"/>
      <c r="E223" s="3768"/>
      <c r="F223" s="3768"/>
      <c r="G223" s="3769"/>
    </row>
    <row r="224" spans="2:7" ht="18" customHeight="1" x14ac:dyDescent="0.25">
      <c r="B224" s="1164" t="s">
        <v>1671</v>
      </c>
      <c r="C224" s="1443" t="s">
        <v>1560</v>
      </c>
      <c r="D224" s="3768"/>
      <c r="E224" s="3768"/>
      <c r="F224" s="3768"/>
      <c r="G224" s="3769"/>
    </row>
    <row r="225" spans="2:7" ht="18" customHeight="1" x14ac:dyDescent="0.25">
      <c r="B225" s="1164" t="s">
        <v>1671</v>
      </c>
      <c r="C225" s="1166" t="s">
        <v>1561</v>
      </c>
      <c r="D225" s="3768"/>
      <c r="E225" s="3768"/>
      <c r="F225" s="3768"/>
      <c r="G225" s="3769"/>
    </row>
    <row r="226" spans="2:7" ht="18" customHeight="1" x14ac:dyDescent="0.25">
      <c r="B226" s="1164" t="s">
        <v>1671</v>
      </c>
      <c r="C226" s="1166" t="s">
        <v>1562</v>
      </c>
      <c r="D226" s="3768"/>
      <c r="E226" s="3768"/>
      <c r="F226" s="3768"/>
      <c r="G226" s="3769"/>
    </row>
    <row r="227" spans="2:7" ht="18" customHeight="1" x14ac:dyDescent="0.25">
      <c r="B227" s="1162" t="s">
        <v>1672</v>
      </c>
      <c r="C227" s="1166" t="s">
        <v>1561</v>
      </c>
      <c r="D227" s="3768" t="s">
        <v>2310</v>
      </c>
      <c r="E227" s="3768" t="s">
        <v>2310</v>
      </c>
      <c r="F227" s="3768" t="s">
        <v>2310</v>
      </c>
      <c r="G227" s="3769" t="s">
        <v>2310</v>
      </c>
    </row>
    <row r="228" spans="2:7" ht="18" customHeight="1" x14ac:dyDescent="0.25">
      <c r="B228" s="1162" t="s">
        <v>1672</v>
      </c>
      <c r="C228" s="1166" t="s">
        <v>1562</v>
      </c>
      <c r="D228" s="3768"/>
      <c r="E228" s="3768"/>
      <c r="F228" s="3768"/>
      <c r="G228" s="3769"/>
    </row>
    <row r="229" spans="2:7" ht="18" customHeight="1" x14ac:dyDescent="0.25">
      <c r="B229" s="1163" t="s">
        <v>1673</v>
      </c>
      <c r="C229" s="1443" t="s">
        <v>1560</v>
      </c>
      <c r="D229" s="3768"/>
      <c r="E229" s="3768"/>
      <c r="F229" s="3768"/>
      <c r="G229" s="3769"/>
    </row>
    <row r="230" spans="2:7" ht="18" customHeight="1" x14ac:dyDescent="0.25">
      <c r="B230" s="1163" t="s">
        <v>1673</v>
      </c>
      <c r="C230" s="1166" t="s">
        <v>1561</v>
      </c>
      <c r="D230" s="3768"/>
      <c r="E230" s="3768"/>
      <c r="F230" s="3768"/>
      <c r="G230" s="3769"/>
    </row>
    <row r="231" spans="2:7" ht="18" customHeight="1" x14ac:dyDescent="0.25">
      <c r="B231" s="1163" t="s">
        <v>1674</v>
      </c>
      <c r="C231" s="1443" t="s">
        <v>1560</v>
      </c>
      <c r="D231" s="3768"/>
      <c r="E231" s="3768"/>
      <c r="F231" s="3768"/>
      <c r="G231" s="3769"/>
    </row>
    <row r="232" spans="2:7" ht="18" customHeight="1" x14ac:dyDescent="0.25">
      <c r="B232" s="1163" t="s">
        <v>1675</v>
      </c>
      <c r="C232" s="1166" t="s">
        <v>1560</v>
      </c>
      <c r="D232" s="3768"/>
      <c r="E232" s="3768"/>
      <c r="F232" s="3768"/>
      <c r="G232" s="3769"/>
    </row>
    <row r="233" spans="2:7" ht="18" customHeight="1" x14ac:dyDescent="0.25">
      <c r="B233" s="1163" t="s">
        <v>1675</v>
      </c>
      <c r="C233" s="1166" t="s">
        <v>1561</v>
      </c>
      <c r="D233" s="3768"/>
      <c r="E233" s="3768"/>
      <c r="F233" s="3768"/>
      <c r="G233" s="3769"/>
    </row>
    <row r="234" spans="2:7" ht="18" customHeight="1" x14ac:dyDescent="0.25">
      <c r="B234" s="1163" t="s">
        <v>1675</v>
      </c>
      <c r="C234" s="1166" t="s">
        <v>1562</v>
      </c>
      <c r="D234" s="3768"/>
      <c r="E234" s="3768"/>
      <c r="F234" s="3768"/>
      <c r="G234" s="3769"/>
    </row>
    <row r="235" spans="2:7" ht="18" customHeight="1" x14ac:dyDescent="0.2">
      <c r="B235" s="1163" t="s">
        <v>1675</v>
      </c>
      <c r="C235" s="1166" t="s">
        <v>1616</v>
      </c>
      <c r="D235" s="3768"/>
      <c r="E235" s="3768"/>
      <c r="F235" s="3768"/>
      <c r="G235" s="3769"/>
    </row>
    <row r="236" spans="2:7" ht="18" customHeight="1" thickBot="1" x14ac:dyDescent="0.3">
      <c r="B236" s="1404" t="s">
        <v>1676</v>
      </c>
      <c r="C236" s="1444" t="s">
        <v>1560</v>
      </c>
      <c r="D236" s="3770"/>
      <c r="E236" s="3770"/>
      <c r="F236" s="3770"/>
      <c r="G236" s="3771"/>
    </row>
    <row r="237" spans="2:7" x14ac:dyDescent="0.2">
      <c r="B237" s="1"/>
      <c r="C237" s="1"/>
      <c r="D237" s="1"/>
      <c r="E237" s="1"/>
      <c r="F237" s="1"/>
      <c r="G237" s="1"/>
    </row>
    <row r="238" spans="2:7" ht="15" x14ac:dyDescent="0.2">
      <c r="B238" s="1933"/>
      <c r="C238" s="693"/>
      <c r="D238" s="693"/>
      <c r="E238" s="693"/>
      <c r="F238" s="693"/>
      <c r="G238" s="693"/>
    </row>
    <row r="239" spans="2:7" x14ac:dyDescent="0.2">
      <c r="B239" s="1934"/>
      <c r="C239" s="968"/>
      <c r="D239" s="969"/>
      <c r="E239" s="969"/>
      <c r="F239" s="969"/>
      <c r="G239" s="969"/>
    </row>
    <row r="245" spans="2:20" ht="13.5" thickBot="1" x14ac:dyDescent="0.25"/>
    <row r="246" spans="2:20" ht="15.75" x14ac:dyDescent="0.2">
      <c r="B246" s="739" t="s">
        <v>1384</v>
      </c>
      <c r="C246" s="974"/>
      <c r="D246" s="974"/>
      <c r="E246" s="974"/>
      <c r="F246" s="974"/>
      <c r="G246" s="975"/>
      <c r="H246" s="738"/>
      <c r="I246" s="738"/>
      <c r="J246" s="738"/>
      <c r="K246" s="738"/>
      <c r="L246" s="738"/>
      <c r="M246" s="738"/>
      <c r="N246" s="738"/>
      <c r="O246" s="738"/>
      <c r="P246" s="738"/>
      <c r="Q246" s="738"/>
      <c r="R246" s="738"/>
      <c r="S246" s="738"/>
      <c r="T246" s="738"/>
    </row>
    <row r="247" spans="2:20" ht="15.75" x14ac:dyDescent="0.2">
      <c r="B247" s="978"/>
      <c r="C247" s="979"/>
      <c r="D247" s="979"/>
      <c r="E247" s="979"/>
      <c r="F247" s="979"/>
      <c r="G247" s="980"/>
      <c r="H247" s="738"/>
      <c r="I247" s="738"/>
      <c r="J247" s="738"/>
      <c r="K247" s="738"/>
      <c r="L247" s="738"/>
      <c r="M247" s="738"/>
      <c r="N247" s="738"/>
      <c r="O247" s="738"/>
      <c r="P247" s="738"/>
      <c r="Q247" s="738"/>
      <c r="R247" s="738"/>
      <c r="S247" s="738"/>
      <c r="T247" s="738"/>
    </row>
    <row r="248" spans="2:20" ht="15.75" x14ac:dyDescent="0.2">
      <c r="B248" s="978"/>
      <c r="C248" s="979"/>
      <c r="D248" s="979"/>
      <c r="E248" s="979"/>
      <c r="F248" s="979"/>
      <c r="G248" s="980"/>
      <c r="H248" s="738"/>
      <c r="I248" s="738"/>
      <c r="J248" s="738"/>
      <c r="K248" s="738"/>
      <c r="L248" s="738"/>
      <c r="M248" s="738"/>
      <c r="N248" s="738"/>
      <c r="O248" s="738"/>
      <c r="P248" s="738"/>
      <c r="Q248" s="738"/>
      <c r="R248" s="738"/>
      <c r="S248" s="738"/>
      <c r="T248" s="738"/>
    </row>
    <row r="249" spans="2:20" ht="16.5" thickBot="1" x14ac:dyDescent="0.25">
      <c r="B249" s="741"/>
      <c r="C249" s="976"/>
      <c r="D249" s="976"/>
      <c r="E249" s="976"/>
      <c r="F249" s="976"/>
      <c r="G249" s="977"/>
      <c r="H249" s="738"/>
      <c r="I249" s="738"/>
      <c r="J249" s="738"/>
      <c r="K249" s="738"/>
      <c r="L249" s="738"/>
      <c r="M249" s="738"/>
      <c r="N249" s="738"/>
      <c r="O249" s="738"/>
      <c r="P249" s="738"/>
      <c r="Q249" s="738"/>
      <c r="R249" s="738"/>
      <c r="S249" s="738"/>
      <c r="T249" s="738"/>
    </row>
    <row r="250" spans="2:20" ht="30" customHeight="1" thickBot="1" x14ac:dyDescent="0.25">
      <c r="B250" s="4519" t="s">
        <v>2311</v>
      </c>
      <c r="C250" s="4520"/>
      <c r="D250" s="4520"/>
      <c r="E250" s="4520"/>
      <c r="F250" s="4520"/>
      <c r="G250" s="4521"/>
      <c r="H250" s="738"/>
      <c r="I250" s="738"/>
      <c r="J250" s="738"/>
      <c r="K250" s="738"/>
      <c r="L250" s="738"/>
      <c r="M250" s="738"/>
      <c r="N250" s="738"/>
      <c r="O250" s="738"/>
      <c r="P250" s="738"/>
      <c r="Q250" s="738"/>
      <c r="R250" s="738"/>
      <c r="S250" s="738"/>
      <c r="T250" s="738"/>
    </row>
    <row r="251" spans="2:20" ht="15.75" x14ac:dyDescent="0.2">
      <c r="H251" s="738"/>
      <c r="I251" s="738"/>
      <c r="J251" s="738"/>
      <c r="K251" s="738"/>
      <c r="L251" s="738"/>
      <c r="M251" s="738"/>
      <c r="N251" s="738"/>
      <c r="O251" s="738"/>
      <c r="P251" s="738"/>
      <c r="Q251" s="738"/>
      <c r="R251" s="738"/>
      <c r="S251" s="738"/>
      <c r="T251" s="738"/>
    </row>
  </sheetData>
  <mergeCells count="1">
    <mergeCell ref="B250:G250"/>
  </mergeCells>
  <dataValidations count="1">
    <dataValidation allowBlank="1" showInputMessage="1" showErrorMessage="1" sqref="I1:IW7 F7:H7 C2:C9 C237:C238 F8:G8 B1:B5 B237:B239 B8:B9 V251:IW65756 H252:U65756 V246:IV250 E1:E7 F1:F5 P246:U251 H8:IW245 G1:G6 D10:G238 D1:D9 E9 B240:B65756 C240:G249 C251:G65756"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1677</v>
      </c>
      <c r="C1" s="213"/>
      <c r="D1" s="213"/>
      <c r="E1" s="213"/>
      <c r="F1" s="694"/>
      <c r="G1" s="694"/>
      <c r="H1" s="694"/>
      <c r="I1" s="695"/>
      <c r="J1" s="695"/>
      <c r="K1" s="695"/>
      <c r="L1" s="695"/>
      <c r="M1" s="695"/>
      <c r="N1" s="695"/>
      <c r="O1" s="695"/>
      <c r="P1" s="696"/>
      <c r="Q1" s="696"/>
      <c r="S1" s="697"/>
      <c r="T1" s="14" t="s">
        <v>2521</v>
      </c>
    </row>
    <row r="2" spans="2:20" ht="15.75" customHeight="1" x14ac:dyDescent="0.2">
      <c r="B2" s="3" t="s">
        <v>616</v>
      </c>
      <c r="C2" s="213" t="s">
        <v>1678</v>
      </c>
      <c r="D2" s="213"/>
      <c r="E2" s="213">
        <v>2006</v>
      </c>
      <c r="F2" s="695"/>
      <c r="G2" s="695"/>
      <c r="H2" s="695"/>
      <c r="I2" s="695"/>
      <c r="J2" s="695"/>
      <c r="K2" s="695"/>
      <c r="L2" s="695"/>
      <c r="M2" s="695"/>
      <c r="N2" s="695"/>
      <c r="O2" s="695"/>
      <c r="P2" s="695"/>
      <c r="Q2" s="695"/>
      <c r="R2" s="695"/>
      <c r="S2" s="695"/>
      <c r="T2" s="14" t="s">
        <v>2522</v>
      </c>
    </row>
    <row r="3" spans="2:20" ht="15.75" customHeight="1" x14ac:dyDescent="0.2">
      <c r="B3" s="695"/>
      <c r="C3" s="695"/>
      <c r="D3" s="695"/>
      <c r="E3" s="695"/>
      <c r="F3" s="695"/>
      <c r="G3" s="695"/>
      <c r="H3" s="695"/>
      <c r="I3" s="695"/>
      <c r="J3" s="695"/>
      <c r="K3" s="695"/>
      <c r="L3" s="695"/>
      <c r="M3" s="695"/>
      <c r="N3" s="695"/>
      <c r="O3" s="695"/>
      <c r="P3" s="695"/>
      <c r="Q3" s="695"/>
      <c r="R3" s="695"/>
      <c r="S3" s="695"/>
      <c r="T3" s="14" t="s">
        <v>2144</v>
      </c>
    </row>
    <row r="4" spans="2:20" ht="15.75" hidden="1" customHeight="1" x14ac:dyDescent="0.2">
      <c r="B4" s="695"/>
      <c r="C4" s="695"/>
      <c r="D4" s="695"/>
      <c r="E4" s="695"/>
      <c r="F4" s="695"/>
      <c r="G4" s="695"/>
      <c r="H4" s="695"/>
      <c r="I4" s="695"/>
      <c r="J4" s="695"/>
      <c r="K4" s="695"/>
      <c r="L4" s="695"/>
      <c r="M4" s="695"/>
      <c r="N4" s="695"/>
      <c r="O4" s="695"/>
      <c r="P4" s="695"/>
      <c r="Q4" s="695"/>
      <c r="R4" s="695"/>
      <c r="S4" s="695"/>
      <c r="T4" s="2"/>
    </row>
    <row r="5" spans="2:20" ht="15.75" hidden="1" customHeight="1" x14ac:dyDescent="0.2">
      <c r="B5" s="695"/>
      <c r="C5" s="695"/>
      <c r="D5" s="695"/>
      <c r="E5" s="695"/>
      <c r="F5" s="695"/>
      <c r="G5" s="695"/>
      <c r="H5" s="695"/>
      <c r="I5" s="695"/>
      <c r="J5" s="695"/>
      <c r="K5" s="695"/>
      <c r="L5" s="695"/>
      <c r="M5" s="695"/>
      <c r="N5" s="695"/>
      <c r="O5" s="695"/>
      <c r="P5" s="695"/>
      <c r="Q5" s="695"/>
      <c r="R5" s="695"/>
      <c r="S5" s="695"/>
      <c r="T5" s="2"/>
    </row>
    <row r="6" spans="2:20" ht="16.5" customHeight="1" thickBot="1" x14ac:dyDescent="0.25">
      <c r="B6" s="2446" t="s">
        <v>64</v>
      </c>
    </row>
    <row r="7" spans="2:20" ht="15.75" customHeight="1" x14ac:dyDescent="0.2">
      <c r="B7" s="970" t="s">
        <v>65</v>
      </c>
      <c r="C7" s="698" t="s">
        <v>1679</v>
      </c>
      <c r="D7" s="699"/>
      <c r="E7" s="699"/>
      <c r="F7" s="699"/>
      <c r="G7" s="699"/>
      <c r="H7" s="700"/>
      <c r="I7" s="701" t="s">
        <v>1680</v>
      </c>
      <c r="J7" s="699"/>
      <c r="K7" s="699"/>
      <c r="L7" s="699"/>
      <c r="M7" s="699"/>
      <c r="N7" s="700"/>
      <c r="O7" s="701" t="s">
        <v>1681</v>
      </c>
      <c r="P7" s="699"/>
      <c r="Q7" s="699"/>
      <c r="R7" s="699"/>
      <c r="S7" s="699"/>
      <c r="T7" s="700"/>
    </row>
    <row r="8" spans="2:20" ht="80.099999999999994" customHeight="1" x14ac:dyDescent="0.2">
      <c r="B8" s="971"/>
      <c r="C8" s="702" t="s">
        <v>1682</v>
      </c>
      <c r="D8" s="703" t="s">
        <v>1683</v>
      </c>
      <c r="E8" s="703" t="s">
        <v>1684</v>
      </c>
      <c r="F8" s="703" t="s">
        <v>1998</v>
      </c>
      <c r="G8" s="704" t="s">
        <v>2142</v>
      </c>
      <c r="H8" s="705" t="s">
        <v>2143</v>
      </c>
      <c r="I8" s="706" t="s">
        <v>1682</v>
      </c>
      <c r="J8" s="703" t="s">
        <v>1683</v>
      </c>
      <c r="K8" s="703" t="s">
        <v>1684</v>
      </c>
      <c r="L8" s="703" t="s">
        <v>1999</v>
      </c>
      <c r="M8" s="704" t="s">
        <v>2142</v>
      </c>
      <c r="N8" s="705" t="s">
        <v>2143</v>
      </c>
      <c r="O8" s="706" t="s">
        <v>1682</v>
      </c>
      <c r="P8" s="703" t="s">
        <v>1683</v>
      </c>
      <c r="Q8" s="703" t="s">
        <v>1684</v>
      </c>
      <c r="R8" s="703" t="s">
        <v>2000</v>
      </c>
      <c r="S8" s="704" t="s">
        <v>2142</v>
      </c>
      <c r="T8" s="705" t="s">
        <v>2143</v>
      </c>
    </row>
    <row r="9" spans="2:20" ht="18" customHeight="1" thickBot="1" x14ac:dyDescent="0.25">
      <c r="B9" s="1935"/>
      <c r="C9" s="1936" t="s">
        <v>1685</v>
      </c>
      <c r="D9" s="1937"/>
      <c r="E9" s="1938"/>
      <c r="F9" s="1936" t="s">
        <v>297</v>
      </c>
      <c r="G9" s="1937"/>
      <c r="H9" s="1939"/>
      <c r="I9" s="1936" t="s">
        <v>1685</v>
      </c>
      <c r="J9" s="1937"/>
      <c r="K9" s="1938"/>
      <c r="L9" s="1936" t="s">
        <v>297</v>
      </c>
      <c r="M9" s="1937"/>
      <c r="N9" s="1939"/>
      <c r="O9" s="1936" t="s">
        <v>1685</v>
      </c>
      <c r="P9" s="1937"/>
      <c r="Q9" s="1938"/>
      <c r="R9" s="707" t="s">
        <v>297</v>
      </c>
      <c r="S9" s="708"/>
      <c r="T9" s="709"/>
    </row>
    <row r="10" spans="2:20" ht="18" customHeight="1" thickTop="1" thickBot="1" x14ac:dyDescent="0.25">
      <c r="B10" s="1940" t="s">
        <v>1475</v>
      </c>
      <c r="C10" s="4193">
        <f>SUM(C11,C22,C30,C41,C50,C56)</f>
        <v>457712.68365887349</v>
      </c>
      <c r="D10" s="4193">
        <f>SUM(D11,D22,D30,D41,D50,D56)</f>
        <v>454289.46254824422</v>
      </c>
      <c r="E10" s="3840">
        <f>IF(D10="NO",IF(C10="NO","NA",-C10),IF(C10="NO",D10,D10-C10))</f>
        <v>-3423.2211106292671</v>
      </c>
      <c r="F10" s="3838">
        <f>IF(E10="NA","NA",E10/C10*100)</f>
        <v>-0.74789736724458866</v>
      </c>
      <c r="G10" s="3841">
        <f>IF(E10="NA","NA",E10/Table8s2!$G$35*100)</f>
        <v>-0.63390896025560572</v>
      </c>
      <c r="H10" s="3842">
        <f>IF(E10="NA","NA",E10/Table8s2!$G$34*100)</f>
        <v>-0.5461507818734801</v>
      </c>
      <c r="I10" s="4194">
        <f>SUM(I11,I22,I30,I41,I50,I56)</f>
        <v>149330.41621706801</v>
      </c>
      <c r="J10" s="4193">
        <f>SUM(J11,J22,J30,J41,J50,J56)</f>
        <v>144992.0118182358</v>
      </c>
      <c r="K10" s="3840">
        <f t="shared" ref="K10:K12" si="0">IF(J10="NO",IF(I10="NO","NA",-I10),IF(I10="NO",J10,J10-I10))</f>
        <v>-4338.4043988322082</v>
      </c>
      <c r="L10" s="3838">
        <f t="shared" ref="L10:L12" si="1">IF(K10="NA","NA",K10/I10*100)</f>
        <v>-2.9052382687568925</v>
      </c>
      <c r="M10" s="3841">
        <f>IF(K10="NA","NA",K10/Table8s2!$G$35*100)</f>
        <v>-0.80338176610698975</v>
      </c>
      <c r="N10" s="3842">
        <f>IF(K10="NA","NA",K10/Table8s2!$G$34*100)</f>
        <v>-0.69216182009055249</v>
      </c>
      <c r="O10" s="4194">
        <f>SUM(O11,O22,O30,O41,O50,O56)</f>
        <v>22713.474674772726</v>
      </c>
      <c r="P10" s="4193">
        <f>SUM(P11,P22,P30,P41,P50,P56)</f>
        <v>22590.570952594815</v>
      </c>
      <c r="Q10" s="3840">
        <f t="shared" ref="Q10:Q12" si="2">IF(P10="NO",IF(O10="NO","NA",-O10),IF(O10="NO",P10,P10-O10))</f>
        <v>-122.90372217791082</v>
      </c>
      <c r="R10" s="3838">
        <f t="shared" ref="R10:R12" si="3">IF(Q10="NA","NA",Q10/O10*100)</f>
        <v>-0.54110489010480123</v>
      </c>
      <c r="S10" s="3841">
        <f>IF(Q10="NA","NA",Q10/Table8s2!$G$35*100)</f>
        <v>-2.2759199075814786E-2</v>
      </c>
      <c r="T10" s="3842">
        <f>IF(Q10="NA","NA",Q10/Table8s2!$G$34*100)</f>
        <v>-1.9608421949199782E-2</v>
      </c>
    </row>
    <row r="11" spans="2:20" ht="18" customHeight="1" x14ac:dyDescent="0.2">
      <c r="B11" s="1405" t="s">
        <v>1476</v>
      </c>
      <c r="C11" s="3839">
        <f>SUM(C12,C18,C21)</f>
        <v>367325.86302549479</v>
      </c>
      <c r="D11" s="3839">
        <f>Summary2!C11</f>
        <v>367332.27677549474</v>
      </c>
      <c r="E11" s="3843">
        <f t="shared" ref="E11:E38" si="4">IF(D11="NO",IF(C11="NO","NA",-C11),IF(C11="NO",D11,D11-C11))</f>
        <v>6.4137499999487773</v>
      </c>
      <c r="F11" s="3839">
        <f t="shared" ref="F11:F38" si="5">IF(E11="NA","NA",E11/C11*100)</f>
        <v>1.7460654545589731E-3</v>
      </c>
      <c r="G11" s="3844">
        <f>IF(E11="NA","NA",E11/Table8s2!$G$35*100)</f>
        <v>1.1876923699677539E-3</v>
      </c>
      <c r="H11" s="3845">
        <f>IF(E11="NA","NA",E11/Table8s2!$G$34*100)</f>
        <v>1.0232685719121278E-3</v>
      </c>
      <c r="I11" s="3846">
        <f>SUM(I12,I18,I21)</f>
        <v>38966.882465779883</v>
      </c>
      <c r="J11" s="3839">
        <f>Summary2!D11</f>
        <v>38967.173482104001</v>
      </c>
      <c r="K11" s="3843">
        <f t="shared" si="0"/>
        <v>0.29101632411766332</v>
      </c>
      <c r="L11" s="3839">
        <f t="shared" si="1"/>
        <v>7.4682988656644359E-4</v>
      </c>
      <c r="M11" s="3844">
        <f>IF(K11="NA","NA",K11/Table8s2!$G$35*100)</f>
        <v>5.3890137235372745E-5</v>
      </c>
      <c r="N11" s="3845">
        <f>IF(K11="NA","NA",K11/Table8s2!$G$34*100)</f>
        <v>4.6429601775151274E-5</v>
      </c>
      <c r="O11" s="3846">
        <f>SUM(O12,O18,O21)</f>
        <v>3340.2776493978763</v>
      </c>
      <c r="P11" s="3839">
        <f>Summary2!E11</f>
        <v>3340.2776493978772</v>
      </c>
      <c r="Q11" s="3843">
        <f t="shared" si="2"/>
        <v>9.0949470177292824E-13</v>
      </c>
      <c r="R11" s="3839">
        <f t="shared" si="3"/>
        <v>2.7228116858395743E-14</v>
      </c>
      <c r="S11" s="3844">
        <f>IF(Q11="NA","NA",Q11/Table8s2!$G$35*100)</f>
        <v>1.6841939860930525E-16</v>
      </c>
      <c r="T11" s="3845">
        <f>IF(Q11="NA","NA",Q11/Table8s2!$G$34*100)</f>
        <v>1.4510346437766724E-16</v>
      </c>
    </row>
    <row r="12" spans="2:20" ht="18" customHeight="1" x14ac:dyDescent="0.2">
      <c r="B12" s="620" t="s">
        <v>131</v>
      </c>
      <c r="C12" s="3839">
        <f>SUM(C13:C17)</f>
        <v>360279.46923889202</v>
      </c>
      <c r="D12" s="3839">
        <f>Summary2!C12</f>
        <v>360285.88298889197</v>
      </c>
      <c r="E12" s="3839">
        <f t="shared" si="4"/>
        <v>6.4137499999487773</v>
      </c>
      <c r="F12" s="3847">
        <f t="shared" si="5"/>
        <v>1.7802152349946938E-3</v>
      </c>
      <c r="G12" s="3844">
        <f>IF(E12="NA","NA",E12/Table8s2!$G$35*100)</f>
        <v>1.1876923699677539E-3</v>
      </c>
      <c r="H12" s="3845">
        <f>IF(E12="NA","NA",E12/Table8s2!$G$34*100)</f>
        <v>1.0232685719121278E-3</v>
      </c>
      <c r="I12" s="3846">
        <f>SUM(I13:I17)</f>
        <v>2391.7147371450324</v>
      </c>
      <c r="J12" s="3839">
        <f>Summary2!D12</f>
        <v>2391.7165835167457</v>
      </c>
      <c r="K12" s="3839">
        <f t="shared" si="0"/>
        <v>1.8463717133272439E-3</v>
      </c>
      <c r="L12" s="3847">
        <f t="shared" si="1"/>
        <v>7.7198659382399459E-5</v>
      </c>
      <c r="M12" s="3844">
        <f>IF(K12="NA","NA",K12/Table8s2!$G$35*100)</f>
        <v>3.4190942834699982E-7</v>
      </c>
      <c r="N12" s="3845">
        <f>IF(K12="NA","NA",K12/Table8s2!$G$34*100)</f>
        <v>2.9457558313473494E-7</v>
      </c>
      <c r="O12" s="3848">
        <f>SUM(O13:O17)</f>
        <v>3318.768369585217</v>
      </c>
      <c r="P12" s="3847">
        <f>Summary2!E12</f>
        <v>3318.7683695852174</v>
      </c>
      <c r="Q12" s="3839">
        <f t="shared" si="2"/>
        <v>4.5474735088646412E-13</v>
      </c>
      <c r="R12" s="3847">
        <f t="shared" si="3"/>
        <v>1.3702292544848465E-14</v>
      </c>
      <c r="S12" s="3844">
        <f>IF(Q12="NA","NA",Q12/Table8s2!$G$35*100)</f>
        <v>8.4209699304652623E-17</v>
      </c>
      <c r="T12" s="3845">
        <f>IF(Q12="NA","NA",Q12/Table8s2!$G$34*100)</f>
        <v>7.2551732188833618E-17</v>
      </c>
    </row>
    <row r="13" spans="2:20" ht="18" customHeight="1" x14ac:dyDescent="0.2">
      <c r="B13" s="1392" t="s">
        <v>1478</v>
      </c>
      <c r="C13" s="3847">
        <v>219705.33865122739</v>
      </c>
      <c r="D13" s="3839">
        <f>Summary2!C13</f>
        <v>219705.33865122739</v>
      </c>
      <c r="E13" s="3839">
        <f t="shared" si="4"/>
        <v>0</v>
      </c>
      <c r="F13" s="3847">
        <f t="shared" si="5"/>
        <v>0</v>
      </c>
      <c r="G13" s="3844">
        <f>IF(E13="NA","NA",E13/Table8s2!$G$35*100)</f>
        <v>0</v>
      </c>
      <c r="H13" s="3845">
        <f>IF(E13="NA","NA",E13/Table8s2!$G$34*100)</f>
        <v>0</v>
      </c>
      <c r="I13" s="3846">
        <v>355.45472854673085</v>
      </c>
      <c r="J13" s="3839">
        <f>Summary2!D13</f>
        <v>355.45472854673085</v>
      </c>
      <c r="K13" s="3839">
        <f t="shared" ref="K13" si="6">IF(J13="NO",IF(I13="NO","NA",-I13),IF(I13="NO",J13,J13-I13))</f>
        <v>0</v>
      </c>
      <c r="L13" s="3847">
        <f t="shared" ref="L13" si="7">IF(K13="NA","NA",K13/I13*100)</f>
        <v>0</v>
      </c>
      <c r="M13" s="3844">
        <f>IF(K13="NA","NA",K13/Table8s2!$G$35*100)</f>
        <v>0</v>
      </c>
      <c r="N13" s="3845">
        <f>IF(K13="NA","NA",K13/Table8s2!$G$34*100)</f>
        <v>0</v>
      </c>
      <c r="O13" s="3848">
        <v>965.94722527787201</v>
      </c>
      <c r="P13" s="3847">
        <f>Summary2!E13</f>
        <v>965.94722527787201</v>
      </c>
      <c r="Q13" s="3839">
        <f t="shared" ref="Q13" si="8">IF(P13="NO",IF(O13="NO","NA",-O13),IF(O13="NO",P13,P13-O13))</f>
        <v>0</v>
      </c>
      <c r="R13" s="3847">
        <f t="shared" ref="R13" si="9">IF(Q13="NA","NA",Q13/O13*100)</f>
        <v>0</v>
      </c>
      <c r="S13" s="3844">
        <f>IF(Q13="NA","NA",Q13/Table8s2!$G$35*100)</f>
        <v>0</v>
      </c>
      <c r="T13" s="3845">
        <f>IF(Q13="NA","NA",Q13/Table8s2!$G$34*100)</f>
        <v>0</v>
      </c>
    </row>
    <row r="14" spans="2:20" ht="18" customHeight="1" x14ac:dyDescent="0.2">
      <c r="B14" s="1392" t="s">
        <v>1517</v>
      </c>
      <c r="C14" s="3847">
        <v>40191.294818873044</v>
      </c>
      <c r="D14" s="3839">
        <f>Summary2!C14</f>
        <v>40191.294818873052</v>
      </c>
      <c r="E14" s="3839">
        <f t="shared" si="4"/>
        <v>7.2759576141834259E-12</v>
      </c>
      <c r="F14" s="3847">
        <f t="shared" si="5"/>
        <v>1.8103317265525812E-14</v>
      </c>
      <c r="G14" s="3844">
        <f>IF(E14="NA","NA",E14/Table8s2!$G$35*100)</f>
        <v>1.347355188874442E-15</v>
      </c>
      <c r="H14" s="3845">
        <f>IF(E14="NA","NA",E14/Table8s2!$G$34*100)</f>
        <v>1.1608277150213379E-15</v>
      </c>
      <c r="I14" s="3846">
        <v>65.726157967297084</v>
      </c>
      <c r="J14" s="3839">
        <f>Summary2!D14</f>
        <v>65.726157967297084</v>
      </c>
      <c r="K14" s="3839">
        <f t="shared" ref="K14:K20" si="10">IF(J14="NO",IF(I14="NO","NA",-I14),IF(I14="NO",J14,J14-I14))</f>
        <v>0</v>
      </c>
      <c r="L14" s="3847">
        <f t="shared" ref="L14:L20" si="11">IF(K14="NA","NA",K14/I14*100)</f>
        <v>0</v>
      </c>
      <c r="M14" s="3844">
        <f>IF(K14="NA","NA",K14/Table8s2!$G$35*100)</f>
        <v>0</v>
      </c>
      <c r="N14" s="3845">
        <f>IF(K14="NA","NA",K14/Table8s2!$G$34*100)</f>
        <v>0</v>
      </c>
      <c r="O14" s="3848">
        <v>353.57090288210219</v>
      </c>
      <c r="P14" s="3847">
        <f>Summary2!E14</f>
        <v>353.57090288210213</v>
      </c>
      <c r="Q14" s="3839">
        <f t="shared" ref="Q14:Q20" si="12">IF(P14="NO",IF(O14="NO","NA",-O14),IF(O14="NO",P14,P14-O14))</f>
        <v>-5.6843418860808015E-14</v>
      </c>
      <c r="R14" s="3847">
        <f t="shared" ref="R14:R20" si="13">IF(Q14="NA","NA",Q14/O14*100)</f>
        <v>-1.6076950449670453E-14</v>
      </c>
      <c r="S14" s="3844">
        <f>IF(Q14="NA","NA",Q14/Table8s2!$G$35*100)</f>
        <v>-1.0526212413081578E-17</v>
      </c>
      <c r="T14" s="3845">
        <f>IF(Q14="NA","NA",Q14/Table8s2!$G$34*100)</f>
        <v>-9.0689665236042022E-18</v>
      </c>
    </row>
    <row r="15" spans="2:20" ht="18" customHeight="1" x14ac:dyDescent="0.2">
      <c r="B15" s="1392" t="s">
        <v>1480</v>
      </c>
      <c r="C15" s="3847">
        <v>80924.743604982024</v>
      </c>
      <c r="D15" s="3839">
        <f>Summary2!C15</f>
        <v>80926.112954754542</v>
      </c>
      <c r="E15" s="3839">
        <f t="shared" si="4"/>
        <v>1.369349772518035</v>
      </c>
      <c r="F15" s="3847">
        <f t="shared" si="5"/>
        <v>1.6921274155680278E-3</v>
      </c>
      <c r="G15" s="3844">
        <f>IF(E15="NA","NA",E15/Table8s2!$G$35*100)</f>
        <v>2.5357494081461524E-4</v>
      </c>
      <c r="H15" s="3845">
        <f>IF(E15="NA","NA",E15/Table8s2!$G$34*100)</f>
        <v>2.1847009724169437E-4</v>
      </c>
      <c r="I15" s="3846">
        <v>595.46230256234833</v>
      </c>
      <c r="J15" s="3839">
        <f>Summary2!D15</f>
        <v>595.46414893406177</v>
      </c>
      <c r="K15" s="3839">
        <f t="shared" si="10"/>
        <v>1.8463717134409308E-3</v>
      </c>
      <c r="L15" s="3847">
        <f t="shared" si="11"/>
        <v>3.10073652940877E-4</v>
      </c>
      <c r="M15" s="3844">
        <f>IF(K15="NA","NA",K15/Table8s2!$G$35*100)</f>
        <v>3.4190942836805224E-7</v>
      </c>
      <c r="N15" s="3845">
        <f>IF(K15="NA","NA",K15/Table8s2!$G$34*100)</f>
        <v>2.9457558315287288E-7</v>
      </c>
      <c r="O15" s="3848">
        <v>1818.9005494029891</v>
      </c>
      <c r="P15" s="3847">
        <f>Summary2!E15</f>
        <v>1818.9005494029896</v>
      </c>
      <c r="Q15" s="3839">
        <f t="shared" si="12"/>
        <v>4.5474735088646412E-13</v>
      </c>
      <c r="R15" s="3847">
        <f t="shared" si="13"/>
        <v>2.5001221261697028E-14</v>
      </c>
      <c r="S15" s="3844">
        <f>IF(Q15="NA","NA",Q15/Table8s2!$G$35*100)</f>
        <v>8.4209699304652623E-17</v>
      </c>
      <c r="T15" s="3845">
        <f>IF(Q15="NA","NA",Q15/Table8s2!$G$34*100)</f>
        <v>7.2551732188833618E-17</v>
      </c>
    </row>
    <row r="16" spans="2:20" ht="18" customHeight="1" x14ac:dyDescent="0.2">
      <c r="B16" s="1392" t="s">
        <v>1481</v>
      </c>
      <c r="C16" s="3847">
        <v>18809.037290119541</v>
      </c>
      <c r="D16" s="3839">
        <f>Summary2!C16</f>
        <v>18814.081690346997</v>
      </c>
      <c r="E16" s="3839">
        <f t="shared" si="4"/>
        <v>5.0444002274562081</v>
      </c>
      <c r="F16" s="3847">
        <f t="shared" si="5"/>
        <v>2.6819024013026178E-2</v>
      </c>
      <c r="G16" s="3844">
        <f>IF(E16="NA","NA",E16/Table8s2!$G$35*100)</f>
        <v>9.3411742915785426E-4</v>
      </c>
      <c r="H16" s="3845">
        <f>IF(E16="NA","NA",E16/Table8s2!$G$34*100)</f>
        <v>8.0479847467449623E-4</v>
      </c>
      <c r="I16" s="3846">
        <v>1374.4479828963026</v>
      </c>
      <c r="J16" s="3839">
        <f>Summary2!D16</f>
        <v>1374.4479828963026</v>
      </c>
      <c r="K16" s="3839">
        <f t="shared" si="10"/>
        <v>0</v>
      </c>
      <c r="L16" s="3847">
        <f t="shared" si="11"/>
        <v>0</v>
      </c>
      <c r="M16" s="3844">
        <f>IF(K16="NA","NA",K16/Table8s2!$G$35*100)</f>
        <v>0</v>
      </c>
      <c r="N16" s="3845">
        <f>IF(K16="NA","NA",K16/Table8s2!$G$34*100)</f>
        <v>0</v>
      </c>
      <c r="O16" s="3848">
        <v>175.58051004359788</v>
      </c>
      <c r="P16" s="3847">
        <f>Summary2!E16</f>
        <v>175.58051004359791</v>
      </c>
      <c r="Q16" s="3839">
        <f t="shared" si="12"/>
        <v>2.8421709430404007E-14</v>
      </c>
      <c r="R16" s="3847">
        <f t="shared" si="13"/>
        <v>1.6187280366907861E-14</v>
      </c>
      <c r="S16" s="3844">
        <f>IF(Q16="NA","NA",Q16/Table8s2!$G$35*100)</f>
        <v>5.2631062065407889E-18</v>
      </c>
      <c r="T16" s="3845">
        <f>IF(Q16="NA","NA",Q16/Table8s2!$G$34*100)</f>
        <v>4.5344832618021011E-18</v>
      </c>
    </row>
    <row r="17" spans="2:20" ht="18" customHeight="1" x14ac:dyDescent="0.2">
      <c r="B17" s="1392" t="s">
        <v>1482</v>
      </c>
      <c r="C17" s="3847">
        <v>649.05487369003185</v>
      </c>
      <c r="D17" s="3839">
        <f>Summary2!C17</f>
        <v>649.05487369003185</v>
      </c>
      <c r="E17" s="3839">
        <f t="shared" si="4"/>
        <v>0</v>
      </c>
      <c r="F17" s="3847">
        <f t="shared" si="5"/>
        <v>0</v>
      </c>
      <c r="G17" s="3844">
        <f>IF(E17="NA","NA",E17/Table8s2!$G$35*100)</f>
        <v>0</v>
      </c>
      <c r="H17" s="3845">
        <f>IF(E17="NA","NA",E17/Table8s2!$G$34*100)</f>
        <v>0</v>
      </c>
      <c r="I17" s="3846">
        <v>0.62356517235336206</v>
      </c>
      <c r="J17" s="3839">
        <f>Summary2!D17</f>
        <v>0.62356517235336206</v>
      </c>
      <c r="K17" s="3839">
        <f t="shared" si="10"/>
        <v>0</v>
      </c>
      <c r="L17" s="3847">
        <f t="shared" si="11"/>
        <v>0</v>
      </c>
      <c r="M17" s="3844">
        <f>IF(K17="NA","NA",K17/Table8s2!$G$35*100)</f>
        <v>0</v>
      </c>
      <c r="N17" s="3845">
        <f>IF(K17="NA","NA",K17/Table8s2!$G$34*100)</f>
        <v>0</v>
      </c>
      <c r="O17" s="3848">
        <v>4.7691819786558005</v>
      </c>
      <c r="P17" s="3847">
        <f>Summary2!E17</f>
        <v>4.7691819786557996</v>
      </c>
      <c r="Q17" s="3839">
        <f t="shared" si="12"/>
        <v>-8.8817841970012523E-16</v>
      </c>
      <c r="R17" s="3847">
        <f t="shared" si="13"/>
        <v>-1.8623286418407112E-14</v>
      </c>
      <c r="S17" s="3844">
        <f>IF(Q17="NA","NA",Q17/Table8s2!$G$35*100)</f>
        <v>-1.6447206895439965E-19</v>
      </c>
      <c r="T17" s="3845">
        <f>IF(Q17="NA","NA",Q17/Table8s2!$G$34*100)</f>
        <v>-1.4170260193131566E-19</v>
      </c>
    </row>
    <row r="18" spans="2:20" ht="18" customHeight="1" x14ac:dyDescent="0.2">
      <c r="B18" s="620" t="s">
        <v>99</v>
      </c>
      <c r="C18" s="3847">
        <f>SUM(C19:C20)</f>
        <v>7046.3937866027927</v>
      </c>
      <c r="D18" s="3839">
        <f>Summary2!C18</f>
        <v>7046.3937866027936</v>
      </c>
      <c r="E18" s="3839">
        <f t="shared" si="4"/>
        <v>9.0949470177292824E-13</v>
      </c>
      <c r="F18" s="3847">
        <f t="shared" si="5"/>
        <v>1.2907236372485135E-14</v>
      </c>
      <c r="G18" s="3844">
        <f>IF(E18="NA","NA",E18/Table8s2!$G$35*100)</f>
        <v>1.6841939860930525E-16</v>
      </c>
      <c r="H18" s="3845">
        <f>IF(E18="NA","NA",E18/Table8s2!$G$34*100)</f>
        <v>1.4510346437766724E-16</v>
      </c>
      <c r="I18" s="3846">
        <f>SUM(I19:I20)</f>
        <v>36575.167728634849</v>
      </c>
      <c r="J18" s="3839">
        <f>Summary2!D18</f>
        <v>36575.456898587254</v>
      </c>
      <c r="K18" s="3839">
        <f t="shared" si="10"/>
        <v>0.28916995240433607</v>
      </c>
      <c r="L18" s="3847">
        <f t="shared" si="11"/>
        <v>7.9061825375565861E-4</v>
      </c>
      <c r="M18" s="3844">
        <f>IF(K18="NA","NA",K18/Table8s2!$G$35*100)</f>
        <v>5.3548227807025742E-5</v>
      </c>
      <c r="N18" s="3845">
        <f>IF(K18="NA","NA",K18/Table8s2!$G$34*100)</f>
        <v>4.6135026192016537E-5</v>
      </c>
      <c r="O18" s="3848">
        <f>SUM(O19:O20)</f>
        <v>21.509279812659443</v>
      </c>
      <c r="P18" s="3847">
        <f>Summary2!E18</f>
        <v>21.50927981265944</v>
      </c>
      <c r="Q18" s="3839">
        <f t="shared" si="12"/>
        <v>-3.5527136788005009E-15</v>
      </c>
      <c r="R18" s="3847">
        <f t="shared" si="13"/>
        <v>-1.6517120562583996E-14</v>
      </c>
      <c r="S18" s="3844">
        <f>IF(Q18="NA","NA",Q18/Table8s2!$G$35*100)</f>
        <v>-6.5788827581759862E-19</v>
      </c>
      <c r="T18" s="3845">
        <f>IF(Q18="NA","NA",Q18/Table8s2!$G$34*100)</f>
        <v>-5.6681040772526264E-19</v>
      </c>
    </row>
    <row r="19" spans="2:20" ht="18" customHeight="1" x14ac:dyDescent="0.2">
      <c r="B19" s="1392" t="s">
        <v>1483</v>
      </c>
      <c r="C19" s="3847">
        <v>1212.9142005812867</v>
      </c>
      <c r="D19" s="3839">
        <f>Summary2!C19</f>
        <v>1212.9142005812864</v>
      </c>
      <c r="E19" s="3839">
        <f t="shared" si="4"/>
        <v>-2.2737367544323206E-13</v>
      </c>
      <c r="F19" s="3847">
        <f t="shared" si="5"/>
        <v>-1.8746064258647783E-14</v>
      </c>
      <c r="G19" s="3844">
        <f>IF(E19="NA","NA",E19/Table8s2!$G$35*100)</f>
        <v>-4.2104849652326311E-17</v>
      </c>
      <c r="H19" s="3845">
        <f>IF(E19="NA","NA",E19/Table8s2!$G$34*100)</f>
        <v>-3.6275866094416809E-17</v>
      </c>
      <c r="I19" s="3846">
        <v>30802.500206679775</v>
      </c>
      <c r="J19" s="3839">
        <f>Summary2!D19</f>
        <v>30802.500206679779</v>
      </c>
      <c r="K19" s="3839">
        <f t="shared" si="10"/>
        <v>3.637978807091713E-12</v>
      </c>
      <c r="L19" s="3847">
        <f t="shared" si="11"/>
        <v>1.1810660766760704E-14</v>
      </c>
      <c r="M19" s="3844">
        <f>IF(K19="NA","NA",K19/Table8s2!$G$35*100)</f>
        <v>6.7367759443722098E-16</v>
      </c>
      <c r="N19" s="3845">
        <f>IF(K19="NA","NA",K19/Table8s2!$G$34*100)</f>
        <v>5.8041385751066894E-16</v>
      </c>
      <c r="O19" s="3848">
        <v>3.3336402948205446E-2</v>
      </c>
      <c r="P19" s="3847">
        <f>Summary2!E19</f>
        <v>3.3336402948205446E-2</v>
      </c>
      <c r="Q19" s="3839">
        <f t="shared" si="12"/>
        <v>0</v>
      </c>
      <c r="R19" s="3847">
        <f t="shared" si="13"/>
        <v>0</v>
      </c>
      <c r="S19" s="3844">
        <f>IF(Q19="NA","NA",Q19/Table8s2!$G$35*100)</f>
        <v>0</v>
      </c>
      <c r="T19" s="3845">
        <f>IF(Q19="NA","NA",Q19/Table8s2!$G$34*100)</f>
        <v>0</v>
      </c>
    </row>
    <row r="20" spans="2:20" ht="18" customHeight="1" x14ac:dyDescent="0.2">
      <c r="B20" s="1393" t="s">
        <v>1484</v>
      </c>
      <c r="C20" s="3849">
        <v>5833.4795860215063</v>
      </c>
      <c r="D20" s="3850">
        <f>Summary2!C20</f>
        <v>5833.4795860215072</v>
      </c>
      <c r="E20" s="3850">
        <f t="shared" si="4"/>
        <v>9.0949470177292824E-13</v>
      </c>
      <c r="F20" s="3849">
        <f t="shared" si="5"/>
        <v>1.5590946850183683E-14</v>
      </c>
      <c r="G20" s="3851">
        <f>IF(E20="NA","NA",E20/Table8s2!$G$35*100)</f>
        <v>1.6841939860930525E-16</v>
      </c>
      <c r="H20" s="3852">
        <f>IF(E20="NA","NA",E20/Table8s2!$G$34*100)</f>
        <v>1.4510346437766724E-16</v>
      </c>
      <c r="I20" s="3853">
        <v>5772.6675219550752</v>
      </c>
      <c r="J20" s="3850">
        <f>Summary2!D20</f>
        <v>5772.956691907475</v>
      </c>
      <c r="K20" s="3839">
        <f t="shared" si="10"/>
        <v>0.2891699523997886</v>
      </c>
      <c r="L20" s="3847">
        <f t="shared" si="11"/>
        <v>5.0092951187643165E-3</v>
      </c>
      <c r="M20" s="3844">
        <f>IF(K20="NA","NA",K20/Table8s2!$G$35*100)</f>
        <v>5.3548227806183649E-5</v>
      </c>
      <c r="N20" s="3845">
        <f>IF(K20="NA","NA",K20/Table8s2!$G$34*100)</f>
        <v>4.6135026191291023E-5</v>
      </c>
      <c r="O20" s="3854">
        <v>21.475943409711238</v>
      </c>
      <c r="P20" s="3849">
        <f>Summary2!E20</f>
        <v>21.475943409711235</v>
      </c>
      <c r="Q20" s="3839">
        <f t="shared" si="12"/>
        <v>-3.5527136788005009E-15</v>
      </c>
      <c r="R20" s="3847">
        <f t="shared" si="13"/>
        <v>-1.6542759547382649E-14</v>
      </c>
      <c r="S20" s="3844">
        <f>IF(Q20="NA","NA",Q20/Table8s2!$G$35*100)</f>
        <v>-6.5788827581759862E-19</v>
      </c>
      <c r="T20" s="3845">
        <f>IF(Q20="NA","NA",Q20/Table8s2!$G$34*100)</f>
        <v>-5.6681040772526264E-19</v>
      </c>
    </row>
    <row r="21" spans="2:20" ht="18" customHeight="1" thickBot="1" x14ac:dyDescent="0.25">
      <c r="B21" s="1407" t="s">
        <v>1518</v>
      </c>
      <c r="C21" s="3855" t="s">
        <v>2146</v>
      </c>
      <c r="D21" s="3855" t="str">
        <f>Summary2!C21</f>
        <v>NO</v>
      </c>
      <c r="E21" s="3856" t="str">
        <f t="shared" si="4"/>
        <v>NA</v>
      </c>
      <c r="F21" s="3856" t="str">
        <f t="shared" si="5"/>
        <v>NA</v>
      </c>
      <c r="G21" s="3857" t="str">
        <f>IF(E21="NA","NA",E21/Table8s2!$G$35*100)</f>
        <v>NA</v>
      </c>
      <c r="H21" s="3858" t="str">
        <f>IF(E21="NA","NA",E21/Table8s2!$G$34*100)</f>
        <v>NA</v>
      </c>
      <c r="I21" s="3859"/>
      <c r="J21" s="3860"/>
      <c r="K21" s="3860"/>
      <c r="L21" s="3860"/>
      <c r="M21" s="3860"/>
      <c r="N21" s="3860"/>
      <c r="O21" s="3860"/>
      <c r="P21" s="3860"/>
      <c r="Q21" s="3860"/>
      <c r="R21" s="3860"/>
      <c r="S21" s="3860"/>
      <c r="T21" s="3860"/>
    </row>
    <row r="22" spans="2:20" ht="18" customHeight="1" x14ac:dyDescent="0.2">
      <c r="B22" s="1406" t="s">
        <v>1486</v>
      </c>
      <c r="C22" s="3839">
        <f>SUM(C23:C29)</f>
        <v>23199.439399786861</v>
      </c>
      <c r="D22" s="3839">
        <f>Summary2!C22</f>
        <v>23245.05679168686</v>
      </c>
      <c r="E22" s="3861">
        <f t="shared" si="4"/>
        <v>45.617391899999348</v>
      </c>
      <c r="F22" s="3861">
        <f t="shared" si="5"/>
        <v>0.19663144058738954</v>
      </c>
      <c r="G22" s="3862">
        <f>IF(E22="NA","NA",E22/Table8s2!$G$35*100)</f>
        <v>8.4473869885621881E-3</v>
      </c>
      <c r="H22" s="3863">
        <f>IF(E22="NA","NA",E22/Table8s2!$G$34*100)</f>
        <v>7.2779331068783459E-3</v>
      </c>
      <c r="I22" s="3839">
        <f>SUM(I23:I29)</f>
        <v>99.304303381217039</v>
      </c>
      <c r="J22" s="3839">
        <f>Summary2!D22</f>
        <v>99.304303381217039</v>
      </c>
      <c r="K22" s="3861">
        <f t="shared" ref="K22" si="14">IF(J22="NO",IF(I22="NO","NA",-I22),IF(I22="NO",J22,J22-I22))</f>
        <v>0</v>
      </c>
      <c r="L22" s="3861">
        <f t="shared" ref="L22" si="15">IF(K22="NA","NA",K22/I22*100)</f>
        <v>0</v>
      </c>
      <c r="M22" s="3862">
        <f>IF(K22="NA","NA",K22/Table8s2!$G$35*100)</f>
        <v>0</v>
      </c>
      <c r="N22" s="3863">
        <f>IF(K22="NA","NA",K22/Table8s2!$G$34*100)</f>
        <v>0</v>
      </c>
      <c r="O22" s="3839">
        <f>SUM(O23:O29)</f>
        <v>2353.1368783522262</v>
      </c>
      <c r="P22" s="3839">
        <f>Summary2!E22</f>
        <v>2353.1368783522262</v>
      </c>
      <c r="Q22" s="3861">
        <f t="shared" ref="Q22" si="16">IF(P22="NO",IF(O22="NO","NA",-O22),IF(O22="NO",P22,P22-O22))</f>
        <v>0</v>
      </c>
      <c r="R22" s="3864">
        <f t="shared" ref="R22" si="17">IF(Q22="NA","NA",Q22/O22*100)</f>
        <v>0</v>
      </c>
      <c r="S22" s="3865">
        <f>IF(Q22="NA","NA",Q22/Table8s2!$G$35*100)</f>
        <v>0</v>
      </c>
      <c r="T22" s="3866">
        <f>IF(Q22="NA","NA",Q22/Table8s2!$G$34*100)</f>
        <v>0</v>
      </c>
    </row>
    <row r="23" spans="2:20" ht="18" customHeight="1" x14ac:dyDescent="0.2">
      <c r="B23" s="1394" t="s">
        <v>1487</v>
      </c>
      <c r="C23" s="3839">
        <v>6668.9977667490348</v>
      </c>
      <c r="D23" s="3839">
        <f>Summary2!C23</f>
        <v>6668.9977667490357</v>
      </c>
      <c r="E23" s="3839">
        <f t="shared" si="4"/>
        <v>9.0949470177292824E-13</v>
      </c>
      <c r="F23" s="3847">
        <f t="shared" si="5"/>
        <v>1.3637651916867917E-14</v>
      </c>
      <c r="G23" s="3844">
        <f>IF(E23="NA","NA",E23/Table8s2!$G$35*100)</f>
        <v>1.6841939860930525E-16</v>
      </c>
      <c r="H23" s="3845">
        <f>IF(E23="NA","NA",E23/Table8s2!$G$34*100)</f>
        <v>1.4510346437766724E-16</v>
      </c>
      <c r="I23" s="1925"/>
      <c r="J23" s="1925"/>
      <c r="K23" s="1925"/>
      <c r="L23" s="1925"/>
      <c r="M23" s="1925"/>
      <c r="N23" s="1925"/>
      <c r="O23" s="1925"/>
      <c r="P23" s="1925"/>
      <c r="Q23" s="1925"/>
      <c r="R23" s="1925"/>
      <c r="S23" s="1925"/>
      <c r="T23" s="1925"/>
    </row>
    <row r="24" spans="2:20" ht="18" customHeight="1" x14ac:dyDescent="0.2">
      <c r="B24" s="1394" t="s">
        <v>621</v>
      </c>
      <c r="C24" s="3839">
        <v>3395.4388040693693</v>
      </c>
      <c r="D24" s="3839">
        <f>Summary2!C24</f>
        <v>3442.2998770693698</v>
      </c>
      <c r="E24" s="3839">
        <f t="shared" si="4"/>
        <v>46.861073000000488</v>
      </c>
      <c r="F24" s="3847">
        <f t="shared" si="5"/>
        <v>1.3801183206081753</v>
      </c>
      <c r="G24" s="3844">
        <f>IF(E24="NA","NA",E24/Table8s2!$G$35*100)</f>
        <v>8.6776907193213005E-3</v>
      </c>
      <c r="H24" s="3845">
        <f>IF(E24="NA","NA",E24/Table8s2!$G$34*100)</f>
        <v>7.4763536538473467E-3</v>
      </c>
      <c r="I24" s="3846">
        <v>15.942746400000001</v>
      </c>
      <c r="J24" s="3839">
        <f>Summary2!D24</f>
        <v>15.942746400000001</v>
      </c>
      <c r="K24" s="3839">
        <f t="shared" ref="K24" si="18">IF(J24="NO",IF(I24="NO","NA",-I24),IF(I24="NO",J24,J24-I24))</f>
        <v>0</v>
      </c>
      <c r="L24" s="3847">
        <f t="shared" ref="L24" si="19">IF(K24="NA","NA",K24/I24*100)</f>
        <v>0</v>
      </c>
      <c r="M24" s="3844">
        <f>IF(K24="NA","NA",K24/Table8s2!$G$35*100)</f>
        <v>0</v>
      </c>
      <c r="N24" s="3845">
        <f>IF(K24="NA","NA",K24/Table8s2!$G$34*100)</f>
        <v>0</v>
      </c>
      <c r="O24" s="3848">
        <v>2333.1545911174203</v>
      </c>
      <c r="P24" s="3847">
        <f>Summary2!E24</f>
        <v>2333.1545911174203</v>
      </c>
      <c r="Q24" s="3839">
        <f t="shared" ref="Q24" si="20">IF(P24="NO",IF(O24="NO","NA",-O24),IF(O24="NO",P24,P24-O24))</f>
        <v>0</v>
      </c>
      <c r="R24" s="3847">
        <f t="shared" ref="R24" si="21">IF(Q24="NA","NA",Q24/O24*100)</f>
        <v>0</v>
      </c>
      <c r="S24" s="3844">
        <f>IF(Q24="NA","NA",Q24/Table8s2!$G$35*100)</f>
        <v>0</v>
      </c>
      <c r="T24" s="3845">
        <f>IF(Q24="NA","NA",Q24/Table8s2!$G$34*100)</f>
        <v>0</v>
      </c>
    </row>
    <row r="25" spans="2:20" ht="18" customHeight="1" x14ac:dyDescent="0.2">
      <c r="B25" s="1394" t="s">
        <v>459</v>
      </c>
      <c r="C25" s="3839">
        <v>12730.761169823345</v>
      </c>
      <c r="D25" s="3839">
        <f>Summary2!C25</f>
        <v>12730.761169823347</v>
      </c>
      <c r="E25" s="3839">
        <f t="shared" si="4"/>
        <v>1.8189894035458565E-12</v>
      </c>
      <c r="F25" s="3847">
        <f t="shared" si="5"/>
        <v>1.4288143334724873E-14</v>
      </c>
      <c r="G25" s="3844">
        <f>IF(E25="NA","NA",E25/Table8s2!$G$35*100)</f>
        <v>3.3683879721861049E-16</v>
      </c>
      <c r="H25" s="3845">
        <f>IF(E25="NA","NA",E25/Table8s2!$G$34*100)</f>
        <v>2.9020692875533447E-16</v>
      </c>
      <c r="I25" s="3846">
        <v>83.361556981217035</v>
      </c>
      <c r="J25" s="3839">
        <f>Summary2!D25</f>
        <v>83.361556981217049</v>
      </c>
      <c r="K25" s="3839">
        <f t="shared" ref="K25:K26" si="22">IF(J25="NO",IF(I25="NO","NA",-I25),IF(I25="NO",J25,J25-I25))</f>
        <v>1.4210854715202004E-14</v>
      </c>
      <c r="L25" s="3847">
        <f t="shared" ref="L25:L26" si="23">IF(K25="NA","NA",K25/I25*100)</f>
        <v>1.7047252030578057E-14</v>
      </c>
      <c r="M25" s="3844">
        <f>IF(K25="NA","NA",K25/Table8s2!$G$35*100)</f>
        <v>2.6315531032703945E-18</v>
      </c>
      <c r="N25" s="3845">
        <f>IF(K25="NA","NA",K25/Table8s2!$G$34*100)</f>
        <v>2.2672416309010506E-18</v>
      </c>
      <c r="O25" s="3848">
        <v>19.982287234805753</v>
      </c>
      <c r="P25" s="3847">
        <f>Summary2!E25</f>
        <v>19.982287234805749</v>
      </c>
      <c r="Q25" s="3839">
        <f t="shared" ref="Q25:Q29" si="24">IF(P25="NO",IF(O25="NO","NA",-O25),IF(O25="NO",P25,P25-O25))</f>
        <v>-3.5527136788005009E-15</v>
      </c>
      <c r="R25" s="3847">
        <f t="shared" ref="R25:R29" si="25">IF(Q25="NA","NA",Q25/O25*100)</f>
        <v>-1.7779314435097682E-14</v>
      </c>
      <c r="S25" s="3844">
        <f>IF(Q25="NA","NA",Q25/Table8s2!$G$35*100)</f>
        <v>-6.5788827581759862E-19</v>
      </c>
      <c r="T25" s="3845">
        <f>IF(Q25="NA","NA",Q25/Table8s2!$G$34*100)</f>
        <v>-5.6681040772526264E-19</v>
      </c>
    </row>
    <row r="26" spans="2:20" ht="18" customHeight="1" x14ac:dyDescent="0.2">
      <c r="B26" s="1395" t="s">
        <v>1519</v>
      </c>
      <c r="C26" s="3839">
        <v>243.74756860000002</v>
      </c>
      <c r="D26" s="3839">
        <f>Summary2!C26</f>
        <v>242.50388749999999</v>
      </c>
      <c r="E26" s="3839">
        <f t="shared" si="4"/>
        <v>-1.2436811000000318</v>
      </c>
      <c r="F26" s="3847">
        <f t="shared" si="5"/>
        <v>-0.51023323315317437</v>
      </c>
      <c r="G26" s="3844">
        <f>IF(E26="NA","NA",E26/Table8s2!$G$35*100)</f>
        <v>-2.3030373075890665E-4</v>
      </c>
      <c r="H26" s="3845">
        <f>IF(E26="NA","NA",E26/Table8s2!$G$34*100)</f>
        <v>-1.9842054696882485E-4</v>
      </c>
      <c r="I26" s="3846" t="s">
        <v>2146</v>
      </c>
      <c r="J26" s="3839" t="str">
        <f>Summary2!D26</f>
        <v>NO</v>
      </c>
      <c r="K26" s="3839" t="str">
        <f t="shared" si="22"/>
        <v>NA</v>
      </c>
      <c r="L26" s="3847" t="str">
        <f t="shared" si="23"/>
        <v>NA</v>
      </c>
      <c r="M26" s="3844" t="str">
        <f>IF(K26="NA","NA",K26/Table8s2!$G$35*100)</f>
        <v>NA</v>
      </c>
      <c r="N26" s="3845" t="str">
        <f>IF(K26="NA","NA",K26/Table8s2!$G$34*100)</f>
        <v>NA</v>
      </c>
      <c r="O26" s="3848" t="s">
        <v>2146</v>
      </c>
      <c r="P26" s="3847" t="str">
        <f>Summary2!E26</f>
        <v>NO</v>
      </c>
      <c r="Q26" s="3839" t="str">
        <f t="shared" si="24"/>
        <v>NA</v>
      </c>
      <c r="R26" s="3847" t="str">
        <f t="shared" si="25"/>
        <v>NA</v>
      </c>
      <c r="S26" s="3844" t="str">
        <f>IF(Q26="NA","NA",Q26/Table8s2!$G$35*100)</f>
        <v>NA</v>
      </c>
      <c r="T26" s="3845" t="str">
        <f>IF(Q26="NA","NA",Q26/Table8s2!$G$34*100)</f>
        <v>NA</v>
      </c>
    </row>
    <row r="27" spans="2:20" ht="18" customHeight="1" x14ac:dyDescent="0.2">
      <c r="B27" s="1395" t="s">
        <v>2059</v>
      </c>
      <c r="C27" s="3867"/>
      <c r="D27" s="3867"/>
      <c r="E27" s="3868"/>
      <c r="F27" s="3868"/>
      <c r="G27" s="3869"/>
      <c r="H27" s="3870"/>
      <c r="I27" s="1925"/>
      <c r="J27" s="1925"/>
      <c r="K27" s="1925"/>
      <c r="L27" s="1925"/>
      <c r="M27" s="1925"/>
      <c r="N27" s="1925"/>
      <c r="O27" s="3848" t="s">
        <v>2146</v>
      </c>
      <c r="P27" s="3847" t="str">
        <f>Summary2!E27</f>
        <v>NO</v>
      </c>
      <c r="Q27" s="3839" t="str">
        <f t="shared" si="24"/>
        <v>NA</v>
      </c>
      <c r="R27" s="3847" t="str">
        <f t="shared" si="25"/>
        <v>NA</v>
      </c>
      <c r="S27" s="3844" t="str">
        <f>IF(Q27="NA","NA",Q27/Table8s2!$G$35*100)</f>
        <v>NA</v>
      </c>
      <c r="T27" s="3845" t="str">
        <f>IF(Q27="NA","NA",Q27/Table8s2!$G$34*100)</f>
        <v>NA</v>
      </c>
    </row>
    <row r="28" spans="2:20" ht="18" customHeight="1" x14ac:dyDescent="0.2">
      <c r="B28" s="1395" t="s">
        <v>1522</v>
      </c>
      <c r="C28" s="3847" t="s">
        <v>2146</v>
      </c>
      <c r="D28" s="3839" t="str">
        <f>Summary2!C29</f>
        <v>NO</v>
      </c>
      <c r="E28" s="3839" t="str">
        <f t="shared" si="4"/>
        <v>NA</v>
      </c>
      <c r="F28" s="3847" t="str">
        <f t="shared" si="5"/>
        <v>NA</v>
      </c>
      <c r="G28" s="3871" t="str">
        <f>IF(E28="NA","NA",E28/Table8s2!$G$35*100)</f>
        <v>NA</v>
      </c>
      <c r="H28" s="3872" t="str">
        <f>IF(E28="NA","NA",E28/Table8s2!$G$34*100)</f>
        <v>NA</v>
      </c>
      <c r="I28" s="3846" t="s">
        <v>2146</v>
      </c>
      <c r="J28" s="3839" t="str">
        <f>Summary2!D29</f>
        <v>NO</v>
      </c>
      <c r="K28" s="3839" t="str">
        <f t="shared" ref="K28:K29" si="26">IF(J28="NO",IF(I28="NO","NA",-I28),IF(I28="NO",J28,J28-I28))</f>
        <v>NA</v>
      </c>
      <c r="L28" s="3847" t="str">
        <f t="shared" ref="L28:L29" si="27">IF(K28="NA","NA",K28/I28*100)</f>
        <v>NA</v>
      </c>
      <c r="M28" s="3871" t="str">
        <f>IF(K28="NA","NA",K28/Table8s2!$G$35*100)</f>
        <v>NA</v>
      </c>
      <c r="N28" s="3872" t="str">
        <f>IF(K28="NA","NA",K28/Table8s2!$G$34*100)</f>
        <v>NA</v>
      </c>
      <c r="O28" s="3848" t="s">
        <v>2153</v>
      </c>
      <c r="P28" s="3847" t="str">
        <f>Summary2!E29</f>
        <v>IE</v>
      </c>
      <c r="Q28" s="3839" t="s">
        <v>2147</v>
      </c>
      <c r="R28" s="3847" t="s">
        <v>2147</v>
      </c>
      <c r="S28" s="3844" t="s">
        <v>2147</v>
      </c>
      <c r="T28" s="3845" t="s">
        <v>2147</v>
      </c>
    </row>
    <row r="29" spans="2:20" ht="18" customHeight="1" thickBot="1" x14ac:dyDescent="0.25">
      <c r="B29" s="1407" t="s">
        <v>1523</v>
      </c>
      <c r="C29" s="3855">
        <v>160.49409054511213</v>
      </c>
      <c r="D29" s="3855">
        <f>Summary2!C30</f>
        <v>160.49409054511213</v>
      </c>
      <c r="E29" s="3856">
        <f t="shared" si="4"/>
        <v>0</v>
      </c>
      <c r="F29" s="3856">
        <f t="shared" si="5"/>
        <v>0</v>
      </c>
      <c r="G29" s="3857">
        <f>IF(E29="NA","NA",E29/Table8s2!$G$35*100)</f>
        <v>0</v>
      </c>
      <c r="H29" s="3858">
        <f>IF(E29="NA","NA",E29/Table8s2!$G$34*100)</f>
        <v>0</v>
      </c>
      <c r="I29" s="3873" t="s">
        <v>2146</v>
      </c>
      <c r="J29" s="3855" t="str">
        <f>Summary2!D30</f>
        <v>NO</v>
      </c>
      <c r="K29" s="3856" t="str">
        <f t="shared" si="26"/>
        <v>NA</v>
      </c>
      <c r="L29" s="3856" t="str">
        <f t="shared" si="27"/>
        <v>NA</v>
      </c>
      <c r="M29" s="3857" t="str">
        <f>IF(K29="NA","NA",K29/Table8s2!$G$35*100)</f>
        <v>NA</v>
      </c>
      <c r="N29" s="3858" t="str">
        <f>IF(K29="NA","NA",K29/Table8s2!$G$34*100)</f>
        <v>NA</v>
      </c>
      <c r="O29" s="3873" t="s">
        <v>2146</v>
      </c>
      <c r="P29" s="3855" t="str">
        <f>Summary2!E30</f>
        <v>NO</v>
      </c>
      <c r="Q29" s="3856" t="str">
        <f t="shared" si="24"/>
        <v>NA</v>
      </c>
      <c r="R29" s="3856" t="str">
        <f t="shared" si="25"/>
        <v>NA</v>
      </c>
      <c r="S29" s="3857" t="str">
        <f>IF(Q29="NA","NA",Q29/Table8s2!$G$35*100)</f>
        <v>NA</v>
      </c>
      <c r="T29" s="3858" t="str">
        <f>IF(Q29="NA","NA",Q29/Table8s2!$G$34*100)</f>
        <v>NA</v>
      </c>
    </row>
    <row r="30" spans="2:20" ht="18" customHeight="1" x14ac:dyDescent="0.2">
      <c r="B30" s="1445" t="s">
        <v>1491</v>
      </c>
      <c r="C30" s="3874">
        <f>SUM(C31:C40)</f>
        <v>1829.6911462013227</v>
      </c>
      <c r="D30" s="3875">
        <f>Summary2!C31</f>
        <v>1829.6911462013227</v>
      </c>
      <c r="E30" s="3861">
        <f t="shared" si="4"/>
        <v>0</v>
      </c>
      <c r="F30" s="3876">
        <f t="shared" si="5"/>
        <v>0</v>
      </c>
      <c r="G30" s="3877">
        <f>IF(E30="NA","NA",E30/Table8s2!$G$35*100)</f>
        <v>0</v>
      </c>
      <c r="H30" s="3878">
        <f>IF(E30="NA","NA",E30/Table8s2!$G$34*100)</f>
        <v>0</v>
      </c>
      <c r="I30" s="3874">
        <f>SUM(I31:I40)</f>
        <v>70385.210094251961</v>
      </c>
      <c r="J30" s="3875">
        <f>Summary2!D31</f>
        <v>70385.210094251961</v>
      </c>
      <c r="K30" s="3861">
        <f t="shared" ref="K30" si="28">IF(J30="NO",IF(I30="NO","NA",-I30),IF(I30="NO",J30,J30-I30))</f>
        <v>0</v>
      </c>
      <c r="L30" s="3876">
        <f t="shared" ref="L30" si="29">IF(K30="NA","NA",K30/I30*100)</f>
        <v>0</v>
      </c>
      <c r="M30" s="3877">
        <f>IF(K30="NA","NA",K30/Table8s2!$G$35*100)</f>
        <v>0</v>
      </c>
      <c r="N30" s="3878">
        <f>IF(K30="NA","NA",K30/Table8s2!$G$34*100)</f>
        <v>0</v>
      </c>
      <c r="O30" s="3874">
        <f>SUM(O31:O40)</f>
        <v>12065.21565372057</v>
      </c>
      <c r="P30" s="3875">
        <f>Summary2!E31</f>
        <v>12065.078042611181</v>
      </c>
      <c r="Q30" s="3861">
        <f t="shared" ref="Q30" si="30">IF(P30="NO",IF(O30="NO","NA",-O30),IF(O30="NO",P30,P30-O30))</f>
        <v>-0.13761110938867205</v>
      </c>
      <c r="R30" s="3880">
        <f t="shared" ref="R30" si="31">IF(Q30="NA","NA",Q30/O30*100)</f>
        <v>-1.1405607105434265E-3</v>
      </c>
      <c r="S30" s="3881">
        <f>IF(Q30="NA","NA",Q30/Table8s2!$G$35*100)</f>
        <v>-2.5482699613335259E-5</v>
      </c>
      <c r="T30" s="3882">
        <f>IF(Q30="NA","NA",Q30/Table8s2!$G$34*100)</f>
        <v>-2.1954881837382908E-5</v>
      </c>
    </row>
    <row r="31" spans="2:20" ht="18" customHeight="1" x14ac:dyDescent="0.2">
      <c r="B31" s="620" t="s">
        <v>1492</v>
      </c>
      <c r="C31" s="3867"/>
      <c r="D31" s="3867"/>
      <c r="E31" s="3868"/>
      <c r="F31" s="3868"/>
      <c r="G31" s="3869"/>
      <c r="H31" s="3870"/>
      <c r="I31" s="3846">
        <v>62465.227507263597</v>
      </c>
      <c r="J31" s="3839">
        <f>Summary2!D32</f>
        <v>62465.227507263597</v>
      </c>
      <c r="K31" s="3883">
        <f t="shared" ref="K31:K33" si="32">IF(J31="NO",IF(I31="NO","NA",-I31),IF(I31="NO",J31,J31-I31))</f>
        <v>0</v>
      </c>
      <c r="L31" s="3883">
        <f t="shared" ref="L31:L33" si="33">IF(K31="NA","NA",K31/I31*100)</f>
        <v>0</v>
      </c>
      <c r="M31" s="3884">
        <f>IF(K31="NA","NA",K31/Table8s2!$G$35*100)</f>
        <v>0</v>
      </c>
      <c r="N31" s="3885">
        <f>IF(K31="NA","NA",K31/Table8s2!$G$34*100)</f>
        <v>0</v>
      </c>
      <c r="O31" s="3886"/>
      <c r="P31" s="3887"/>
      <c r="Q31" s="3868"/>
      <c r="R31" s="3888"/>
      <c r="S31" s="3889"/>
      <c r="T31" s="3890"/>
    </row>
    <row r="32" spans="2:20" ht="18" customHeight="1" x14ac:dyDescent="0.2">
      <c r="B32" s="620" t="s">
        <v>1493</v>
      </c>
      <c r="C32" s="3891"/>
      <c r="D32" s="3891"/>
      <c r="E32" s="3892"/>
      <c r="F32" s="3892"/>
      <c r="G32" s="3869"/>
      <c r="H32" s="3870"/>
      <c r="I32" s="3846">
        <v>7142.9376073236235</v>
      </c>
      <c r="J32" s="3847">
        <f>Summary2!D33</f>
        <v>7142.9376073236226</v>
      </c>
      <c r="K32" s="3893">
        <f t="shared" si="32"/>
        <v>-9.0949470177292824E-13</v>
      </c>
      <c r="L32" s="3893">
        <f t="shared" si="33"/>
        <v>-1.2732782389705143E-14</v>
      </c>
      <c r="M32" s="3884">
        <f>IF(K32="NA","NA",K32/Table8s2!$G$35*100)</f>
        <v>-1.6841939860930525E-16</v>
      </c>
      <c r="N32" s="3885">
        <f>IF(K32="NA","NA",K32/Table8s2!$G$34*100)</f>
        <v>-1.4510346437766724E-16</v>
      </c>
      <c r="O32" s="3848">
        <v>466.64135047769383</v>
      </c>
      <c r="P32" s="3847">
        <f>Summary2!E33</f>
        <v>466.64135047769378</v>
      </c>
      <c r="Q32" s="3893">
        <f t="shared" ref="Q32" si="34">IF(P32="NO",IF(O32="NO","NA",-O32),IF(O32="NO",P32,P32-O32))</f>
        <v>-5.6843418860808015E-14</v>
      </c>
      <c r="R32" s="3894">
        <f t="shared" ref="R32" si="35">IF(Q32="NA","NA",Q32/O32*100)</f>
        <v>-1.2181393441155238E-14</v>
      </c>
      <c r="S32" s="3895">
        <f>IF(Q32="NA","NA",Q32/Table8s2!$G$35*100)</f>
        <v>-1.0526212413081578E-17</v>
      </c>
      <c r="T32" s="3896">
        <f>IF(Q32="NA","NA",Q32/Table8s2!$G$34*100)</f>
        <v>-9.0689665236042022E-18</v>
      </c>
    </row>
    <row r="33" spans="2:21" ht="18" customHeight="1" x14ac:dyDescent="0.2">
      <c r="B33" s="620" t="s">
        <v>1494</v>
      </c>
      <c r="C33" s="3891"/>
      <c r="D33" s="3891"/>
      <c r="E33" s="3892"/>
      <c r="F33" s="3892"/>
      <c r="G33" s="3897"/>
      <c r="H33" s="3898"/>
      <c r="I33" s="3848">
        <v>454.09758729999999</v>
      </c>
      <c r="J33" s="3847">
        <f>Summary2!D34</f>
        <v>454.09758729999999</v>
      </c>
      <c r="K33" s="3893">
        <f t="shared" si="32"/>
        <v>0</v>
      </c>
      <c r="L33" s="3893">
        <f t="shared" si="33"/>
        <v>0</v>
      </c>
      <c r="M33" s="3899">
        <f>IF(K33="NA","NA",K33/Table8s2!$G$35*100)</f>
        <v>0</v>
      </c>
      <c r="N33" s="3900">
        <f>IF(K33="NA","NA",K33/Table8s2!$G$34*100)</f>
        <v>0</v>
      </c>
      <c r="O33" s="3901"/>
      <c r="P33" s="3902"/>
      <c r="Q33" s="3892"/>
      <c r="R33" s="3903"/>
      <c r="S33" s="3904"/>
      <c r="T33" s="3905"/>
    </row>
    <row r="34" spans="2:21" ht="18" customHeight="1" x14ac:dyDescent="0.2">
      <c r="B34" s="620" t="s">
        <v>1495</v>
      </c>
      <c r="C34" s="3891"/>
      <c r="D34" s="3891"/>
      <c r="E34" s="3892"/>
      <c r="F34" s="3892"/>
      <c r="G34" s="3869"/>
      <c r="H34" s="3870"/>
      <c r="I34" s="3846" t="s">
        <v>2154</v>
      </c>
      <c r="J34" s="3847" t="str">
        <f>Summary2!D35</f>
        <v>NE</v>
      </c>
      <c r="K34" s="3893" t="s">
        <v>2147</v>
      </c>
      <c r="L34" s="3893" t="s">
        <v>2147</v>
      </c>
      <c r="M34" s="3884" t="s">
        <v>2147</v>
      </c>
      <c r="N34" s="3885" t="s">
        <v>2147</v>
      </c>
      <c r="O34" s="3848">
        <v>11472.830577015278</v>
      </c>
      <c r="P34" s="3847">
        <f>Summary2!E35</f>
        <v>11472.692965905888</v>
      </c>
      <c r="Q34" s="3893">
        <f t="shared" ref="Q34" si="36">IF(P34="NO",IF(O34="NO","NA",-O34),IF(O34="NO",P34,P34-O34))</f>
        <v>-0.13761110939049104</v>
      </c>
      <c r="R34" s="3894">
        <f t="shared" ref="R34" si="37">IF(Q34="NA","NA",Q34/O34*100)</f>
        <v>-1.1994521183480366E-3</v>
      </c>
      <c r="S34" s="3895">
        <f>IF(Q34="NA","NA",Q34/Table8s2!$G$35*100)</f>
        <v>-2.5482699613672097E-5</v>
      </c>
      <c r="T34" s="3896">
        <f>IF(Q34="NA","NA",Q34/Table8s2!$G$34*100)</f>
        <v>-2.1954881837673115E-5</v>
      </c>
    </row>
    <row r="35" spans="2:21" ht="18" customHeight="1" x14ac:dyDescent="0.2">
      <c r="B35" s="620" t="s">
        <v>1496</v>
      </c>
      <c r="C35" s="3891"/>
      <c r="D35" s="3891"/>
      <c r="E35" s="3892"/>
      <c r="F35" s="3892"/>
      <c r="G35" s="3869"/>
      <c r="H35" s="3870"/>
      <c r="I35" s="3846" t="s">
        <v>2147</v>
      </c>
      <c r="J35" s="3847" t="str">
        <f>Summary2!D36</f>
        <v>NA</v>
      </c>
      <c r="K35" s="3893" t="s">
        <v>2147</v>
      </c>
      <c r="L35" s="3893" t="s">
        <v>2147</v>
      </c>
      <c r="M35" s="3884" t="s">
        <v>2147</v>
      </c>
      <c r="N35" s="3885" t="s">
        <v>2147</v>
      </c>
      <c r="O35" s="3848" t="s">
        <v>2147</v>
      </c>
      <c r="P35" s="3847" t="str">
        <f>Summary2!E36</f>
        <v>NA</v>
      </c>
      <c r="Q35" s="3893" t="s">
        <v>2147</v>
      </c>
      <c r="R35" s="3893" t="s">
        <v>2147</v>
      </c>
      <c r="S35" s="3884" t="s">
        <v>2147</v>
      </c>
      <c r="T35" s="3885" t="s">
        <v>2147</v>
      </c>
    </row>
    <row r="36" spans="2:21" ht="18" customHeight="1" x14ac:dyDescent="0.2">
      <c r="B36" s="620" t="s">
        <v>1497</v>
      </c>
      <c r="C36" s="3891"/>
      <c r="D36" s="3891"/>
      <c r="E36" s="3892"/>
      <c r="F36" s="3892"/>
      <c r="G36" s="3869"/>
      <c r="H36" s="3870"/>
      <c r="I36" s="3846">
        <v>322.94739236474743</v>
      </c>
      <c r="J36" s="3847">
        <f>Summary2!D37</f>
        <v>322.94739236474743</v>
      </c>
      <c r="K36" s="3893">
        <f t="shared" ref="K36" si="38">IF(J36="NO",IF(I36="NO","NA",-I36),IF(I36="NO",J36,J36-I36))</f>
        <v>0</v>
      </c>
      <c r="L36" s="3893">
        <f t="shared" ref="L36" si="39">IF(K36="NA","NA",K36/I36*100)</f>
        <v>0</v>
      </c>
      <c r="M36" s="3884">
        <f>IF(K36="NA","NA",K36/Table8s2!$G$35*100)</f>
        <v>0</v>
      </c>
      <c r="N36" s="3885">
        <f>IF(K36="NA","NA",K36/Table8s2!$G$34*100)</f>
        <v>0</v>
      </c>
      <c r="O36" s="3848">
        <v>125.74372622759887</v>
      </c>
      <c r="P36" s="3847">
        <f>Summary2!E37</f>
        <v>125.74372622759887</v>
      </c>
      <c r="Q36" s="3893">
        <f t="shared" ref="Q36" si="40">IF(P36="NO",IF(O36="NO","NA",-O36),IF(O36="NO",P36,P36-O36))</f>
        <v>0</v>
      </c>
      <c r="R36" s="3894">
        <f t="shared" ref="R36" si="41">IF(Q36="NA","NA",Q36/O36*100)</f>
        <v>0</v>
      </c>
      <c r="S36" s="3895">
        <f>IF(Q36="NA","NA",Q36/Table8s2!$G$35*100)</f>
        <v>0</v>
      </c>
      <c r="T36" s="3896">
        <f>IF(Q36="NA","NA",Q36/Table8s2!$G$34*100)</f>
        <v>0</v>
      </c>
    </row>
    <row r="37" spans="2:21" ht="18" customHeight="1" x14ac:dyDescent="0.2">
      <c r="B37" s="620" t="s">
        <v>721</v>
      </c>
      <c r="C37" s="3847">
        <v>1072.8425829711978</v>
      </c>
      <c r="D37" s="3847">
        <f>Summary2!C38</f>
        <v>1072.8425829711978</v>
      </c>
      <c r="E37" s="3906">
        <f t="shared" si="4"/>
        <v>0</v>
      </c>
      <c r="F37" s="3906">
        <f t="shared" si="5"/>
        <v>0</v>
      </c>
      <c r="G37" s="3907">
        <f>IF(E37="NA","NA",E37/Table8s2!$G$35*100)</f>
        <v>0</v>
      </c>
      <c r="H37" s="3908">
        <f>IF(E37="NA","NA",E37/Table8s2!$G$34*100)</f>
        <v>0</v>
      </c>
      <c r="I37" s="3909"/>
      <c r="J37" s="3910"/>
      <c r="K37" s="3910"/>
      <c r="L37" s="3910"/>
      <c r="M37" s="3911"/>
      <c r="N37" s="3912"/>
      <c r="O37" s="3913"/>
      <c r="P37" s="3910"/>
      <c r="Q37" s="3910"/>
      <c r="R37" s="3910"/>
      <c r="S37" s="3911"/>
      <c r="T37" s="3912"/>
    </row>
    <row r="38" spans="2:21" ht="18" customHeight="1" x14ac:dyDescent="0.2">
      <c r="B38" s="620" t="s">
        <v>722</v>
      </c>
      <c r="C38" s="3847">
        <v>756.84856323012491</v>
      </c>
      <c r="D38" s="3847">
        <f>Summary2!C39</f>
        <v>756.84856323012491</v>
      </c>
      <c r="E38" s="3914">
        <f t="shared" si="4"/>
        <v>0</v>
      </c>
      <c r="F38" s="3914">
        <f t="shared" si="5"/>
        <v>0</v>
      </c>
      <c r="G38" s="3915">
        <f>IF(E38="NA","NA",E38/Table8s2!$G$35*100)</f>
        <v>0</v>
      </c>
      <c r="H38" s="3916">
        <f>IF(E38="NA","NA",E38/Table8s2!$G$34*100)</f>
        <v>0</v>
      </c>
      <c r="I38" s="3909"/>
      <c r="J38" s="3910"/>
      <c r="K38" s="3891"/>
      <c r="L38" s="3891"/>
      <c r="M38" s="3917"/>
      <c r="N38" s="3870"/>
      <c r="O38" s="3913"/>
      <c r="P38" s="3910"/>
      <c r="Q38" s="3891"/>
      <c r="R38" s="3918"/>
      <c r="S38" s="3919"/>
      <c r="T38" s="3890"/>
    </row>
    <row r="39" spans="2:21" ht="18" customHeight="1" x14ac:dyDescent="0.2">
      <c r="B39" s="620" t="s">
        <v>723</v>
      </c>
      <c r="C39" s="3847" t="s">
        <v>2154</v>
      </c>
      <c r="D39" s="3847" t="str">
        <f>Summary2!C40</f>
        <v>NE</v>
      </c>
      <c r="E39" s="3914" t="s">
        <v>2147</v>
      </c>
      <c r="F39" s="3914" t="s">
        <v>2147</v>
      </c>
      <c r="G39" s="3915" t="s">
        <v>2147</v>
      </c>
      <c r="H39" s="3916" t="s">
        <v>2147</v>
      </c>
      <c r="I39" s="3909"/>
      <c r="J39" s="3910"/>
      <c r="K39" s="3891"/>
      <c r="L39" s="3891"/>
      <c r="M39" s="3917"/>
      <c r="N39" s="3870"/>
      <c r="O39" s="3913"/>
      <c r="P39" s="3910"/>
      <c r="Q39" s="3891"/>
      <c r="R39" s="3918"/>
      <c r="S39" s="3919"/>
      <c r="T39" s="3890"/>
    </row>
    <row r="40" spans="2:21" ht="18" customHeight="1" thickBot="1" x14ac:dyDescent="0.25">
      <c r="B40" s="620" t="s">
        <v>1499</v>
      </c>
      <c r="C40" s="3855" t="s">
        <v>2146</v>
      </c>
      <c r="D40" s="3855" t="str">
        <f>Summary2!C41</f>
        <v>NO</v>
      </c>
      <c r="E40" s="3920" t="s">
        <v>2147</v>
      </c>
      <c r="F40" s="3920" t="s">
        <v>2147</v>
      </c>
      <c r="G40" s="3921" t="s">
        <v>2147</v>
      </c>
      <c r="H40" s="3922" t="s">
        <v>2147</v>
      </c>
      <c r="I40" s="3873" t="s">
        <v>2146</v>
      </c>
      <c r="J40" s="3855" t="str">
        <f>Summary2!D41</f>
        <v>NO</v>
      </c>
      <c r="K40" s="3923" t="s">
        <v>2147</v>
      </c>
      <c r="L40" s="3923" t="s">
        <v>2147</v>
      </c>
      <c r="M40" s="3924" t="s">
        <v>2147</v>
      </c>
      <c r="N40" s="3925" t="s">
        <v>2147</v>
      </c>
      <c r="O40" s="3873" t="s">
        <v>2146</v>
      </c>
      <c r="P40" s="3855" t="str">
        <f>Summary2!E41</f>
        <v>NO</v>
      </c>
      <c r="Q40" s="3923" t="s">
        <v>2147</v>
      </c>
      <c r="R40" s="3926" t="s">
        <v>2147</v>
      </c>
      <c r="S40" s="3927" t="s">
        <v>2147</v>
      </c>
      <c r="T40" s="3928" t="s">
        <v>2147</v>
      </c>
    </row>
    <row r="41" spans="2:21" ht="18" customHeight="1" x14ac:dyDescent="0.2">
      <c r="B41" s="1408" t="s">
        <v>1686</v>
      </c>
      <c r="C41" s="3839">
        <f>SUM(C42:C49)</f>
        <v>65328.381486334263</v>
      </c>
      <c r="D41" s="3839">
        <f>Summary2!C42</f>
        <v>61853.129233805063</v>
      </c>
      <c r="E41" s="3929">
        <f t="shared" ref="E41" si="42">IF(D41="NO",IF(C41="NO","NA",-C41),IF(C41="NO",D41,D41-C41))</f>
        <v>-3475.2522525292006</v>
      </c>
      <c r="F41" s="3929">
        <f t="shared" ref="F41" si="43">IF(E41="NA","NA",E41/C41*100)</f>
        <v>-5.3196668484067251</v>
      </c>
      <c r="G41" s="3869"/>
      <c r="H41" s="3929">
        <f>IF(E41="NA","NA",E41/Table8s2!$G$34*100)</f>
        <v>-0.55445198355226821</v>
      </c>
      <c r="I41" s="3846">
        <f>SUM(I42:I49)</f>
        <v>24680.993179352292</v>
      </c>
      <c r="J41" s="3839">
        <f>Summary2!D42</f>
        <v>20337.881806290217</v>
      </c>
      <c r="K41" s="3929">
        <f t="shared" ref="K41:K46" si="44">IF(J41="NO",IF(I41="NO","NA",-I41),IF(I41="NO",J41,J41-I41))</f>
        <v>-4343.1113730620746</v>
      </c>
      <c r="L41" s="3929">
        <f t="shared" ref="L41:L46" si="45">IF(K41="NA","NA",K41/I41*100)</f>
        <v>-17.596987858233554</v>
      </c>
      <c r="M41" s="3889"/>
      <c r="N41" s="3930">
        <f>IF(K41="NA","NA",K41/Table8s2!$G$34*100)</f>
        <v>-0.69291278462740857</v>
      </c>
      <c r="O41" s="3846">
        <f>SUM(O42:O49)</f>
        <v>4557.0769562848109</v>
      </c>
      <c r="P41" s="3839">
        <f>Summary2!E42</f>
        <v>4581.6870213472794</v>
      </c>
      <c r="Q41" s="3929">
        <f t="shared" ref="Q41" si="46">IF(P41="NO",IF(O41="NO","NA",-O41),IF(O41="NO",P41,P41-O41))</f>
        <v>24.610065062468493</v>
      </c>
      <c r="R41" s="3929">
        <f t="shared" ref="R41" si="47">IF(Q41="NA","NA",Q41/O41*100)</f>
        <v>0.54004058519415532</v>
      </c>
      <c r="S41" s="3889"/>
      <c r="T41" s="3930">
        <f>IF(Q41="NA","NA",Q41/Table8s2!$G$34*100)</f>
        <v>3.9263622890411696E-3</v>
      </c>
      <c r="U41" s="713"/>
    </row>
    <row r="42" spans="2:21" ht="18" customHeight="1" x14ac:dyDescent="0.2">
      <c r="B42" s="620" t="s">
        <v>981</v>
      </c>
      <c r="C42" s="3847">
        <v>-41496.692627384895</v>
      </c>
      <c r="D42" s="3847">
        <f>Summary2!C43</f>
        <v>-44030.092111633683</v>
      </c>
      <c r="E42" s="3931">
        <f t="shared" ref="E42:E50" si="48">IF(D42="NO",IF(C42="NO","NA",-C42),IF(C42="NO",D42,D42-C42))</f>
        <v>-2533.3994842487882</v>
      </c>
      <c r="F42" s="3931">
        <f t="shared" ref="F42:F50" si="49">IF(E42="NA","NA",E42/C42*100)</f>
        <v>6.105063617954273</v>
      </c>
      <c r="G42" s="3889"/>
      <c r="H42" s="3931">
        <f>IF(E42="NA","NA",E42/Table8s2!$G$34*100)</f>
        <v>-0.40418601790697828</v>
      </c>
      <c r="I42" s="3848">
        <v>7180.2154131684765</v>
      </c>
      <c r="J42" s="3847">
        <f>Summary2!D43</f>
        <v>6941.4929729129544</v>
      </c>
      <c r="K42" s="3931">
        <f t="shared" si="44"/>
        <v>-238.72244025552209</v>
      </c>
      <c r="L42" s="3931">
        <f t="shared" si="45"/>
        <v>-3.3247253253392151</v>
      </c>
      <c r="M42" s="3889"/>
      <c r="N42" s="3932">
        <f>IF(K42="NA","NA",K42/Table8s2!$G$34*100)</f>
        <v>-3.8086481469592232E-2</v>
      </c>
      <c r="O42" s="3848">
        <v>1279.8729761489719</v>
      </c>
      <c r="P42" s="3847">
        <f>Summary2!E43</f>
        <v>1261.1002195832853</v>
      </c>
      <c r="Q42" s="3931">
        <f t="shared" ref="Q42:Q46" si="50">IF(P42="NO",IF(O42="NO","NA",-O42),IF(O42="NO",P42,P42-O42))</f>
        <v>-18.772756565686677</v>
      </c>
      <c r="R42" s="3931">
        <f t="shared" ref="R42:R46" si="51">IF(Q42="NA","NA",Q42/O42*100)</f>
        <v>-1.4667671648300828</v>
      </c>
      <c r="S42" s="3889"/>
      <c r="T42" s="3932">
        <f>IF(Q42="NA","NA",Q42/Table8s2!$G$34*100)</f>
        <v>-2.9950608929218692E-3</v>
      </c>
      <c r="U42" s="713"/>
    </row>
    <row r="43" spans="2:21" ht="18" customHeight="1" x14ac:dyDescent="0.2">
      <c r="B43" s="620" t="s">
        <v>984</v>
      </c>
      <c r="C43" s="3847">
        <v>10500.73633337335</v>
      </c>
      <c r="D43" s="3847">
        <f>Summary2!C44</f>
        <v>10431.513443562886</v>
      </c>
      <c r="E43" s="3931">
        <f t="shared" si="48"/>
        <v>-69.222889810464039</v>
      </c>
      <c r="F43" s="3931">
        <f t="shared" si="49"/>
        <v>-0.65921938817243175</v>
      </c>
      <c r="G43" s="3889"/>
      <c r="H43" s="3931">
        <f>IF(E43="NA","NA",E43/Table8s2!$G$34*100)</f>
        <v>-1.104402379271874E-2</v>
      </c>
      <c r="I43" s="3848">
        <v>113.2352999419731</v>
      </c>
      <c r="J43" s="3847">
        <f>Summary2!D44</f>
        <v>113.78545919999999</v>
      </c>
      <c r="K43" s="3931">
        <f t="shared" si="44"/>
        <v>0.5501592580268948</v>
      </c>
      <c r="L43" s="3931">
        <f t="shared" si="45"/>
        <v>0.48585490417636673</v>
      </c>
      <c r="M43" s="3889"/>
      <c r="N43" s="3932">
        <f>IF(K43="NA","NA",K43/Table8s2!$G$34*100)</f>
        <v>8.7774028967439087E-5</v>
      </c>
      <c r="O43" s="3848">
        <v>36.050000889454758</v>
      </c>
      <c r="P43" s="3847">
        <f>Summary2!E44</f>
        <v>35.839770574869988</v>
      </c>
      <c r="Q43" s="3931">
        <f t="shared" si="50"/>
        <v>-0.21023031458476993</v>
      </c>
      <c r="R43" s="3931">
        <f t="shared" si="51"/>
        <v>-0.5831631328649034</v>
      </c>
      <c r="S43" s="3889"/>
      <c r="T43" s="3932">
        <f>IF(Q43="NA","NA",Q43/Table8s2!$G$34*100)</f>
        <v>-3.354076379333665E-5</v>
      </c>
      <c r="U43" s="713"/>
    </row>
    <row r="44" spans="2:21" ht="18" customHeight="1" x14ac:dyDescent="0.2">
      <c r="B44" s="620" t="s">
        <v>987</v>
      </c>
      <c r="C44" s="3847">
        <v>95834.27847020913</v>
      </c>
      <c r="D44" s="3847">
        <f>Summary2!C45</f>
        <v>95703.865611283807</v>
      </c>
      <c r="E44" s="3931">
        <f t="shared" si="48"/>
        <v>-130.41285892532323</v>
      </c>
      <c r="F44" s="3931">
        <f t="shared" si="49"/>
        <v>-0.13608164114874943</v>
      </c>
      <c r="G44" s="3889"/>
      <c r="H44" s="3931">
        <f>IF(E44="NA","NA",E44/Table8s2!$G$34*100)</f>
        <v>-2.0806451750155375E-2</v>
      </c>
      <c r="I44" s="3848">
        <v>10642.906828980558</v>
      </c>
      <c r="J44" s="3847">
        <f>Summary2!D45</f>
        <v>10738.090655961169</v>
      </c>
      <c r="K44" s="3931">
        <f t="shared" si="44"/>
        <v>95.18382698061032</v>
      </c>
      <c r="L44" s="3931">
        <f t="shared" si="45"/>
        <v>0.89434050781526575</v>
      </c>
      <c r="M44" s="3889"/>
      <c r="N44" s="3932">
        <f>IF(K44="NA","NA",K44/Table8s2!$G$34*100)</f>
        <v>1.518590819791199E-2</v>
      </c>
      <c r="O44" s="3848">
        <v>3095.4707081748288</v>
      </c>
      <c r="P44" s="3847">
        <f>Summary2!E45</f>
        <v>3138.3006617650371</v>
      </c>
      <c r="Q44" s="3931">
        <f t="shared" si="50"/>
        <v>42.829953590208333</v>
      </c>
      <c r="R44" s="3931">
        <f t="shared" si="51"/>
        <v>1.3836329795368021</v>
      </c>
      <c r="S44" s="3889"/>
      <c r="T44" s="3932">
        <f>IF(Q44="NA","NA",Q44/Table8s2!$G$34*100)</f>
        <v>6.8332169862662558E-3</v>
      </c>
      <c r="U44" s="713"/>
    </row>
    <row r="45" spans="2:21" ht="18" customHeight="1" x14ac:dyDescent="0.2">
      <c r="B45" s="620" t="s">
        <v>1525</v>
      </c>
      <c r="C45" s="3847">
        <v>1350.4124243761062</v>
      </c>
      <c r="D45" s="3847">
        <f>Summary2!C46</f>
        <v>1302.9933634580761</v>
      </c>
      <c r="E45" s="3931">
        <f t="shared" si="48"/>
        <v>-47.419060918030027</v>
      </c>
      <c r="F45" s="3931">
        <f t="shared" si="49"/>
        <v>-3.5114502845260591</v>
      </c>
      <c r="G45" s="3889"/>
      <c r="H45" s="3931">
        <f>IF(E45="NA","NA",E45/Table8s2!$G$34*100)</f>
        <v>-7.5653766902972971E-3</v>
      </c>
      <c r="I45" s="3848">
        <v>6616.8170410677576</v>
      </c>
      <c r="J45" s="3847">
        <f>Summary2!D46</f>
        <v>2414.2456526160963</v>
      </c>
      <c r="K45" s="3931">
        <f t="shared" si="44"/>
        <v>-4202.5713884516608</v>
      </c>
      <c r="L45" s="3931">
        <f t="shared" si="45"/>
        <v>-63.513489376660935</v>
      </c>
      <c r="M45" s="3889"/>
      <c r="N45" s="3932">
        <f>IF(K45="NA","NA",K45/Table8s2!$G$34*100)</f>
        <v>-0.6704906214077635</v>
      </c>
      <c r="O45" s="3848">
        <v>90.30570217433069</v>
      </c>
      <c r="P45" s="3847">
        <f>Summary2!E46</f>
        <v>90.613926532451615</v>
      </c>
      <c r="Q45" s="3931">
        <f t="shared" si="50"/>
        <v>0.30822435812092408</v>
      </c>
      <c r="R45" s="3931">
        <f t="shared" si="51"/>
        <v>0.34131217708258577</v>
      </c>
      <c r="S45" s="3889"/>
      <c r="T45" s="3932">
        <f>IF(Q45="NA","NA",Q45/Table8s2!$G$34*100)</f>
        <v>4.9175022220299998E-5</v>
      </c>
      <c r="U45" s="713"/>
    </row>
    <row r="46" spans="2:21" ht="18" customHeight="1" x14ac:dyDescent="0.2">
      <c r="B46" s="620" t="s">
        <v>1526</v>
      </c>
      <c r="C46" s="3847">
        <v>5945.2556281986454</v>
      </c>
      <c r="D46" s="3847">
        <f>Summary2!C47</f>
        <v>5931.1504564207271</v>
      </c>
      <c r="E46" s="3931">
        <f t="shared" si="48"/>
        <v>-14.105171777918258</v>
      </c>
      <c r="F46" s="3931">
        <f t="shared" si="49"/>
        <v>-0.23725088810339326</v>
      </c>
      <c r="G46" s="3889"/>
      <c r="H46" s="3931">
        <f>IF(E46="NA","NA",E46/Table8s2!$G$34*100)</f>
        <v>-2.2503806637117025E-3</v>
      </c>
      <c r="I46" s="3848">
        <v>127.81859619352899</v>
      </c>
      <c r="J46" s="3847">
        <f>Summary2!D47</f>
        <v>130.2670656</v>
      </c>
      <c r="K46" s="3931">
        <f t="shared" si="44"/>
        <v>2.4484694064710055</v>
      </c>
      <c r="L46" s="3931">
        <f t="shared" si="45"/>
        <v>1.9155815189550354</v>
      </c>
      <c r="M46" s="3889"/>
      <c r="N46" s="3932">
        <f>IF(K46="NA","NA",K46/Table8s2!$G$34*100)</f>
        <v>3.9063602306764841E-4</v>
      </c>
      <c r="O46" s="3848">
        <v>30.330441029217535</v>
      </c>
      <c r="P46" s="3847">
        <f>Summary2!E47</f>
        <v>30.785315023628364</v>
      </c>
      <c r="Q46" s="3931">
        <f t="shared" si="50"/>
        <v>0.45487399441082843</v>
      </c>
      <c r="R46" s="3931">
        <f t="shared" si="51"/>
        <v>1.4997275970126678</v>
      </c>
      <c r="S46" s="3889"/>
      <c r="T46" s="3932">
        <f>IF(Q46="NA","NA",Q46/Table8s2!$G$34*100)</f>
        <v>7.2571937269842285E-5</v>
      </c>
      <c r="U46" s="713"/>
    </row>
    <row r="47" spans="2:21" ht="18" customHeight="1" x14ac:dyDescent="0.2">
      <c r="B47" s="620" t="s">
        <v>1527</v>
      </c>
      <c r="C47" s="3847" t="s">
        <v>2146</v>
      </c>
      <c r="D47" s="3847" t="str">
        <f>Summary2!C48</f>
        <v>NO</v>
      </c>
      <c r="E47" s="3931" t="str">
        <f t="shared" si="48"/>
        <v>NA</v>
      </c>
      <c r="F47" s="3931" t="str">
        <f t="shared" si="49"/>
        <v>NA</v>
      </c>
      <c r="G47" s="3889"/>
      <c r="H47" s="3931" t="str">
        <f>IF(E47="NA","NA",E47/Table8s2!$G$34*100)</f>
        <v>NA</v>
      </c>
      <c r="I47" s="3848" t="s">
        <v>2146</v>
      </c>
      <c r="J47" s="3847" t="str">
        <f>Summary2!D48</f>
        <v>NO</v>
      </c>
      <c r="K47" s="3931" t="s">
        <v>2147</v>
      </c>
      <c r="L47" s="3931" t="s">
        <v>2147</v>
      </c>
      <c r="M47" s="3889"/>
      <c r="N47" s="3931" t="s">
        <v>2147</v>
      </c>
      <c r="O47" s="3848" t="s">
        <v>2146</v>
      </c>
      <c r="P47" s="3847" t="str">
        <f>Summary2!E48</f>
        <v>NO</v>
      </c>
      <c r="Q47" s="3931" t="s">
        <v>2147</v>
      </c>
      <c r="R47" s="3931" t="s">
        <v>2147</v>
      </c>
      <c r="S47" s="3889"/>
      <c r="T47" s="3932" t="s">
        <v>2147</v>
      </c>
      <c r="U47" s="713"/>
    </row>
    <row r="48" spans="2:21" ht="18" customHeight="1" x14ac:dyDescent="0.2">
      <c r="B48" s="620" t="s">
        <v>1528</v>
      </c>
      <c r="C48" s="3847">
        <v>-6815.8243215564744</v>
      </c>
      <c r="D48" s="3847">
        <f>Summary2!C49</f>
        <v>-7496.5171084051362</v>
      </c>
      <c r="E48" s="3931">
        <f t="shared" si="48"/>
        <v>-680.69278684866185</v>
      </c>
      <c r="F48" s="3931">
        <f t="shared" si="49"/>
        <v>9.9869473556680166</v>
      </c>
      <c r="G48" s="3889"/>
      <c r="H48" s="3931">
        <f>IF(E48="NA","NA",E48/Table8s2!$G$34*100)</f>
        <v>-0.10859973274840448</v>
      </c>
      <c r="I48" s="3913"/>
      <c r="J48" s="3910"/>
      <c r="K48" s="3918"/>
      <c r="L48" s="3918"/>
      <c r="M48" s="3918"/>
      <c r="N48" s="3905"/>
      <c r="O48" s="3913"/>
      <c r="P48" s="3910"/>
      <c r="Q48" s="3918"/>
      <c r="R48" s="3918"/>
      <c r="S48" s="3918"/>
      <c r="T48" s="3905"/>
      <c r="U48" s="713"/>
    </row>
    <row r="49" spans="2:21" ht="18" customHeight="1" thickBot="1" x14ac:dyDescent="0.25">
      <c r="B49" s="1552" t="s">
        <v>1529</v>
      </c>
      <c r="C49" s="3855">
        <v>10.215579118396668</v>
      </c>
      <c r="D49" s="3855">
        <f>Summary2!C50</f>
        <v>10.215579118396668</v>
      </c>
      <c r="E49" s="3933">
        <f t="shared" si="48"/>
        <v>0</v>
      </c>
      <c r="F49" s="3933">
        <f t="shared" si="49"/>
        <v>0</v>
      </c>
      <c r="G49" s="3934"/>
      <c r="H49" s="3933">
        <f>IF(E49="NA","NA",E49/Table8s2!$G$34*100)</f>
        <v>0</v>
      </c>
      <c r="I49" s="3935" t="s">
        <v>2146</v>
      </c>
      <c r="J49" s="3936" t="str">
        <f>Summary2!D50</f>
        <v>NO</v>
      </c>
      <c r="K49" s="3937" t="s">
        <v>2147</v>
      </c>
      <c r="L49" s="3937" t="s">
        <v>2147</v>
      </c>
      <c r="M49" s="3938"/>
      <c r="N49" s="3937" t="s">
        <v>2147</v>
      </c>
      <c r="O49" s="3873">
        <v>25.047127868007145</v>
      </c>
      <c r="P49" s="3855">
        <f>Summary2!E50</f>
        <v>25.047127868007145</v>
      </c>
      <c r="Q49" s="3933">
        <f t="shared" ref="Q49:Q50" si="52">IF(P49="NO",IF(O49="NO","NA",-O49),IF(O49="NO",P49,P49-O49))</f>
        <v>0</v>
      </c>
      <c r="R49" s="3933">
        <f t="shared" ref="R49:R50" si="53">IF(Q49="NA","NA",Q49/O49*100)</f>
        <v>0</v>
      </c>
      <c r="S49" s="3934"/>
      <c r="T49" s="3939">
        <f>IF(Q49="NA","NA",Q49/Table8s2!$G$34*100)</f>
        <v>0</v>
      </c>
      <c r="U49" s="713"/>
    </row>
    <row r="50" spans="2:21" ht="18" customHeight="1" x14ac:dyDescent="0.2">
      <c r="B50" s="710" t="s">
        <v>1500</v>
      </c>
      <c r="C50" s="3839">
        <f>SUM(C51:C55)</f>
        <v>29.308601056242154</v>
      </c>
      <c r="D50" s="3839">
        <f>Summary2!C51</f>
        <v>29.308601056242154</v>
      </c>
      <c r="E50" s="3839">
        <f t="shared" si="48"/>
        <v>0</v>
      </c>
      <c r="F50" s="3839">
        <f t="shared" si="49"/>
        <v>0</v>
      </c>
      <c r="G50" s="3844">
        <f>IF(E50="NA","NA",E50/Table8s2!$G$35*100)</f>
        <v>0</v>
      </c>
      <c r="H50" s="3845">
        <f>IF(E50="NA","NA",E50/Table8s2!$G$34*100)</f>
        <v>0</v>
      </c>
      <c r="I50" s="3839">
        <f>SUM(I51:I55)</f>
        <v>15198.02617430266</v>
      </c>
      <c r="J50" s="3839">
        <f>Summary2!D51</f>
        <v>15202.442132208398</v>
      </c>
      <c r="K50" s="3839">
        <f t="shared" ref="K50" si="54">IF(J50="NO",IF(I50="NO","NA",-I50),IF(I50="NO",J50,J50-I50))</f>
        <v>4.4159579057377414</v>
      </c>
      <c r="L50" s="3839">
        <f t="shared" ref="L50" si="55">IF(K50="NA","NA",K50/I50*100)</f>
        <v>2.905612778325381E-2</v>
      </c>
      <c r="M50" s="3844">
        <f>IF(K50="NA","NA",K50/Table8s2!$G$35*100)</f>
        <v>8.1774305371824351E-4</v>
      </c>
      <c r="N50" s="3845">
        <f>IF(K50="NA","NA",K50/Table8s2!$G$34*100)</f>
        <v>7.0453493507923088E-4</v>
      </c>
      <c r="O50" s="3839">
        <f>SUM(O51:O55)</f>
        <v>397.76753701723993</v>
      </c>
      <c r="P50" s="3839">
        <f>Summary2!E51</f>
        <v>250.39136088625352</v>
      </c>
      <c r="Q50" s="3839">
        <f t="shared" si="52"/>
        <v>-147.37617613098641</v>
      </c>
      <c r="R50" s="3839">
        <f t="shared" si="53"/>
        <v>-37.050830551966051</v>
      </c>
      <c r="S50" s="3844">
        <f>IF(Q50="NA","NA",Q50/Table8s2!$G$35*100)</f>
        <v>-2.729098575828404E-2</v>
      </c>
      <c r="T50" s="3845">
        <f>IF(Q50="NA","NA",Q50/Table8s2!$G$34*100)</f>
        <v>-2.3512829356402892E-2</v>
      </c>
    </row>
    <row r="51" spans="2:21" ht="18" customHeight="1" x14ac:dyDescent="0.2">
      <c r="B51" s="620" t="s">
        <v>1530</v>
      </c>
      <c r="C51" s="3918"/>
      <c r="D51" s="3918"/>
      <c r="E51" s="3888"/>
      <c r="F51" s="3903"/>
      <c r="G51" s="3904"/>
      <c r="H51" s="3905"/>
      <c r="I51" s="3839">
        <v>11958.845338934261</v>
      </c>
      <c r="J51" s="3839">
        <f>Summary2!D52</f>
        <v>11963.261296839999</v>
      </c>
      <c r="K51" s="3839">
        <f t="shared" ref="K51:K52" si="56">IF(J51="NO",IF(I51="NO","NA",-I51),IF(I51="NO",J51,J51-I51))</f>
        <v>4.4159579057377414</v>
      </c>
      <c r="L51" s="3839">
        <f t="shared" ref="L51:L52" si="57">IF(K51="NA","NA",K51/I51*100)</f>
        <v>3.6926289960124856E-2</v>
      </c>
      <c r="M51" s="3844">
        <f>IF(K51="NA","NA",K51/Table8s2!$G$35*100)</f>
        <v>8.1774305371824351E-4</v>
      </c>
      <c r="N51" s="3845">
        <f>IF(K51="NA","NA",K51/Table8s2!$G$34*100)</f>
        <v>7.0453493507923088E-4</v>
      </c>
      <c r="O51" s="3886"/>
      <c r="P51" s="3887"/>
      <c r="Q51" s="3940"/>
      <c r="R51" s="3941"/>
      <c r="S51" s="3942"/>
      <c r="T51" s="3943"/>
    </row>
    <row r="52" spans="2:21" ht="18" customHeight="1" x14ac:dyDescent="0.2">
      <c r="B52" s="1396" t="s">
        <v>1531</v>
      </c>
      <c r="C52" s="3918"/>
      <c r="D52" s="3918"/>
      <c r="E52" s="3888"/>
      <c r="F52" s="3903"/>
      <c r="G52" s="3904"/>
      <c r="H52" s="3905"/>
      <c r="I52" s="3849">
        <v>70.636587000000006</v>
      </c>
      <c r="J52" s="3847">
        <f>Summary2!D53</f>
        <v>70.636587000000006</v>
      </c>
      <c r="K52" s="3839">
        <f t="shared" si="56"/>
        <v>0</v>
      </c>
      <c r="L52" s="3839">
        <f t="shared" si="57"/>
        <v>0</v>
      </c>
      <c r="M52" s="3844">
        <f>IF(K52="NA","NA",K52/Table8s2!$G$35*100)</f>
        <v>0</v>
      </c>
      <c r="N52" s="3845">
        <f>IF(K52="NA","NA",K52/Table8s2!$G$34*100)</f>
        <v>0</v>
      </c>
      <c r="O52" s="3839">
        <v>85.571179679999986</v>
      </c>
      <c r="P52" s="3839">
        <f>Summary2!E53</f>
        <v>85.571179679999986</v>
      </c>
      <c r="Q52" s="3839">
        <f t="shared" ref="Q52" si="58">IF(P52="NO",IF(O52="NO","NA",-O52),IF(O52="NO",P52,P52-O52))</f>
        <v>0</v>
      </c>
      <c r="R52" s="3839">
        <f t="shared" ref="R52" si="59">IF(Q52="NA","NA",Q52/O52*100)</f>
        <v>0</v>
      </c>
      <c r="S52" s="3844">
        <f>IF(Q52="NA","NA",Q52/Table8s2!$G$35*100)</f>
        <v>0</v>
      </c>
      <c r="T52" s="3845">
        <f>IF(Q52="NA","NA",Q52/Table8s2!$G$34*100)</f>
        <v>0</v>
      </c>
    </row>
    <row r="53" spans="2:21" ht="18" customHeight="1" x14ac:dyDescent="0.2">
      <c r="B53" s="1397" t="s">
        <v>1532</v>
      </c>
      <c r="C53" s="3839">
        <v>29.308601056242154</v>
      </c>
      <c r="D53" s="3839">
        <f>Summary2!C54</f>
        <v>29.308601056242154</v>
      </c>
      <c r="E53" s="3839">
        <f t="shared" ref="E53" si="60">IF(D53="NO",IF(C53="NO","NA",-C53),IF(C53="NO",D53,D53-C53))</f>
        <v>0</v>
      </c>
      <c r="F53" s="3839">
        <f t="shared" ref="F53" si="61">IF(E53="NA","NA",E53/C53*100)</f>
        <v>0</v>
      </c>
      <c r="G53" s="3844">
        <f>IF(E53="NA","NA",E53/Table8s2!$G$35*100)</f>
        <v>0</v>
      </c>
      <c r="H53" s="3845">
        <f>IF(E53="NA","NA",E53/Table8s2!$G$34*100)</f>
        <v>0</v>
      </c>
      <c r="I53" s="3849" t="s">
        <v>2146</v>
      </c>
      <c r="J53" s="3847" t="str">
        <f>Summary2!D54</f>
        <v>NO,NE</v>
      </c>
      <c r="K53" s="3839" t="s">
        <v>2147</v>
      </c>
      <c r="L53" s="3944" t="s">
        <v>2147</v>
      </c>
      <c r="M53" s="3895" t="s">
        <v>2147</v>
      </c>
      <c r="N53" s="3896" t="s">
        <v>2147</v>
      </c>
      <c r="O53" s="3839" t="s">
        <v>2146</v>
      </c>
      <c r="P53" s="3839" t="str">
        <f>Summary2!E54</f>
        <v>NO,NE</v>
      </c>
      <c r="Q53" s="3839" t="s">
        <v>2147</v>
      </c>
      <c r="R53" s="3839" t="s">
        <v>2147</v>
      </c>
      <c r="S53" s="3844" t="s">
        <v>2147</v>
      </c>
      <c r="T53" s="3845" t="s">
        <v>2147</v>
      </c>
    </row>
    <row r="54" spans="2:21" ht="18" customHeight="1" x14ac:dyDescent="0.2">
      <c r="B54" s="620" t="s">
        <v>1533</v>
      </c>
      <c r="C54" s="3945"/>
      <c r="D54" s="3946"/>
      <c r="E54" s="3947"/>
      <c r="F54" s="3946"/>
      <c r="G54" s="3948"/>
      <c r="H54" s="3949"/>
      <c r="I54" s="3847">
        <v>3168.5442483683978</v>
      </c>
      <c r="J54" s="3847">
        <f>Summary2!D55</f>
        <v>3168.5442483683992</v>
      </c>
      <c r="K54" s="3839">
        <f t="shared" ref="K54" si="62">IF(J54="NO",IF(I54="NO","NA",-I54),IF(I54="NO",J54,J54-I54))</f>
        <v>1.3642420526593924E-12</v>
      </c>
      <c r="L54" s="3839">
        <f t="shared" ref="L54" si="63">IF(K54="NA","NA",K54/I54*100)</f>
        <v>4.3055799311052444E-14</v>
      </c>
      <c r="M54" s="3844">
        <f>IF(K54="NA","NA",K54/Table8s2!$G$35*100)</f>
        <v>2.5262909791395786E-16</v>
      </c>
      <c r="N54" s="3845">
        <f>IF(K54="NA","NA",K54/Table8s2!$G$34*100)</f>
        <v>2.176551965665009E-16</v>
      </c>
      <c r="O54" s="3839">
        <v>312.19635733723993</v>
      </c>
      <c r="P54" s="3839">
        <f>Summary2!E55</f>
        <v>164.82018120625355</v>
      </c>
      <c r="Q54" s="3839">
        <f t="shared" ref="Q54" si="64">IF(P54="NO",IF(O54="NO","NA",-O54),IF(O54="NO",P54,P54-O54))</f>
        <v>-147.37617613098638</v>
      </c>
      <c r="R54" s="3839">
        <f t="shared" ref="R54" si="65">IF(Q54="NA","NA",Q54/O54*100)</f>
        <v>-47.206244617322064</v>
      </c>
      <c r="S54" s="3844">
        <f>IF(Q54="NA","NA",Q54/Table8s2!$G$35*100)</f>
        <v>-2.7290985758284036E-2</v>
      </c>
      <c r="T54" s="3845">
        <f>IF(Q54="NA","NA",Q54/Table8s2!$G$34*100)</f>
        <v>-2.3512829356402889E-2</v>
      </c>
    </row>
    <row r="55" spans="2:21" ht="18" customHeight="1" thickBot="1" x14ac:dyDescent="0.25">
      <c r="B55" s="620" t="s">
        <v>1534</v>
      </c>
      <c r="C55" s="3855" t="s">
        <v>2154</v>
      </c>
      <c r="D55" s="3855" t="str">
        <f>Summary2!C56</f>
        <v>NE</v>
      </c>
      <c r="E55" s="3856" t="s">
        <v>2147</v>
      </c>
      <c r="F55" s="3856" t="s">
        <v>2147</v>
      </c>
      <c r="G55" s="3857" t="s">
        <v>2147</v>
      </c>
      <c r="H55" s="3858" t="s">
        <v>2147</v>
      </c>
      <c r="I55" s="3855" t="s">
        <v>2154</v>
      </c>
      <c r="J55" s="3855" t="str">
        <f>Summary2!D56</f>
        <v>NE</v>
      </c>
      <c r="K55" s="3856" t="s">
        <v>2147</v>
      </c>
      <c r="L55" s="3856" t="s">
        <v>2147</v>
      </c>
      <c r="M55" s="3857" t="s">
        <v>2147</v>
      </c>
      <c r="N55" s="3858" t="s">
        <v>2147</v>
      </c>
      <c r="O55" s="3873" t="s">
        <v>2154</v>
      </c>
      <c r="P55" s="3855" t="str">
        <f>Summary2!E56</f>
        <v>NE</v>
      </c>
      <c r="Q55" s="3855" t="s">
        <v>2147</v>
      </c>
      <c r="R55" s="3855" t="s">
        <v>2147</v>
      </c>
      <c r="S55" s="3950" t="s">
        <v>2147</v>
      </c>
      <c r="T55" s="3858" t="s">
        <v>2147</v>
      </c>
    </row>
    <row r="56" spans="2:21" ht="18" customHeight="1" thickBot="1" x14ac:dyDescent="0.25">
      <c r="B56" s="2430" t="s">
        <v>2078</v>
      </c>
      <c r="C56" s="3875" t="s">
        <v>2146</v>
      </c>
      <c r="D56" s="3875" t="str">
        <f>Summary2!C57</f>
        <v>NO</v>
      </c>
      <c r="E56" s="3875" t="s">
        <v>2147</v>
      </c>
      <c r="F56" s="3875" t="s">
        <v>2147</v>
      </c>
      <c r="G56" s="3951" t="s">
        <v>2147</v>
      </c>
      <c r="H56" s="3952" t="s">
        <v>2147</v>
      </c>
      <c r="I56" s="3875" t="s">
        <v>2146</v>
      </c>
      <c r="J56" s="3875" t="str">
        <f>Summary2!D57</f>
        <v>NO</v>
      </c>
      <c r="K56" s="3875" t="s">
        <v>2147</v>
      </c>
      <c r="L56" s="3875" t="s">
        <v>2147</v>
      </c>
      <c r="M56" s="3951" t="s">
        <v>2147</v>
      </c>
      <c r="N56" s="3952" t="s">
        <v>2147</v>
      </c>
      <c r="O56" s="3879" t="s">
        <v>2146</v>
      </c>
      <c r="P56" s="3875" t="str">
        <f>Summary2!E57</f>
        <v>NO</v>
      </c>
      <c r="Q56" s="3875" t="s">
        <v>2147</v>
      </c>
      <c r="R56" s="3953" t="s">
        <v>2147</v>
      </c>
      <c r="S56" s="3954" t="s">
        <v>2147</v>
      </c>
      <c r="T56" s="3952" t="s">
        <v>2147</v>
      </c>
    </row>
    <row r="57" spans="2:21" ht="18" customHeight="1" thickBot="1" x14ac:dyDescent="0.25">
      <c r="B57" s="2525"/>
      <c r="C57" s="3955"/>
      <c r="D57" s="3955"/>
      <c r="E57" s="3955"/>
      <c r="F57" s="3955"/>
      <c r="G57" s="3955"/>
      <c r="H57" s="3955"/>
      <c r="I57" s="3955"/>
      <c r="J57" s="3955"/>
      <c r="K57" s="3955"/>
      <c r="L57" s="3955"/>
      <c r="M57" s="3955"/>
      <c r="N57" s="3955"/>
      <c r="O57" s="3955"/>
      <c r="P57" s="3955"/>
      <c r="Q57" s="3955"/>
      <c r="R57" s="3956"/>
      <c r="S57" s="3956"/>
      <c r="T57" s="3955"/>
    </row>
    <row r="58" spans="2:21" ht="18" customHeight="1" x14ac:dyDescent="0.2">
      <c r="B58" s="2530" t="s">
        <v>1687</v>
      </c>
      <c r="C58" s="3957"/>
      <c r="D58" s="3958"/>
      <c r="E58" s="3959"/>
      <c r="F58" s="3959"/>
      <c r="G58" s="3959"/>
      <c r="H58" s="3960"/>
      <c r="I58" s="3961"/>
      <c r="J58" s="3962"/>
      <c r="K58" s="3959"/>
      <c r="L58" s="3959"/>
      <c r="M58" s="3959"/>
      <c r="N58" s="3960"/>
      <c r="O58" s="3963"/>
      <c r="P58" s="3962"/>
      <c r="Q58" s="3959"/>
      <c r="R58" s="3964"/>
      <c r="S58" s="3964"/>
      <c r="T58" s="3965"/>
    </row>
    <row r="59" spans="2:21" ht="18" customHeight="1" x14ac:dyDescent="0.2">
      <c r="B59" s="1409" t="s">
        <v>110</v>
      </c>
      <c r="C59" s="3847">
        <v>11554.7</v>
      </c>
      <c r="D59" s="3847">
        <f>Summary2!C60</f>
        <v>11554.7</v>
      </c>
      <c r="E59" s="3861">
        <f t="shared" ref="E59" si="66">IF(D59="NO",IF(C59="NO","NA",-C59),IF(C59="NO",D59,D59-C59))</f>
        <v>0</v>
      </c>
      <c r="F59" s="3861">
        <f t="shared" ref="F59" si="67">IF(E59="NA","NA",E59/C59*100)</f>
        <v>0</v>
      </c>
      <c r="G59" s="3862">
        <f>IF(E59="NA","NA",E59/Table8s2!$G$35*100)</f>
        <v>0</v>
      </c>
      <c r="H59" s="3863">
        <f>IF(E59="NA","NA",E59/Table8s2!$G$34*100)</f>
        <v>0</v>
      </c>
      <c r="I59" s="3847">
        <v>8.928225740000002</v>
      </c>
      <c r="J59" s="3847">
        <f>Summary2!D60</f>
        <v>8.9282257400000002</v>
      </c>
      <c r="K59" s="3861">
        <f t="shared" ref="K59:K61" si="68">IF(J59="NO",IF(I59="NO","NA",-I59),IF(I59="NO",J59,J59-I59))</f>
        <v>-1.7763568394002505E-15</v>
      </c>
      <c r="L59" s="3861">
        <f t="shared" ref="L59:L61" si="69">IF(K59="NA","NA",K59/I59*100)</f>
        <v>-1.9895966915821397E-14</v>
      </c>
      <c r="M59" s="3862">
        <f>IF(K59="NA","NA",K59/Table8s2!$G$35*100)</f>
        <v>-3.2894413790879931E-19</v>
      </c>
      <c r="N59" s="3863">
        <f>IF(K59="NA","NA",K59/Table8s2!$G$34*100)</f>
        <v>-2.8340520386263132E-19</v>
      </c>
      <c r="O59" s="3848">
        <v>34.692584586565644</v>
      </c>
      <c r="P59" s="3847">
        <f>Summary2!E60</f>
        <v>34.692584586565786</v>
      </c>
      <c r="Q59" s="3861">
        <f t="shared" ref="Q59" si="70">IF(P59="NO",IF(O59="NO","NA",-O59),IF(O59="NO",P59,P59-O59))</f>
        <v>1.4210854715202004E-13</v>
      </c>
      <c r="R59" s="3966">
        <f t="shared" ref="R59" si="71">IF(Q59="NA","NA",Q59/O59*100)</f>
        <v>4.0962225456978536E-13</v>
      </c>
      <c r="S59" s="3967">
        <f>IF(Q59="NA","NA",Q59/Table8s2!$G$35*100)</f>
        <v>2.6315531032703942E-17</v>
      </c>
      <c r="T59" s="3968">
        <f>IF(Q59="NA","NA",Q59/Table8s2!$G$34*100)</f>
        <v>2.2672416309010509E-17</v>
      </c>
    </row>
    <row r="60" spans="2:21" ht="18" customHeight="1" x14ac:dyDescent="0.2">
      <c r="B60" s="1410" t="s">
        <v>111</v>
      </c>
      <c r="C60" s="3847">
        <v>8393.76</v>
      </c>
      <c r="D60" s="3847">
        <f>Summary2!C61</f>
        <v>8393.76</v>
      </c>
      <c r="E60" s="3861">
        <f t="shared" ref="E60:E61" si="72">IF(D60="NO",IF(C60="NO","NA",-C60),IF(C60="NO",D60,D60-C60))</f>
        <v>0</v>
      </c>
      <c r="F60" s="3861">
        <f t="shared" ref="F60:F61" si="73">IF(E60="NA","NA",E60/C60*100)</f>
        <v>0</v>
      </c>
      <c r="G60" s="3862">
        <f>IF(E60="NA","NA",E60/Table8s2!$G$35*100)</f>
        <v>0</v>
      </c>
      <c r="H60" s="3863">
        <f>IF(E60="NA","NA",E60/Table8s2!$G$34*100)</f>
        <v>0</v>
      </c>
      <c r="I60" s="3847">
        <v>0.42182574</v>
      </c>
      <c r="J60" s="3847">
        <f>Summary2!D61</f>
        <v>0.42182574000000006</v>
      </c>
      <c r="K60" s="3861">
        <f t="shared" si="68"/>
        <v>5.5511151231257827E-17</v>
      </c>
      <c r="L60" s="3861">
        <f t="shared" si="69"/>
        <v>1.3159735399565192E-14</v>
      </c>
      <c r="M60" s="3862">
        <f>IF(K60="NA","NA",K60/Table8s2!$G$35*100)</f>
        <v>1.0279504309649978E-20</v>
      </c>
      <c r="N60" s="3863">
        <f>IF(K60="NA","NA",K60/Table8s2!$G$34*100)</f>
        <v>8.8564126207072288E-21</v>
      </c>
      <c r="O60" s="3848">
        <v>11.690584586565651</v>
      </c>
      <c r="P60" s="3847">
        <f>Summary2!E61</f>
        <v>11.690584586565787</v>
      </c>
      <c r="Q60" s="3861">
        <f t="shared" ref="Q60:Q61" si="74">IF(P60="NO",IF(O60="NO","NA",-O60),IF(O60="NO",P60,P60-O60))</f>
        <v>1.3677947663381929E-13</v>
      </c>
      <c r="R60" s="3966">
        <f t="shared" ref="R60:R61" si="75">IF(Q60="NA","NA",Q60/O60*100)</f>
        <v>1.169996894689088E-12</v>
      </c>
      <c r="S60" s="3967">
        <f>IF(Q60="NA","NA",Q60/Table8s2!$G$35*100)</f>
        <v>2.5328698618977547E-17</v>
      </c>
      <c r="T60" s="3968">
        <f>IF(Q60="NA","NA",Q60/Table8s2!$G$34*100)</f>
        <v>2.1822200697422615E-17</v>
      </c>
    </row>
    <row r="61" spans="2:21" ht="18" customHeight="1" x14ac:dyDescent="0.2">
      <c r="B61" s="1411" t="s">
        <v>1503</v>
      </c>
      <c r="C61" s="3847">
        <v>3160.94</v>
      </c>
      <c r="D61" s="3847">
        <f>Summary2!C62</f>
        <v>3160.9399999999996</v>
      </c>
      <c r="E61" s="3861">
        <f t="shared" si="72"/>
        <v>-4.5474735088646412E-13</v>
      </c>
      <c r="F61" s="3861">
        <f t="shared" si="73"/>
        <v>-1.4386459435688881E-14</v>
      </c>
      <c r="G61" s="3862">
        <f>IF(E61="NA","NA",E61/Table8s2!$G$35*100)</f>
        <v>-8.4209699304652623E-17</v>
      </c>
      <c r="H61" s="3863">
        <f>IF(E61="NA","NA",E61/Table8s2!$G$34*100)</f>
        <v>-7.2551732188833618E-17</v>
      </c>
      <c r="I61" s="3847">
        <v>8.5064000000000011</v>
      </c>
      <c r="J61" s="3847">
        <f>Summary2!D62</f>
        <v>8.5063999999999993</v>
      </c>
      <c r="K61" s="3861">
        <f t="shared" si="68"/>
        <v>-1.7763568394002505E-15</v>
      </c>
      <c r="L61" s="3861">
        <f t="shared" si="69"/>
        <v>-2.0882592393965137E-14</v>
      </c>
      <c r="M61" s="3862">
        <f>IF(K61="NA","NA",K61/Table8s2!$G$35*100)</f>
        <v>-3.2894413790879931E-19</v>
      </c>
      <c r="N61" s="3863">
        <f>IF(K61="NA","NA",K61/Table8s2!$G$34*100)</f>
        <v>-2.8340520386263132E-19</v>
      </c>
      <c r="O61" s="3848">
        <v>23.001999999999999</v>
      </c>
      <c r="P61" s="3847">
        <f>Summary2!E62</f>
        <v>23.001999999999999</v>
      </c>
      <c r="Q61" s="3861">
        <f t="shared" si="74"/>
        <v>0</v>
      </c>
      <c r="R61" s="3966">
        <f t="shared" si="75"/>
        <v>0</v>
      </c>
      <c r="S61" s="3967">
        <f>IF(Q61="NA","NA",Q61/Table8s2!$G$35*100)</f>
        <v>0</v>
      </c>
      <c r="T61" s="3968">
        <f>IF(Q61="NA","NA",Q61/Table8s2!$G$34*100)</f>
        <v>0</v>
      </c>
    </row>
    <row r="62" spans="2:21" ht="18" customHeight="1" x14ac:dyDescent="0.2">
      <c r="B62" s="1412" t="s">
        <v>113</v>
      </c>
      <c r="C62" s="3847" t="s">
        <v>2146</v>
      </c>
      <c r="D62" s="3847" t="str">
        <f>Summary2!C63</f>
        <v>NE</v>
      </c>
      <c r="E62" s="3861" t="s">
        <v>2147</v>
      </c>
      <c r="F62" s="3861" t="s">
        <v>2147</v>
      </c>
      <c r="G62" s="3862" t="s">
        <v>2147</v>
      </c>
      <c r="H62" s="3863" t="s">
        <v>2147</v>
      </c>
      <c r="I62" s="3847" t="s">
        <v>2146</v>
      </c>
      <c r="J62" s="3847" t="str">
        <f>Summary2!D63</f>
        <v>NE</v>
      </c>
      <c r="K62" s="3861" t="s">
        <v>2147</v>
      </c>
      <c r="L62" s="3861" t="s">
        <v>2147</v>
      </c>
      <c r="M62" s="3862" t="s">
        <v>2147</v>
      </c>
      <c r="N62" s="3863" t="s">
        <v>2147</v>
      </c>
      <c r="O62" s="3848" t="s">
        <v>2146</v>
      </c>
      <c r="P62" s="3847" t="str">
        <f>Summary2!E63</f>
        <v>NE</v>
      </c>
      <c r="Q62" s="3861" t="s">
        <v>2147</v>
      </c>
      <c r="R62" s="3966" t="s">
        <v>2147</v>
      </c>
      <c r="S62" s="3967" t="s">
        <v>2147</v>
      </c>
      <c r="T62" s="3968" t="s">
        <v>2147</v>
      </c>
    </row>
    <row r="63" spans="2:21" ht="18" customHeight="1" x14ac:dyDescent="0.2">
      <c r="B63" s="1409" t="s">
        <v>1688</v>
      </c>
      <c r="C63" s="3847">
        <v>19106.106086929158</v>
      </c>
      <c r="D63" s="3847">
        <f>Summary2!C64</f>
        <v>19106.106086929161</v>
      </c>
      <c r="E63" s="3861">
        <f t="shared" ref="E63:E65" si="76">IF(D63="NO",IF(C63="NO","NA",-C63),IF(C63="NO",D63,D63-C63))</f>
        <v>3.637978807091713E-12</v>
      </c>
      <c r="F63" s="3861">
        <f t="shared" ref="F63:F65" si="77">IF(E63="NA","NA",E63/C63*100)</f>
        <v>1.9040922260870945E-14</v>
      </c>
      <c r="G63" s="3862">
        <f>IF(E63="NA","NA",E63/Table8s2!$G$35*100)</f>
        <v>6.7367759443722098E-16</v>
      </c>
      <c r="H63" s="3863">
        <f>IF(E63="NA","NA",E63/Table8s2!$G$34*100)</f>
        <v>5.8041385751066894E-16</v>
      </c>
      <c r="I63" s="3969"/>
      <c r="J63" s="3969"/>
      <c r="K63" s="3970"/>
      <c r="L63" s="3970"/>
      <c r="M63" s="3971"/>
      <c r="N63" s="3972"/>
      <c r="O63" s="3973"/>
      <c r="P63" s="3969"/>
      <c r="Q63" s="3970"/>
      <c r="R63" s="3974"/>
      <c r="S63" s="3975"/>
      <c r="T63" s="3976"/>
    </row>
    <row r="64" spans="2:21" ht="18" customHeight="1" x14ac:dyDescent="0.2">
      <c r="B64" s="1413" t="s">
        <v>1689</v>
      </c>
      <c r="C64" s="3847" t="str">
        <f>D64</f>
        <v>NO</v>
      </c>
      <c r="D64" s="3849" t="str">
        <f>Summary2!C65</f>
        <v>NO</v>
      </c>
      <c r="E64" s="3861" t="str">
        <f t="shared" si="76"/>
        <v>NA</v>
      </c>
      <c r="F64" s="3861" t="str">
        <f t="shared" si="77"/>
        <v>NA</v>
      </c>
      <c r="G64" s="3862" t="str">
        <f>IF(E64="NA","NA",E64/Table8s2!$G$35*100)</f>
        <v>NA</v>
      </c>
      <c r="H64" s="3863" t="str">
        <f>IF(E64="NA","NA",E64/Table8s2!$G$34*100)</f>
        <v>NA</v>
      </c>
      <c r="I64" s="3969"/>
      <c r="J64" s="3969"/>
      <c r="K64" s="3969"/>
      <c r="L64" s="3969"/>
      <c r="M64" s="3978"/>
      <c r="N64" s="3976"/>
      <c r="O64" s="3979"/>
      <c r="P64" s="3980"/>
      <c r="Q64" s="3970"/>
      <c r="R64" s="3981"/>
      <c r="S64" s="3982"/>
      <c r="T64" s="3983"/>
    </row>
    <row r="65" spans="2:20" ht="18" customHeight="1" x14ac:dyDescent="0.2">
      <c r="B65" s="1414" t="s">
        <v>1505</v>
      </c>
      <c r="C65" s="3847">
        <v>-259071.09221357116</v>
      </c>
      <c r="D65" s="3849">
        <f>Summary2!C66</f>
        <v>-259123.55020694385</v>
      </c>
      <c r="E65" s="3977">
        <f t="shared" si="76"/>
        <v>-52.457993372692727</v>
      </c>
      <c r="F65" s="3984">
        <f t="shared" si="77"/>
        <v>2.0248493540702638E-2</v>
      </c>
      <c r="G65" s="3985">
        <f>IF(E65="NA","NA",E65/Table8s2!$G$35*100)</f>
        <v>-9.7141233245860419E-3</v>
      </c>
      <c r="H65" s="3986">
        <f>IF(E65="NA","NA",E65/Table8s2!$G$34*100)</f>
        <v>-8.3693028203905423E-3</v>
      </c>
      <c r="I65" s="3980"/>
      <c r="J65" s="3980"/>
      <c r="K65" s="3980"/>
      <c r="L65" s="3980"/>
      <c r="M65" s="3987"/>
      <c r="N65" s="3983"/>
      <c r="O65" s="3979"/>
      <c r="P65" s="3980"/>
      <c r="Q65" s="3988"/>
      <c r="R65" s="3981"/>
      <c r="S65" s="3982"/>
      <c r="T65" s="3983"/>
    </row>
    <row r="66" spans="2:20" ht="18" customHeight="1" thickBot="1" x14ac:dyDescent="0.3">
      <c r="B66" s="715" t="s">
        <v>1690</v>
      </c>
      <c r="C66" s="3989"/>
      <c r="D66" s="3989"/>
      <c r="E66" s="3990"/>
      <c r="F66" s="3991"/>
      <c r="G66" s="3992"/>
      <c r="H66" s="3993"/>
      <c r="I66" s="3994"/>
      <c r="J66" s="3995"/>
      <c r="K66" s="3994"/>
      <c r="L66" s="3996"/>
      <c r="M66" s="3997"/>
      <c r="N66" s="3998"/>
      <c r="O66" s="3873" t="s">
        <v>2313</v>
      </c>
      <c r="P66" s="3855" t="str">
        <f>Summary2!E67</f>
        <v>IE,NE,NO</v>
      </c>
      <c r="Q66" s="3999" t="s">
        <v>2147</v>
      </c>
      <c r="R66" s="4000" t="s">
        <v>2147</v>
      </c>
      <c r="S66" s="4001" t="s">
        <v>2147</v>
      </c>
      <c r="T66" s="4002" t="s">
        <v>2147</v>
      </c>
    </row>
    <row r="67" spans="2:20" ht="18" customHeight="1" thickBot="1" x14ac:dyDescent="0.25">
      <c r="B67" s="549"/>
      <c r="C67" s="4003"/>
      <c r="D67" s="4003"/>
      <c r="E67" s="4003"/>
      <c r="F67" s="4004"/>
      <c r="G67" s="4004"/>
      <c r="H67" s="4003"/>
      <c r="I67" s="4005"/>
      <c r="J67" s="4006"/>
      <c r="K67" s="4005"/>
      <c r="L67" s="4007"/>
      <c r="M67" s="4007"/>
      <c r="N67" s="4007"/>
      <c r="O67" s="4006"/>
      <c r="P67" s="4006"/>
      <c r="Q67" s="4005"/>
      <c r="R67" s="4006"/>
      <c r="S67" s="4006"/>
      <c r="T67" s="4006"/>
    </row>
    <row r="68" spans="2:20" ht="18" customHeight="1" thickBot="1" x14ac:dyDescent="0.3">
      <c r="B68" s="972" t="s">
        <v>1691</v>
      </c>
      <c r="C68" s="4008" t="s">
        <v>2312</v>
      </c>
      <c r="D68" s="4008" t="str">
        <f>Summary2!C69</f>
        <v>NE,NO</v>
      </c>
      <c r="E68" s="4009" t="s">
        <v>2147</v>
      </c>
      <c r="F68" s="4010" t="s">
        <v>2147</v>
      </c>
      <c r="G68" s="4010" t="s">
        <v>2147</v>
      </c>
      <c r="H68" s="4009" t="s">
        <v>2147</v>
      </c>
      <c r="I68" s="4011"/>
      <c r="J68" s="4012"/>
      <c r="K68" s="4011"/>
      <c r="L68" s="4013"/>
      <c r="M68" s="4013"/>
      <c r="N68" s="4013"/>
      <c r="O68" s="4012"/>
      <c r="P68" s="4012"/>
      <c r="Q68" s="4011"/>
      <c r="R68" s="4012"/>
      <c r="S68" s="4012"/>
      <c r="T68" s="4014"/>
    </row>
    <row r="70" spans="2:20" ht="15.75" customHeight="1" x14ac:dyDescent="0.2">
      <c r="B70" s="83" t="s">
        <v>1935</v>
      </c>
    </row>
    <row r="71" spans="2:20" ht="15.75" customHeight="1" x14ac:dyDescent="0.2">
      <c r="B71" s="83" t="s">
        <v>1934</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showGridLines="0" topLeftCell="A6" zoomScale="80" zoomScaleNormal="80" workbookViewId="0">
      <pane xSplit="2" ySplit="4" topLeftCell="C10" activePane="bottomRight" state="frozen"/>
      <selection activeCell="C11" sqref="C11"/>
      <selection pane="topRight" activeCell="C11" sqref="C11"/>
      <selection pane="bottomLeft" activeCell="C11" sqref="C11"/>
      <selection pane="bottomRight" activeCell="C10" sqref="C10"/>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1677</v>
      </c>
      <c r="C1" s="213"/>
      <c r="D1" s="213"/>
      <c r="E1" s="694"/>
      <c r="F1" s="695"/>
      <c r="G1" s="695"/>
      <c r="H1" s="695"/>
      <c r="I1" s="695"/>
      <c r="J1" s="695"/>
      <c r="K1" s="696"/>
      <c r="L1" s="714"/>
      <c r="M1" s="714"/>
      <c r="N1" s="618"/>
      <c r="O1" s="618"/>
      <c r="P1" s="618"/>
      <c r="Q1" s="618"/>
      <c r="S1" s="697"/>
      <c r="AF1" s="14" t="s">
        <v>2521</v>
      </c>
    </row>
    <row r="2" spans="2:32" ht="15.75" customHeight="1" x14ac:dyDescent="0.2">
      <c r="B2" s="3" t="s">
        <v>650</v>
      </c>
      <c r="C2" s="3" t="s">
        <v>1678</v>
      </c>
      <c r="D2" s="695"/>
      <c r="E2" s="695"/>
      <c r="F2" s="695"/>
      <c r="G2" s="695"/>
      <c r="H2" s="695"/>
      <c r="I2" s="695"/>
      <c r="J2" s="695"/>
      <c r="K2" s="695"/>
      <c r="L2" s="2495"/>
      <c r="M2" s="714"/>
      <c r="N2" s="618"/>
      <c r="O2" s="618"/>
      <c r="P2" s="618"/>
      <c r="Q2" s="618"/>
      <c r="R2" s="618"/>
      <c r="S2" s="618"/>
      <c r="AF2" s="14" t="s">
        <v>2522</v>
      </c>
    </row>
    <row r="3" spans="2:32" ht="15.75" x14ac:dyDescent="0.2">
      <c r="B3" s="3"/>
      <c r="D3" s="695"/>
      <c r="E3" s="695"/>
      <c r="F3" s="695"/>
      <c r="G3" s="695"/>
      <c r="H3" s="695"/>
      <c r="I3" s="695"/>
      <c r="J3" s="695"/>
      <c r="K3" s="695"/>
      <c r="L3" s="714"/>
      <c r="M3" s="714"/>
      <c r="N3" s="618"/>
      <c r="O3" s="618"/>
      <c r="P3" s="618"/>
      <c r="Q3" s="618"/>
      <c r="R3" s="618"/>
      <c r="S3" s="618"/>
      <c r="AF3" s="14" t="s">
        <v>2144</v>
      </c>
    </row>
    <row r="4" spans="2:32" ht="15.75" hidden="1" x14ac:dyDescent="0.2">
      <c r="B4" s="3"/>
      <c r="D4" s="695"/>
      <c r="E4" s="695"/>
      <c r="F4" s="695"/>
      <c r="G4" s="695"/>
      <c r="H4" s="695"/>
      <c r="I4" s="695"/>
      <c r="J4" s="695"/>
      <c r="K4" s="695"/>
      <c r="L4" s="714"/>
      <c r="M4" s="714"/>
      <c r="N4" s="618"/>
      <c r="O4" s="618"/>
      <c r="P4" s="618"/>
      <c r="Q4" s="618"/>
      <c r="R4" s="618"/>
      <c r="S4" s="618"/>
      <c r="AF4" s="2"/>
    </row>
    <row r="5" spans="2:32" ht="15.75" hidden="1" x14ac:dyDescent="0.2">
      <c r="B5" s="3"/>
      <c r="D5" s="695"/>
      <c r="E5" s="695"/>
      <c r="F5" s="695"/>
      <c r="G5" s="695"/>
      <c r="H5" s="695"/>
      <c r="I5" s="695"/>
      <c r="J5" s="695"/>
      <c r="K5" s="695"/>
      <c r="L5" s="714"/>
      <c r="M5" s="714"/>
      <c r="N5" s="618"/>
      <c r="O5" s="618"/>
      <c r="P5" s="618"/>
      <c r="Q5" s="618"/>
      <c r="R5" s="618"/>
      <c r="S5" s="618"/>
      <c r="AF5" s="2"/>
    </row>
    <row r="6" spans="2:32" ht="15.75" customHeight="1" thickBot="1" x14ac:dyDescent="0.25">
      <c r="B6" s="2452" t="s">
        <v>64</v>
      </c>
      <c r="D6" s="695"/>
      <c r="E6" s="695"/>
      <c r="F6" s="695"/>
      <c r="G6" s="695"/>
      <c r="H6" s="695"/>
      <c r="I6" s="695"/>
      <c r="J6" s="695"/>
      <c r="K6" s="695"/>
      <c r="L6" s="714"/>
      <c r="M6" s="714"/>
      <c r="N6" s="618"/>
      <c r="O6" s="618"/>
      <c r="P6" s="618"/>
      <c r="Q6" s="618"/>
      <c r="R6" s="618"/>
      <c r="S6" s="618"/>
    </row>
    <row r="7" spans="2:32" ht="17.25" customHeight="1" x14ac:dyDescent="0.2">
      <c r="B7" s="1941"/>
      <c r="C7" s="1942" t="s">
        <v>1539</v>
      </c>
      <c r="D7" s="1943"/>
      <c r="E7" s="1943"/>
      <c r="F7" s="1943"/>
      <c r="G7" s="1943"/>
      <c r="H7" s="1944"/>
      <c r="I7" s="1943" t="s">
        <v>1511</v>
      </c>
      <c r="J7" s="1943"/>
      <c r="K7" s="1943"/>
      <c r="L7" s="1943"/>
      <c r="M7" s="1943"/>
      <c r="N7" s="1944"/>
      <c r="O7" s="1942" t="s">
        <v>1512</v>
      </c>
      <c r="P7" s="1943"/>
      <c r="Q7" s="1943"/>
      <c r="R7" s="1943"/>
      <c r="S7" s="1943"/>
      <c r="T7" s="1944"/>
      <c r="U7" s="1942" t="s">
        <v>2125</v>
      </c>
      <c r="V7" s="1943"/>
      <c r="W7" s="1943"/>
      <c r="X7" s="1943"/>
      <c r="Y7" s="1943"/>
      <c r="Z7" s="1944"/>
      <c r="AA7" s="1942" t="s">
        <v>1692</v>
      </c>
      <c r="AB7" s="1943"/>
      <c r="AC7" s="1943"/>
      <c r="AD7" s="1943"/>
      <c r="AE7" s="1943"/>
      <c r="AF7" s="1944"/>
    </row>
    <row r="8" spans="2:32" ht="80.099999999999994" customHeight="1" x14ac:dyDescent="0.2">
      <c r="B8" s="1945" t="s">
        <v>65</v>
      </c>
      <c r="C8" s="1946" t="s">
        <v>1682</v>
      </c>
      <c r="D8" s="1947" t="s">
        <v>1683</v>
      </c>
      <c r="E8" s="1947" t="s">
        <v>1684</v>
      </c>
      <c r="F8" s="1947" t="s">
        <v>2001</v>
      </c>
      <c r="G8" s="704" t="s">
        <v>2142</v>
      </c>
      <c r="H8" s="705" t="s">
        <v>2143</v>
      </c>
      <c r="I8" s="1947" t="s">
        <v>1682</v>
      </c>
      <c r="J8" s="1947" t="s">
        <v>1683</v>
      </c>
      <c r="K8" s="1947" t="s">
        <v>1684</v>
      </c>
      <c r="L8" s="1947" t="s">
        <v>2001</v>
      </c>
      <c r="M8" s="704" t="s">
        <v>2142</v>
      </c>
      <c r="N8" s="705" t="s">
        <v>2143</v>
      </c>
      <c r="O8" s="1947" t="s">
        <v>1682</v>
      </c>
      <c r="P8" s="1947" t="s">
        <v>1683</v>
      </c>
      <c r="Q8" s="1948" t="s">
        <v>1684</v>
      </c>
      <c r="R8" s="1947" t="s">
        <v>2001</v>
      </c>
      <c r="S8" s="704" t="s">
        <v>2142</v>
      </c>
      <c r="T8" s="705" t="s">
        <v>2143</v>
      </c>
      <c r="U8" s="1946" t="s">
        <v>1682</v>
      </c>
      <c r="V8" s="1947" t="s">
        <v>1683</v>
      </c>
      <c r="W8" s="1948" t="s">
        <v>1684</v>
      </c>
      <c r="X8" s="1947" t="s">
        <v>2001</v>
      </c>
      <c r="Y8" s="704" t="s">
        <v>2142</v>
      </c>
      <c r="Z8" s="705" t="s">
        <v>2143</v>
      </c>
      <c r="AA8" s="1947" t="s">
        <v>1682</v>
      </c>
      <c r="AB8" s="1947" t="s">
        <v>1683</v>
      </c>
      <c r="AC8" s="1948" t="s">
        <v>1684</v>
      </c>
      <c r="AD8" s="1947" t="s">
        <v>2001</v>
      </c>
      <c r="AE8" s="704" t="s">
        <v>2142</v>
      </c>
      <c r="AF8" s="705" t="s">
        <v>2143</v>
      </c>
    </row>
    <row r="9" spans="2:32" ht="18" customHeight="1" thickBot="1" x14ac:dyDescent="0.25">
      <c r="B9" s="1949"/>
      <c r="C9" s="2299" t="s">
        <v>1685</v>
      </c>
      <c r="D9" s="1937"/>
      <c r="E9" s="1938"/>
      <c r="F9" s="1936" t="s">
        <v>297</v>
      </c>
      <c r="G9" s="1937"/>
      <c r="H9" s="1939"/>
      <c r="I9" s="1936" t="s">
        <v>1685</v>
      </c>
      <c r="J9" s="1937"/>
      <c r="K9" s="1938"/>
      <c r="L9" s="1936" t="s">
        <v>297</v>
      </c>
      <c r="M9" s="1937"/>
      <c r="N9" s="1939"/>
      <c r="O9" s="1936" t="s">
        <v>1685</v>
      </c>
      <c r="P9" s="1937"/>
      <c r="Q9" s="1938"/>
      <c r="R9" s="1936" t="s">
        <v>297</v>
      </c>
      <c r="S9" s="1937"/>
      <c r="T9" s="1939"/>
      <c r="U9" s="2299" t="s">
        <v>1685</v>
      </c>
      <c r="V9" s="1937"/>
      <c r="W9" s="1938"/>
      <c r="X9" s="1936" t="s">
        <v>297</v>
      </c>
      <c r="Y9" s="1937"/>
      <c r="Z9" s="1939"/>
      <c r="AA9" s="1936" t="s">
        <v>1685</v>
      </c>
      <c r="AB9" s="1937"/>
      <c r="AC9" s="1938"/>
      <c r="AD9" s="1936" t="s">
        <v>297</v>
      </c>
      <c r="AE9" s="1937"/>
      <c r="AF9" s="1939"/>
    </row>
    <row r="10" spans="2:32" ht="18" customHeight="1" thickTop="1" x14ac:dyDescent="0.2">
      <c r="B10" s="1950" t="s">
        <v>1693</v>
      </c>
      <c r="C10" s="4018">
        <f>IF(SUM(C11:C30)=0,"NO",SUM(C11:C30))</f>
        <v>4108.7147366727804</v>
      </c>
      <c r="D10" s="4019">
        <f>IF(SUM(D11:D30)=0,"NO",SUM(D11:D30))</f>
        <v>4108.7147366727786</v>
      </c>
      <c r="E10" s="4019">
        <f>IF(D10="NO",IF(C10="NO","NA",-C10),IF(C10="NO",D10,D10-C10))</f>
        <v>-1.8189894035458565E-12</v>
      </c>
      <c r="F10" s="4019">
        <f>IF(E10="NA","NA",E10/C10*100)</f>
        <v>-4.4271494131979244E-14</v>
      </c>
      <c r="G10" s="4020">
        <f>IF(E10="NA","NA",E10/$G$35*100)</f>
        <v>-3.3683879721861049E-16</v>
      </c>
      <c r="H10" s="4021">
        <f>IF(E10="NA","NA",E10/$G$34*100)</f>
        <v>-2.9020692875533447E-16</v>
      </c>
      <c r="I10" s="4022">
        <f>IF(SUM(I11:I30)=0,"NO",SUM(I11:I30))</f>
        <v>617.93925336459711</v>
      </c>
      <c r="J10" s="4022">
        <f>IF(SUM(J11:J30)=0,"NO",SUM(J11:J30))</f>
        <v>617.93925336459722</v>
      </c>
      <c r="K10" s="4019">
        <f>IF(J10="NO",IF(I10="NO","NA",-I10),IF(I10="NO",J10,J10-I10))</f>
        <v>1.1368683772161603E-13</v>
      </c>
      <c r="L10" s="4019">
        <f>IF(K10="NA","NA",K10/I10*100)</f>
        <v>1.8397736849149218E-14</v>
      </c>
      <c r="M10" s="4020">
        <f>IF(K10="NA","NA",K10/$G$35*100)</f>
        <v>2.1052424826163156E-17</v>
      </c>
      <c r="N10" s="4021">
        <f>IF(K10="NA","NA",K10/$G$34*100)</f>
        <v>1.8137933047208404E-17</v>
      </c>
      <c r="O10" s="4018" t="s">
        <v>2146</v>
      </c>
      <c r="P10" s="4019" t="s">
        <v>2146</v>
      </c>
      <c r="Q10" s="4019" t="s">
        <v>2147</v>
      </c>
      <c r="R10" s="4023" t="s">
        <v>2147</v>
      </c>
      <c r="S10" s="4024" t="s">
        <v>2147</v>
      </c>
      <c r="T10" s="4021" t="s">
        <v>2147</v>
      </c>
      <c r="U10" s="4018">
        <f>IF(SUM(U11:U30)=0,"NO",SUM(U11:U30))</f>
        <v>191.78131355969191</v>
      </c>
      <c r="V10" s="4019">
        <f>IF(SUM(V11:V30)=0,"NO",SUM(V11:V30))</f>
        <v>191.78131355969188</v>
      </c>
      <c r="W10" s="4019">
        <f>IF(V10="NO",IF(U10="NO","NA",-U10),IF(U10="NO",V10,V10-U10))</f>
        <v>-2.8421709430404007E-14</v>
      </c>
      <c r="X10" s="4023">
        <f>IF(W10="NA","NA",W10/U10*100)</f>
        <v>-1.481985335425172E-14</v>
      </c>
      <c r="Y10" s="4024">
        <f>IF(W10="NA","NA",W10/$G$35*100)</f>
        <v>-5.2631062065407889E-18</v>
      </c>
      <c r="Z10" s="4021">
        <f>IF(W10="NA","NA",W10/$G$34*100)</f>
        <v>-4.5344832618021011E-18</v>
      </c>
      <c r="AA10" s="4019" t="s">
        <v>2146</v>
      </c>
      <c r="AB10" s="4019" t="s">
        <v>2146</v>
      </c>
      <c r="AC10" s="4019" t="s">
        <v>2147</v>
      </c>
      <c r="AD10" s="4023" t="s">
        <v>2147</v>
      </c>
      <c r="AE10" s="4024" t="s">
        <v>2147</v>
      </c>
      <c r="AF10" s="4021" t="s">
        <v>2147</v>
      </c>
    </row>
    <row r="11" spans="2:32" ht="18" customHeight="1" x14ac:dyDescent="0.2">
      <c r="B11" s="1951" t="s">
        <v>1694</v>
      </c>
      <c r="C11" s="3848" t="s">
        <v>2146</v>
      </c>
      <c r="D11" s="3847" t="str">
        <f>'Table2(I)'!F25</f>
        <v>NO</v>
      </c>
      <c r="E11" s="3847" t="str">
        <f>IF(D11="NO",IF(C11="NO","NA",-C11),IF(C11="NO",D11,D11-C11))</f>
        <v>NA</v>
      </c>
      <c r="F11" s="4016" t="str">
        <f>IF(E11="NA","NA",E11/C11*100)</f>
        <v>NA</v>
      </c>
      <c r="G11" s="3871" t="str">
        <f>IF(E11="NA","NA",E11/$G$35*100)</f>
        <v>NA</v>
      </c>
      <c r="H11" s="3872" t="str">
        <f>IF(E11="NA","NA",E11/$G$34*100)</f>
        <v>NA</v>
      </c>
      <c r="I11" s="4017" t="s">
        <v>2146</v>
      </c>
      <c r="J11" s="3847" t="s">
        <v>2146</v>
      </c>
      <c r="K11" s="3839" t="s">
        <v>2147</v>
      </c>
      <c r="L11" s="4025" t="s">
        <v>2147</v>
      </c>
      <c r="M11" s="4026" t="s">
        <v>2147</v>
      </c>
      <c r="N11" s="3845" t="s">
        <v>2147</v>
      </c>
      <c r="O11" s="3848" t="s">
        <v>2146</v>
      </c>
      <c r="P11" s="3847" t="s">
        <v>2146</v>
      </c>
      <c r="Q11" s="3847" t="s">
        <v>2147</v>
      </c>
      <c r="R11" s="4027" t="s">
        <v>2147</v>
      </c>
      <c r="S11" s="4028" t="s">
        <v>2147</v>
      </c>
      <c r="T11" s="3872" t="s">
        <v>2147</v>
      </c>
      <c r="U11" s="3848" t="s">
        <v>2146</v>
      </c>
      <c r="V11" s="3847" t="s">
        <v>2146</v>
      </c>
      <c r="W11" s="3847" t="s">
        <v>2147</v>
      </c>
      <c r="X11" s="4027" t="s">
        <v>2147</v>
      </c>
      <c r="Y11" s="4028" t="s">
        <v>2147</v>
      </c>
      <c r="Z11" s="3872" t="s">
        <v>2147</v>
      </c>
      <c r="AA11" s="3847" t="s">
        <v>2146</v>
      </c>
      <c r="AB11" s="3847" t="s">
        <v>2146</v>
      </c>
      <c r="AC11" s="3847" t="s">
        <v>2147</v>
      </c>
      <c r="AD11" s="4027" t="s">
        <v>2147</v>
      </c>
      <c r="AE11" s="4028" t="s">
        <v>2147</v>
      </c>
      <c r="AF11" s="3872" t="s">
        <v>2147</v>
      </c>
    </row>
    <row r="12" spans="2:32" ht="18" customHeight="1" x14ac:dyDescent="0.2">
      <c r="B12" s="1951" t="s">
        <v>599</v>
      </c>
      <c r="C12" s="3854" t="s">
        <v>2146</v>
      </c>
      <c r="D12" s="3849" t="s">
        <v>2146</v>
      </c>
      <c r="E12" s="3849" t="s">
        <v>2147</v>
      </c>
      <c r="F12" s="3849" t="s">
        <v>2147</v>
      </c>
      <c r="G12" s="4029" t="s">
        <v>2147</v>
      </c>
      <c r="H12" s="4030" t="s">
        <v>2147</v>
      </c>
      <c r="I12" s="4017" t="s">
        <v>2146</v>
      </c>
      <c r="J12" s="3847" t="s">
        <v>2146</v>
      </c>
      <c r="K12" s="3839" t="s">
        <v>2147</v>
      </c>
      <c r="L12" s="4025" t="s">
        <v>2147</v>
      </c>
      <c r="M12" s="4026" t="s">
        <v>2147</v>
      </c>
      <c r="N12" s="3845" t="s">
        <v>2147</v>
      </c>
      <c r="O12" s="3848" t="s">
        <v>2146</v>
      </c>
      <c r="P12" s="3847" t="s">
        <v>2146</v>
      </c>
      <c r="Q12" s="3847" t="s">
        <v>2147</v>
      </c>
      <c r="R12" s="4031" t="s">
        <v>2147</v>
      </c>
      <c r="S12" s="4032" t="s">
        <v>2147</v>
      </c>
      <c r="T12" s="3872" t="s">
        <v>2147</v>
      </c>
      <c r="U12" s="3848" t="s">
        <v>2146</v>
      </c>
      <c r="V12" s="3847" t="s">
        <v>2146</v>
      </c>
      <c r="W12" s="3847" t="s">
        <v>2147</v>
      </c>
      <c r="X12" s="4027" t="s">
        <v>2147</v>
      </c>
      <c r="Y12" s="4028" t="s">
        <v>2147</v>
      </c>
      <c r="Z12" s="3872" t="s">
        <v>2147</v>
      </c>
      <c r="AA12" s="3848" t="s">
        <v>2146</v>
      </c>
      <c r="AB12" s="3847" t="s">
        <v>2146</v>
      </c>
      <c r="AC12" s="3847" t="s">
        <v>2147</v>
      </c>
      <c r="AD12" s="4031" t="s">
        <v>2147</v>
      </c>
      <c r="AE12" s="4032" t="s">
        <v>2147</v>
      </c>
      <c r="AF12" s="3872" t="s">
        <v>2147</v>
      </c>
    </row>
    <row r="13" spans="2:32" ht="18" customHeight="1" x14ac:dyDescent="0.2">
      <c r="B13" s="1951" t="s">
        <v>532</v>
      </c>
      <c r="C13" s="4033"/>
      <c r="D13" s="4034"/>
      <c r="E13" s="4034"/>
      <c r="F13" s="4034"/>
      <c r="G13" s="4034"/>
      <c r="H13" s="4035"/>
      <c r="I13" s="4017">
        <v>617.93925336459711</v>
      </c>
      <c r="J13" s="3839">
        <f>'Table2(II)'!AH41</f>
        <v>617.93925336459722</v>
      </c>
      <c r="K13" s="3847">
        <f>IF(J13="NO",IF(I13="NO","NA",-I13),IF(I13="NO",J13,J13-I13))</f>
        <v>1.1368683772161603E-13</v>
      </c>
      <c r="L13" s="4016">
        <f>IF(K13="NA","NA",K13/I13*100)</f>
        <v>1.8397736849149218E-14</v>
      </c>
      <c r="M13" s="3871">
        <f>IF(K13="NA","NA",K13/$G$35*100)</f>
        <v>2.1052424826163156E-17</v>
      </c>
      <c r="N13" s="3872">
        <f>IF(K13="NA","NA",K13/$G$34*100)</f>
        <v>1.8137933047208404E-17</v>
      </c>
      <c r="O13" s="3901"/>
      <c r="P13" s="3902"/>
      <c r="Q13" s="3902"/>
      <c r="R13" s="4036"/>
      <c r="S13" s="4034"/>
      <c r="T13" s="4037"/>
      <c r="U13" s="3848" t="s">
        <v>2146</v>
      </c>
      <c r="V13" s="3847" t="s">
        <v>2146</v>
      </c>
      <c r="W13" s="3847" t="s">
        <v>2147</v>
      </c>
      <c r="X13" s="4027" t="s">
        <v>2147</v>
      </c>
      <c r="Y13" s="4028" t="s">
        <v>2147</v>
      </c>
      <c r="Z13" s="3872" t="s">
        <v>2147</v>
      </c>
      <c r="AA13" s="3902"/>
      <c r="AB13" s="3902"/>
      <c r="AC13" s="3902"/>
      <c r="AD13" s="4036"/>
      <c r="AE13" s="4034"/>
      <c r="AF13" s="4037"/>
    </row>
    <row r="14" spans="2:32" ht="18" customHeight="1" x14ac:dyDescent="0.2">
      <c r="B14" s="1951" t="s">
        <v>533</v>
      </c>
      <c r="C14" s="3848" t="s">
        <v>2146</v>
      </c>
      <c r="D14" s="3847" t="s">
        <v>2146</v>
      </c>
      <c r="E14" s="3847" t="s">
        <v>2147</v>
      </c>
      <c r="F14" s="3847" t="s">
        <v>2147</v>
      </c>
      <c r="G14" s="3871" t="s">
        <v>2147</v>
      </c>
      <c r="H14" s="3872" t="s">
        <v>2147</v>
      </c>
      <c r="I14" s="4017" t="s">
        <v>2146</v>
      </c>
      <c r="J14" s="3839" t="s">
        <v>2146</v>
      </c>
      <c r="K14" s="3839" t="s">
        <v>2147</v>
      </c>
      <c r="L14" s="4025" t="s">
        <v>2147</v>
      </c>
      <c r="M14" s="4026" t="s">
        <v>2147</v>
      </c>
      <c r="N14" s="3845" t="s">
        <v>2147</v>
      </c>
      <c r="O14" s="3848" t="s">
        <v>2146</v>
      </c>
      <c r="P14" s="3847" t="s">
        <v>2146</v>
      </c>
      <c r="Q14" s="3847" t="s">
        <v>2147</v>
      </c>
      <c r="R14" s="4027" t="s">
        <v>2147</v>
      </c>
      <c r="S14" s="4028" t="s">
        <v>2147</v>
      </c>
      <c r="T14" s="3872" t="s">
        <v>2147</v>
      </c>
      <c r="U14" s="3848" t="s">
        <v>2146</v>
      </c>
      <c r="V14" s="3847" t="str">
        <f>IFERROR('Table2(I)'!I31*23500,'Table2(I)'!I31)</f>
        <v>NO</v>
      </c>
      <c r="W14" s="3847" t="str">
        <f>IF(V14="NO",IF(U14="NO","NA",-U14),IF(U14="NO",V14,V14-U14))</f>
        <v>NA</v>
      </c>
      <c r="X14" s="4016" t="str">
        <f>IF(W14="NA","NA",W14/U14*100)</f>
        <v>NA</v>
      </c>
      <c r="Y14" s="3871" t="str">
        <f>IF(W14="NA","NA",W14/$G$35*100)</f>
        <v>NA</v>
      </c>
      <c r="Z14" s="3872" t="str">
        <f>IF(W14="NA","NA",W14/$G$34*100)</f>
        <v>NA</v>
      </c>
      <c r="AA14" s="3902"/>
      <c r="AB14" s="3902"/>
      <c r="AC14" s="3902"/>
      <c r="AD14" s="4036"/>
      <c r="AE14" s="4034"/>
      <c r="AF14" s="4037"/>
    </row>
    <row r="15" spans="2:32" ht="18" customHeight="1" x14ac:dyDescent="0.2">
      <c r="B15" s="1951" t="s">
        <v>536</v>
      </c>
      <c r="C15" s="3848" t="s">
        <v>2146</v>
      </c>
      <c r="D15" s="3847" t="s">
        <v>2146</v>
      </c>
      <c r="E15" s="3847" t="s">
        <v>2147</v>
      </c>
      <c r="F15" s="3847" t="s">
        <v>2147</v>
      </c>
      <c r="G15" s="3871" t="s">
        <v>2147</v>
      </c>
      <c r="H15" s="3872" t="s">
        <v>2147</v>
      </c>
      <c r="I15" s="4017" t="s">
        <v>2146</v>
      </c>
      <c r="J15" s="3839" t="s">
        <v>2146</v>
      </c>
      <c r="K15" s="3839" t="s">
        <v>2147</v>
      </c>
      <c r="L15" s="4025" t="s">
        <v>2147</v>
      </c>
      <c r="M15" s="4026" t="s">
        <v>2147</v>
      </c>
      <c r="N15" s="3845" t="s">
        <v>2147</v>
      </c>
      <c r="O15" s="3848" t="s">
        <v>2146</v>
      </c>
      <c r="P15" s="3847" t="s">
        <v>2146</v>
      </c>
      <c r="Q15" s="3847" t="s">
        <v>2147</v>
      </c>
      <c r="R15" s="4027" t="s">
        <v>2147</v>
      </c>
      <c r="S15" s="4028" t="s">
        <v>2147</v>
      </c>
      <c r="T15" s="3872" t="s">
        <v>2147</v>
      </c>
      <c r="U15" s="3848" t="s">
        <v>2146</v>
      </c>
      <c r="V15" s="3847" t="s">
        <v>2146</v>
      </c>
      <c r="W15" s="3847" t="s">
        <v>2147</v>
      </c>
      <c r="X15" s="4027" t="s">
        <v>2147</v>
      </c>
      <c r="Y15" s="4028" t="s">
        <v>2147</v>
      </c>
      <c r="Z15" s="3872" t="s">
        <v>2147</v>
      </c>
      <c r="AA15" s="3847" t="s">
        <v>2146</v>
      </c>
      <c r="AB15" s="3847" t="s">
        <v>2146</v>
      </c>
      <c r="AC15" s="3847" t="s">
        <v>2147</v>
      </c>
      <c r="AD15" s="4027" t="s">
        <v>2147</v>
      </c>
      <c r="AE15" s="4028" t="s">
        <v>2147</v>
      </c>
      <c r="AF15" s="3872" t="s">
        <v>2147</v>
      </c>
    </row>
    <row r="16" spans="2:32" ht="18" customHeight="1" x14ac:dyDescent="0.2">
      <c r="B16" s="1952" t="s">
        <v>470</v>
      </c>
      <c r="C16" s="3848" t="s">
        <v>2146</v>
      </c>
      <c r="D16" s="3847" t="s">
        <v>2146</v>
      </c>
      <c r="E16" s="3847" t="s">
        <v>2147</v>
      </c>
      <c r="F16" s="3847" t="s">
        <v>2147</v>
      </c>
      <c r="G16" s="3871" t="s">
        <v>2147</v>
      </c>
      <c r="H16" s="3872" t="s">
        <v>2147</v>
      </c>
      <c r="I16" s="4017" t="s">
        <v>2146</v>
      </c>
      <c r="J16" s="3839" t="s">
        <v>2146</v>
      </c>
      <c r="K16" s="3839" t="s">
        <v>2147</v>
      </c>
      <c r="L16" s="4025" t="s">
        <v>2147</v>
      </c>
      <c r="M16" s="4026" t="s">
        <v>2147</v>
      </c>
      <c r="N16" s="3845" t="s">
        <v>2147</v>
      </c>
      <c r="O16" s="3848" t="s">
        <v>2146</v>
      </c>
      <c r="P16" s="3847" t="s">
        <v>2146</v>
      </c>
      <c r="Q16" s="3847" t="s">
        <v>2147</v>
      </c>
      <c r="R16" s="4027" t="s">
        <v>2147</v>
      </c>
      <c r="S16" s="4028" t="s">
        <v>2147</v>
      </c>
      <c r="T16" s="3872" t="s">
        <v>2147</v>
      </c>
      <c r="U16" s="3848" t="s">
        <v>2146</v>
      </c>
      <c r="V16" s="3847" t="s">
        <v>2146</v>
      </c>
      <c r="W16" s="3847" t="s">
        <v>2147</v>
      </c>
      <c r="X16" s="4027" t="s">
        <v>2147</v>
      </c>
      <c r="Y16" s="4028" t="s">
        <v>2147</v>
      </c>
      <c r="Z16" s="3872" t="s">
        <v>2147</v>
      </c>
      <c r="AA16" s="3847" t="s">
        <v>2146</v>
      </c>
      <c r="AB16" s="3847" t="s">
        <v>2146</v>
      </c>
      <c r="AC16" s="3847" t="s">
        <v>2147</v>
      </c>
      <c r="AD16" s="4027" t="s">
        <v>2147</v>
      </c>
      <c r="AE16" s="4028" t="s">
        <v>2147</v>
      </c>
      <c r="AF16" s="3872" t="s">
        <v>2147</v>
      </c>
    </row>
    <row r="17" spans="2:32" ht="18" customHeight="1" x14ac:dyDescent="0.2">
      <c r="B17" s="1951" t="s">
        <v>471</v>
      </c>
      <c r="C17" s="3848" t="s">
        <v>2146</v>
      </c>
      <c r="D17" s="3847" t="s">
        <v>2146</v>
      </c>
      <c r="E17" s="3847" t="s">
        <v>2147</v>
      </c>
      <c r="F17" s="3847" t="s">
        <v>2147</v>
      </c>
      <c r="G17" s="3871" t="s">
        <v>2147</v>
      </c>
      <c r="H17" s="3872" t="s">
        <v>2147</v>
      </c>
      <c r="I17" s="4017" t="s">
        <v>2146</v>
      </c>
      <c r="J17" s="3839" t="s">
        <v>2146</v>
      </c>
      <c r="K17" s="3839" t="s">
        <v>2147</v>
      </c>
      <c r="L17" s="4025" t="s">
        <v>2147</v>
      </c>
      <c r="M17" s="4026" t="s">
        <v>2147</v>
      </c>
      <c r="N17" s="3845" t="s">
        <v>2147</v>
      </c>
      <c r="O17" s="3848" t="s">
        <v>2146</v>
      </c>
      <c r="P17" s="3847" t="s">
        <v>2146</v>
      </c>
      <c r="Q17" s="3847" t="s">
        <v>2147</v>
      </c>
      <c r="R17" s="4027" t="s">
        <v>2147</v>
      </c>
      <c r="S17" s="4028" t="s">
        <v>2147</v>
      </c>
      <c r="T17" s="3872" t="s">
        <v>2147</v>
      </c>
      <c r="U17" s="3848" t="s">
        <v>2146</v>
      </c>
      <c r="V17" s="3847" t="s">
        <v>2146</v>
      </c>
      <c r="W17" s="3847" t="s">
        <v>2147</v>
      </c>
      <c r="X17" s="4027" t="s">
        <v>2147</v>
      </c>
      <c r="Y17" s="4028" t="s">
        <v>2147</v>
      </c>
      <c r="Z17" s="3872" t="s">
        <v>2147</v>
      </c>
      <c r="AA17" s="3847" t="s">
        <v>2146</v>
      </c>
      <c r="AB17" s="3847" t="s">
        <v>2146</v>
      </c>
      <c r="AC17" s="3847" t="s">
        <v>2147</v>
      </c>
      <c r="AD17" s="4027" t="s">
        <v>2147</v>
      </c>
      <c r="AE17" s="4028" t="s">
        <v>2147</v>
      </c>
      <c r="AF17" s="3872" t="s">
        <v>2147</v>
      </c>
    </row>
    <row r="18" spans="2:32" ht="18" customHeight="1" x14ac:dyDescent="0.2">
      <c r="B18" s="1951" t="s">
        <v>472</v>
      </c>
      <c r="C18" s="3848" t="s">
        <v>2146</v>
      </c>
      <c r="D18" s="3847" t="s">
        <v>2146</v>
      </c>
      <c r="E18" s="3847" t="s">
        <v>2147</v>
      </c>
      <c r="F18" s="3847" t="s">
        <v>2147</v>
      </c>
      <c r="G18" s="3871" t="s">
        <v>2147</v>
      </c>
      <c r="H18" s="3872" t="s">
        <v>2147</v>
      </c>
      <c r="I18" s="4017" t="s">
        <v>2146</v>
      </c>
      <c r="J18" s="3839" t="s">
        <v>2146</v>
      </c>
      <c r="K18" s="3839" t="s">
        <v>2147</v>
      </c>
      <c r="L18" s="4025" t="s">
        <v>2147</v>
      </c>
      <c r="M18" s="4026" t="s">
        <v>2147</v>
      </c>
      <c r="N18" s="3845" t="s">
        <v>2147</v>
      </c>
      <c r="O18" s="3848" t="s">
        <v>2146</v>
      </c>
      <c r="P18" s="3847" t="s">
        <v>2146</v>
      </c>
      <c r="Q18" s="3847" t="s">
        <v>2147</v>
      </c>
      <c r="R18" s="4027" t="s">
        <v>2147</v>
      </c>
      <c r="S18" s="4028" t="s">
        <v>2147</v>
      </c>
      <c r="T18" s="3872" t="s">
        <v>2147</v>
      </c>
      <c r="U18" s="3848" t="s">
        <v>2146</v>
      </c>
      <c r="V18" s="3847" t="s">
        <v>2146</v>
      </c>
      <c r="W18" s="3847" t="s">
        <v>2147</v>
      </c>
      <c r="X18" s="4027" t="s">
        <v>2147</v>
      </c>
      <c r="Y18" s="4028" t="s">
        <v>2147</v>
      </c>
      <c r="Z18" s="3872" t="s">
        <v>2147</v>
      </c>
      <c r="AA18" s="3847" t="s">
        <v>2146</v>
      </c>
      <c r="AB18" s="3847" t="s">
        <v>2146</v>
      </c>
      <c r="AC18" s="3847" t="s">
        <v>2147</v>
      </c>
      <c r="AD18" s="4027" t="s">
        <v>2147</v>
      </c>
      <c r="AE18" s="4028" t="s">
        <v>2147</v>
      </c>
      <c r="AF18" s="3872" t="s">
        <v>2147</v>
      </c>
    </row>
    <row r="19" spans="2:32" ht="18" customHeight="1" x14ac:dyDescent="0.2">
      <c r="B19" s="1951" t="s">
        <v>473</v>
      </c>
      <c r="C19" s="3848" t="s">
        <v>2146</v>
      </c>
      <c r="D19" s="3847" t="s">
        <v>2146</v>
      </c>
      <c r="E19" s="3847" t="s">
        <v>2147</v>
      </c>
      <c r="F19" s="3847" t="s">
        <v>2147</v>
      </c>
      <c r="G19" s="3871" t="s">
        <v>2147</v>
      </c>
      <c r="H19" s="3872" t="s">
        <v>2147</v>
      </c>
      <c r="I19" s="4017" t="s">
        <v>2146</v>
      </c>
      <c r="J19" s="3839" t="s">
        <v>2146</v>
      </c>
      <c r="K19" s="3839" t="s">
        <v>2147</v>
      </c>
      <c r="L19" s="4025" t="s">
        <v>2147</v>
      </c>
      <c r="M19" s="4026" t="s">
        <v>2147</v>
      </c>
      <c r="N19" s="3845" t="s">
        <v>2147</v>
      </c>
      <c r="O19" s="3848" t="s">
        <v>2146</v>
      </c>
      <c r="P19" s="3847" t="s">
        <v>2146</v>
      </c>
      <c r="Q19" s="3847" t="s">
        <v>2147</v>
      </c>
      <c r="R19" s="4027" t="s">
        <v>2147</v>
      </c>
      <c r="S19" s="4028" t="s">
        <v>2147</v>
      </c>
      <c r="T19" s="3872" t="s">
        <v>2147</v>
      </c>
      <c r="U19" s="3848" t="s">
        <v>2146</v>
      </c>
      <c r="V19" s="3847" t="s">
        <v>2146</v>
      </c>
      <c r="W19" s="3847" t="s">
        <v>2147</v>
      </c>
      <c r="X19" s="4027" t="s">
        <v>2147</v>
      </c>
      <c r="Y19" s="4028" t="s">
        <v>2147</v>
      </c>
      <c r="Z19" s="3872" t="s">
        <v>2147</v>
      </c>
      <c r="AA19" s="3847" t="s">
        <v>2146</v>
      </c>
      <c r="AB19" s="3847" t="s">
        <v>2146</v>
      </c>
      <c r="AC19" s="3847" t="s">
        <v>2147</v>
      </c>
      <c r="AD19" s="4027" t="s">
        <v>2147</v>
      </c>
      <c r="AE19" s="4028" t="s">
        <v>2147</v>
      </c>
      <c r="AF19" s="3872" t="s">
        <v>2147</v>
      </c>
    </row>
    <row r="20" spans="2:32" ht="18" customHeight="1" x14ac:dyDescent="0.2">
      <c r="B20" s="1951" t="s">
        <v>2076</v>
      </c>
      <c r="C20" s="3848" t="s">
        <v>2146</v>
      </c>
      <c r="D20" s="3847" t="s">
        <v>2146</v>
      </c>
      <c r="E20" s="3847" t="s">
        <v>2147</v>
      </c>
      <c r="F20" s="3847" t="s">
        <v>2147</v>
      </c>
      <c r="G20" s="3871" t="s">
        <v>2147</v>
      </c>
      <c r="H20" s="3872" t="s">
        <v>2147</v>
      </c>
      <c r="I20" s="4017" t="s">
        <v>2146</v>
      </c>
      <c r="J20" s="3839" t="s">
        <v>2146</v>
      </c>
      <c r="K20" s="3839" t="s">
        <v>2147</v>
      </c>
      <c r="L20" s="4025" t="s">
        <v>2147</v>
      </c>
      <c r="M20" s="4026" t="s">
        <v>2147</v>
      </c>
      <c r="N20" s="3845" t="s">
        <v>2147</v>
      </c>
      <c r="O20" s="3848" t="s">
        <v>2146</v>
      </c>
      <c r="P20" s="3847" t="s">
        <v>2146</v>
      </c>
      <c r="Q20" s="3847" t="s">
        <v>2147</v>
      </c>
      <c r="R20" s="4027" t="s">
        <v>2147</v>
      </c>
      <c r="S20" s="4028" t="s">
        <v>2147</v>
      </c>
      <c r="T20" s="3872" t="s">
        <v>2147</v>
      </c>
      <c r="U20" s="3848" t="s">
        <v>2146</v>
      </c>
      <c r="V20" s="3847" t="s">
        <v>2146</v>
      </c>
      <c r="W20" s="3847" t="s">
        <v>2147</v>
      </c>
      <c r="X20" s="4027" t="s">
        <v>2147</v>
      </c>
      <c r="Y20" s="4028" t="s">
        <v>2147</v>
      </c>
      <c r="Z20" s="3872" t="s">
        <v>2147</v>
      </c>
      <c r="AA20" s="3847" t="s">
        <v>2146</v>
      </c>
      <c r="AB20" s="3847" t="s">
        <v>2146</v>
      </c>
      <c r="AC20" s="3847" t="s">
        <v>2147</v>
      </c>
      <c r="AD20" s="4027" t="s">
        <v>2147</v>
      </c>
      <c r="AE20" s="4028" t="s">
        <v>2147</v>
      </c>
      <c r="AF20" s="3872" t="s">
        <v>2147</v>
      </c>
    </row>
    <row r="21" spans="2:32" ht="18" customHeight="1" x14ac:dyDescent="0.2">
      <c r="B21" s="1951" t="s">
        <v>474</v>
      </c>
      <c r="C21" s="3848">
        <v>3839.1442070342946</v>
      </c>
      <c r="D21" s="3847">
        <f>'Table2(I)'!F46</f>
        <v>3839.1442070342932</v>
      </c>
      <c r="E21" s="3847">
        <f>IF(D21="NO",IF(C21="NO","NA",-C21),IF(C21="NO",D21,D21-C21))</f>
        <v>-1.3642420526593924E-12</v>
      </c>
      <c r="F21" s="4016">
        <f>IF(E21="NA","NA",E21/C21*100)</f>
        <v>-3.5535056228410276E-14</v>
      </c>
      <c r="G21" s="3871">
        <f>IF(E21="NA","NA",E21/$G$35*100)</f>
        <v>-2.5262909791395786E-16</v>
      </c>
      <c r="H21" s="3872">
        <f>IF(E21="NA","NA",E21/$G$34*100)</f>
        <v>-2.176551965665009E-16</v>
      </c>
      <c r="I21" s="4017" t="s">
        <v>2146</v>
      </c>
      <c r="J21" s="3839" t="s">
        <v>2146</v>
      </c>
      <c r="K21" s="3839" t="s">
        <v>2147</v>
      </c>
      <c r="L21" s="4025" t="s">
        <v>2147</v>
      </c>
      <c r="M21" s="4026" t="s">
        <v>2147</v>
      </c>
      <c r="N21" s="3845" t="s">
        <v>2147</v>
      </c>
      <c r="O21" s="3848" t="s">
        <v>2146</v>
      </c>
      <c r="P21" s="3847" t="s">
        <v>2146</v>
      </c>
      <c r="Q21" s="3847" t="s">
        <v>2147</v>
      </c>
      <c r="R21" s="4027" t="s">
        <v>2147</v>
      </c>
      <c r="S21" s="4028" t="s">
        <v>2147</v>
      </c>
      <c r="T21" s="3872" t="s">
        <v>2147</v>
      </c>
      <c r="U21" s="3848" t="s">
        <v>2146</v>
      </c>
      <c r="V21" s="3847" t="s">
        <v>2146</v>
      </c>
      <c r="W21" s="3847" t="s">
        <v>2147</v>
      </c>
      <c r="X21" s="4027" t="s">
        <v>2147</v>
      </c>
      <c r="Y21" s="4028" t="s">
        <v>2147</v>
      </c>
      <c r="Z21" s="3872" t="s">
        <v>2147</v>
      </c>
      <c r="AA21" s="3847" t="s">
        <v>2146</v>
      </c>
      <c r="AB21" s="3847" t="s">
        <v>2146</v>
      </c>
      <c r="AC21" s="3847" t="s">
        <v>2147</v>
      </c>
      <c r="AD21" s="4027" t="s">
        <v>2147</v>
      </c>
      <c r="AE21" s="4028" t="s">
        <v>2147</v>
      </c>
      <c r="AF21" s="3872" t="s">
        <v>2147</v>
      </c>
    </row>
    <row r="22" spans="2:32" ht="18" customHeight="1" x14ac:dyDescent="0.2">
      <c r="B22" s="1951" t="s">
        <v>475</v>
      </c>
      <c r="C22" s="3848">
        <v>34.872761723235506</v>
      </c>
      <c r="D22" s="3847">
        <f>'Table2(I)'!F47</f>
        <v>34.87276172323552</v>
      </c>
      <c r="E22" s="3847">
        <f t="shared" ref="E22:E25" si="0">IF(D22="NO",IF(C22="NO","NA",-C22),IF(C22="NO",D22,D22-C22))</f>
        <v>1.4210854715202004E-14</v>
      </c>
      <c r="F22" s="4016">
        <f t="shared" ref="F22:F25" si="1">IF(E22="NA","NA",E22/C22*100)</f>
        <v>4.0750585881282238E-14</v>
      </c>
      <c r="G22" s="3871">
        <f t="shared" ref="G22:G25" si="2">IF(E22="NA","NA",E22/$G$35*100)</f>
        <v>2.6315531032703945E-18</v>
      </c>
      <c r="H22" s="3872">
        <f t="shared" ref="H22:H25" si="3">IF(E22="NA","NA",E22/$G$34*100)</f>
        <v>2.2672416309010506E-18</v>
      </c>
      <c r="I22" s="4017" t="s">
        <v>2146</v>
      </c>
      <c r="J22" s="3839" t="s">
        <v>2146</v>
      </c>
      <c r="K22" s="3839" t="s">
        <v>2147</v>
      </c>
      <c r="L22" s="4025" t="s">
        <v>2147</v>
      </c>
      <c r="M22" s="4026" t="s">
        <v>2147</v>
      </c>
      <c r="N22" s="3845" t="s">
        <v>2147</v>
      </c>
      <c r="O22" s="3848" t="s">
        <v>2146</v>
      </c>
      <c r="P22" s="3847" t="s">
        <v>2146</v>
      </c>
      <c r="Q22" s="3847" t="s">
        <v>2147</v>
      </c>
      <c r="R22" s="4027" t="s">
        <v>2147</v>
      </c>
      <c r="S22" s="4028" t="s">
        <v>2147</v>
      </c>
      <c r="T22" s="3872" t="s">
        <v>2147</v>
      </c>
      <c r="U22" s="3848" t="s">
        <v>2146</v>
      </c>
      <c r="V22" s="3847" t="s">
        <v>2146</v>
      </c>
      <c r="W22" s="3847" t="s">
        <v>2147</v>
      </c>
      <c r="X22" s="4027" t="s">
        <v>2147</v>
      </c>
      <c r="Y22" s="4028" t="s">
        <v>2147</v>
      </c>
      <c r="Z22" s="3872" t="s">
        <v>2147</v>
      </c>
      <c r="AA22" s="3847" t="s">
        <v>2146</v>
      </c>
      <c r="AB22" s="3847" t="s">
        <v>2146</v>
      </c>
      <c r="AC22" s="3847" t="s">
        <v>2147</v>
      </c>
      <c r="AD22" s="4027" t="s">
        <v>2147</v>
      </c>
      <c r="AE22" s="4028" t="s">
        <v>2147</v>
      </c>
      <c r="AF22" s="3872" t="s">
        <v>2147</v>
      </c>
    </row>
    <row r="23" spans="2:32" ht="18" customHeight="1" x14ac:dyDescent="0.2">
      <c r="B23" s="1951" t="s">
        <v>476</v>
      </c>
      <c r="C23" s="3848">
        <v>22.883216263158626</v>
      </c>
      <c r="D23" s="3847">
        <f>'Table2(I)'!F48</f>
        <v>22.88321626315863</v>
      </c>
      <c r="E23" s="3847">
        <f t="shared" si="0"/>
        <v>3.5527136788005009E-15</v>
      </c>
      <c r="F23" s="4016">
        <f t="shared" si="1"/>
        <v>1.5525412328162436E-14</v>
      </c>
      <c r="G23" s="3871">
        <f t="shared" si="2"/>
        <v>6.5788827581759862E-19</v>
      </c>
      <c r="H23" s="3872">
        <f t="shared" si="3"/>
        <v>5.6681040772526264E-19</v>
      </c>
      <c r="I23" s="4017" t="s">
        <v>2146</v>
      </c>
      <c r="J23" s="3839" t="s">
        <v>2146</v>
      </c>
      <c r="K23" s="3839" t="s">
        <v>2147</v>
      </c>
      <c r="L23" s="4025" t="s">
        <v>2147</v>
      </c>
      <c r="M23" s="4026" t="s">
        <v>2147</v>
      </c>
      <c r="N23" s="3845" t="s">
        <v>2147</v>
      </c>
      <c r="O23" s="3848" t="s">
        <v>2146</v>
      </c>
      <c r="P23" s="3847" t="s">
        <v>2146</v>
      </c>
      <c r="Q23" s="3847" t="s">
        <v>2147</v>
      </c>
      <c r="R23" s="4027" t="s">
        <v>2147</v>
      </c>
      <c r="S23" s="4028" t="s">
        <v>2147</v>
      </c>
      <c r="T23" s="3872" t="s">
        <v>2147</v>
      </c>
      <c r="U23" s="3848" t="s">
        <v>2146</v>
      </c>
      <c r="V23" s="3847" t="s">
        <v>2146</v>
      </c>
      <c r="W23" s="3847" t="s">
        <v>2147</v>
      </c>
      <c r="X23" s="4027" t="s">
        <v>2147</v>
      </c>
      <c r="Y23" s="4028" t="s">
        <v>2147</v>
      </c>
      <c r="Z23" s="3872" t="s">
        <v>2147</v>
      </c>
      <c r="AA23" s="3847" t="s">
        <v>2146</v>
      </c>
      <c r="AB23" s="3847" t="s">
        <v>2146</v>
      </c>
      <c r="AC23" s="3847" t="s">
        <v>2147</v>
      </c>
      <c r="AD23" s="4027" t="s">
        <v>2147</v>
      </c>
      <c r="AE23" s="4028" t="s">
        <v>2147</v>
      </c>
      <c r="AF23" s="3872" t="s">
        <v>2147</v>
      </c>
    </row>
    <row r="24" spans="2:32" ht="18" customHeight="1" x14ac:dyDescent="0.2">
      <c r="B24" s="1951" t="s">
        <v>477</v>
      </c>
      <c r="C24" s="3848">
        <v>122.67046162805218</v>
      </c>
      <c r="D24" s="3847">
        <f>'Table2(I)'!F49</f>
        <v>122.67046162805215</v>
      </c>
      <c r="E24" s="3847">
        <f t="shared" si="0"/>
        <v>-2.8421709430404007E-14</v>
      </c>
      <c r="F24" s="4016">
        <f t="shared" si="1"/>
        <v>-2.3169155029823866E-14</v>
      </c>
      <c r="G24" s="3871">
        <f t="shared" si="2"/>
        <v>-5.2631062065407889E-18</v>
      </c>
      <c r="H24" s="3872">
        <f t="shared" si="3"/>
        <v>-4.5344832618021011E-18</v>
      </c>
      <c r="I24" s="4017" t="s">
        <v>2146</v>
      </c>
      <c r="J24" s="3839" t="s">
        <v>2146</v>
      </c>
      <c r="K24" s="3839" t="s">
        <v>2147</v>
      </c>
      <c r="L24" s="4025" t="s">
        <v>2147</v>
      </c>
      <c r="M24" s="4026" t="s">
        <v>2147</v>
      </c>
      <c r="N24" s="3845" t="s">
        <v>2147</v>
      </c>
      <c r="O24" s="3848" t="s">
        <v>2146</v>
      </c>
      <c r="P24" s="3847" t="s">
        <v>2146</v>
      </c>
      <c r="Q24" s="3847" t="s">
        <v>2147</v>
      </c>
      <c r="R24" s="4027" t="s">
        <v>2147</v>
      </c>
      <c r="S24" s="4028" t="s">
        <v>2147</v>
      </c>
      <c r="T24" s="3872" t="s">
        <v>2147</v>
      </c>
      <c r="U24" s="3848" t="s">
        <v>2146</v>
      </c>
      <c r="V24" s="3847" t="s">
        <v>2146</v>
      </c>
      <c r="W24" s="3847" t="s">
        <v>2147</v>
      </c>
      <c r="X24" s="4027" t="s">
        <v>2147</v>
      </c>
      <c r="Y24" s="4028" t="s">
        <v>2147</v>
      </c>
      <c r="Z24" s="3872" t="s">
        <v>2147</v>
      </c>
      <c r="AA24" s="3847" t="s">
        <v>2146</v>
      </c>
      <c r="AB24" s="3847" t="s">
        <v>2146</v>
      </c>
      <c r="AC24" s="3847" t="s">
        <v>2147</v>
      </c>
      <c r="AD24" s="4027" t="s">
        <v>2147</v>
      </c>
      <c r="AE24" s="4028" t="s">
        <v>2147</v>
      </c>
      <c r="AF24" s="3872" t="s">
        <v>2147</v>
      </c>
    </row>
    <row r="25" spans="2:32" ht="18" customHeight="1" x14ac:dyDescent="0.2">
      <c r="B25" s="1951" t="s">
        <v>478</v>
      </c>
      <c r="C25" s="3848">
        <v>89.144090024038661</v>
      </c>
      <c r="D25" s="3847">
        <f>'Table2(I)'!F50</f>
        <v>89.14409002403869</v>
      </c>
      <c r="E25" s="3847">
        <f t="shared" si="0"/>
        <v>2.8421709430404007E-14</v>
      </c>
      <c r="F25" s="4016">
        <f t="shared" si="1"/>
        <v>3.1882886933659641E-14</v>
      </c>
      <c r="G25" s="3871">
        <f t="shared" si="2"/>
        <v>5.2631062065407889E-18</v>
      </c>
      <c r="H25" s="3872">
        <f t="shared" si="3"/>
        <v>4.5344832618021011E-18</v>
      </c>
      <c r="I25" s="4017" t="s">
        <v>2146</v>
      </c>
      <c r="J25" s="3839" t="s">
        <v>2146</v>
      </c>
      <c r="K25" s="3839" t="s">
        <v>2147</v>
      </c>
      <c r="L25" s="4025" t="s">
        <v>2147</v>
      </c>
      <c r="M25" s="4026" t="s">
        <v>2147</v>
      </c>
      <c r="N25" s="3845" t="s">
        <v>2147</v>
      </c>
      <c r="O25" s="3848" t="s">
        <v>2146</v>
      </c>
      <c r="P25" s="3847" t="s">
        <v>2146</v>
      </c>
      <c r="Q25" s="3847" t="s">
        <v>2147</v>
      </c>
      <c r="R25" s="4027" t="s">
        <v>2147</v>
      </c>
      <c r="S25" s="4028" t="s">
        <v>2147</v>
      </c>
      <c r="T25" s="3872" t="s">
        <v>2147</v>
      </c>
      <c r="U25" s="3848" t="s">
        <v>2146</v>
      </c>
      <c r="V25" s="3847" t="s">
        <v>2146</v>
      </c>
      <c r="W25" s="3847" t="s">
        <v>2147</v>
      </c>
      <c r="X25" s="4027" t="s">
        <v>2147</v>
      </c>
      <c r="Y25" s="4028" t="s">
        <v>2147</v>
      </c>
      <c r="Z25" s="3872" t="s">
        <v>2147</v>
      </c>
      <c r="AA25" s="3847" t="s">
        <v>2146</v>
      </c>
      <c r="AB25" s="3847" t="s">
        <v>2146</v>
      </c>
      <c r="AC25" s="3847" t="s">
        <v>2147</v>
      </c>
      <c r="AD25" s="4027" t="s">
        <v>2147</v>
      </c>
      <c r="AE25" s="4028" t="s">
        <v>2147</v>
      </c>
      <c r="AF25" s="3872" t="s">
        <v>2147</v>
      </c>
    </row>
    <row r="26" spans="2:32" ht="18" customHeight="1" x14ac:dyDescent="0.2">
      <c r="B26" s="1951" t="s">
        <v>479</v>
      </c>
      <c r="C26" s="3848" t="s">
        <v>2146</v>
      </c>
      <c r="D26" s="3847" t="s">
        <v>2146</v>
      </c>
      <c r="E26" s="3847" t="s">
        <v>2147</v>
      </c>
      <c r="F26" s="3847" t="s">
        <v>2147</v>
      </c>
      <c r="G26" s="3871" t="s">
        <v>2147</v>
      </c>
      <c r="H26" s="3872" t="s">
        <v>2147</v>
      </c>
      <c r="I26" s="4017" t="s">
        <v>2146</v>
      </c>
      <c r="J26" s="3839" t="s">
        <v>2146</v>
      </c>
      <c r="K26" s="3839" t="s">
        <v>2147</v>
      </c>
      <c r="L26" s="4025" t="s">
        <v>2147</v>
      </c>
      <c r="M26" s="4026" t="s">
        <v>2147</v>
      </c>
      <c r="N26" s="3845" t="s">
        <v>2147</v>
      </c>
      <c r="O26" s="3848" t="s">
        <v>2146</v>
      </c>
      <c r="P26" s="3847" t="s">
        <v>2146</v>
      </c>
      <c r="Q26" s="3847" t="s">
        <v>2147</v>
      </c>
      <c r="R26" s="4027" t="s">
        <v>2147</v>
      </c>
      <c r="S26" s="4028" t="s">
        <v>2147</v>
      </c>
      <c r="T26" s="3872" t="s">
        <v>2147</v>
      </c>
      <c r="U26" s="3848" t="s">
        <v>2146</v>
      </c>
      <c r="V26" s="3847" t="s">
        <v>2146</v>
      </c>
      <c r="W26" s="3847" t="s">
        <v>2147</v>
      </c>
      <c r="X26" s="4027" t="s">
        <v>2147</v>
      </c>
      <c r="Y26" s="4028" t="s">
        <v>2147</v>
      </c>
      <c r="Z26" s="3872" t="s">
        <v>2147</v>
      </c>
      <c r="AA26" s="3847" t="s">
        <v>2146</v>
      </c>
      <c r="AB26" s="3847" t="s">
        <v>2146</v>
      </c>
      <c r="AC26" s="3847" t="s">
        <v>2147</v>
      </c>
      <c r="AD26" s="4027" t="s">
        <v>2147</v>
      </c>
      <c r="AE26" s="4028" t="s">
        <v>2147</v>
      </c>
      <c r="AF26" s="3872" t="s">
        <v>2147</v>
      </c>
    </row>
    <row r="27" spans="2:32" ht="18" customHeight="1" x14ac:dyDescent="0.2">
      <c r="B27" s="1951" t="s">
        <v>481</v>
      </c>
      <c r="C27" s="3854" t="s">
        <v>2146</v>
      </c>
      <c r="D27" s="3849" t="s">
        <v>2146</v>
      </c>
      <c r="E27" s="3849" t="s">
        <v>2147</v>
      </c>
      <c r="F27" s="3849" t="s">
        <v>2147</v>
      </c>
      <c r="G27" s="4029" t="s">
        <v>2147</v>
      </c>
      <c r="H27" s="4030" t="s">
        <v>2147</v>
      </c>
      <c r="I27" s="4017" t="s">
        <v>2146</v>
      </c>
      <c r="J27" s="3839" t="s">
        <v>2146</v>
      </c>
      <c r="K27" s="3839" t="s">
        <v>2147</v>
      </c>
      <c r="L27" s="4025" t="s">
        <v>2147</v>
      </c>
      <c r="M27" s="4026" t="s">
        <v>2147</v>
      </c>
      <c r="N27" s="3845" t="s">
        <v>2147</v>
      </c>
      <c r="O27" s="3848" t="s">
        <v>2146</v>
      </c>
      <c r="P27" s="3847" t="s">
        <v>2146</v>
      </c>
      <c r="Q27" s="3847" t="s">
        <v>2147</v>
      </c>
      <c r="R27" s="4027" t="s">
        <v>2147</v>
      </c>
      <c r="S27" s="4028" t="s">
        <v>2147</v>
      </c>
      <c r="T27" s="3872" t="s">
        <v>2147</v>
      </c>
      <c r="U27" s="3848">
        <v>175.08696002647525</v>
      </c>
      <c r="V27" s="3847">
        <f>IFERROR('Table2(I)'!I53*23500,'Table2(I)'!I53)</f>
        <v>175.08696002647531</v>
      </c>
      <c r="W27" s="3847">
        <f>IF(V27="NO",IF(U27="NO","NA",-U27),IF(U27="NO",V27,V27-U27))</f>
        <v>5.6843418860808015E-14</v>
      </c>
      <c r="X27" s="4016">
        <f>IF(W27="NA","NA",W27/U27*100)</f>
        <v>3.246582089963331E-14</v>
      </c>
      <c r="Y27" s="3871">
        <f>IF(W27="NA","NA",W27/$G$35*100)</f>
        <v>1.0526212413081578E-17</v>
      </c>
      <c r="Z27" s="3872">
        <f>IF(W27="NA","NA",W27/$G$34*100)</f>
        <v>9.0689665236042022E-18</v>
      </c>
      <c r="AA27" s="3847" t="s">
        <v>2146</v>
      </c>
      <c r="AB27" s="3847" t="s">
        <v>2146</v>
      </c>
      <c r="AC27" s="3847" t="s">
        <v>2147</v>
      </c>
      <c r="AD27" s="4027" t="s">
        <v>2147</v>
      </c>
      <c r="AE27" s="4028" t="s">
        <v>2147</v>
      </c>
      <c r="AF27" s="3872" t="s">
        <v>2147</v>
      </c>
    </row>
    <row r="28" spans="2:32" ht="18" customHeight="1" x14ac:dyDescent="0.2">
      <c r="B28" s="1951" t="s">
        <v>482</v>
      </c>
      <c r="C28" s="4033"/>
      <c r="D28" s="4034"/>
      <c r="E28" s="4034"/>
      <c r="F28" s="4034"/>
      <c r="G28" s="4034"/>
      <c r="H28" s="4035"/>
      <c r="I28" s="4017" t="s">
        <v>2146</v>
      </c>
      <c r="J28" s="3839" t="s">
        <v>2146</v>
      </c>
      <c r="K28" s="3839" t="s">
        <v>2147</v>
      </c>
      <c r="L28" s="4025" t="s">
        <v>2147</v>
      </c>
      <c r="M28" s="4026" t="s">
        <v>2147</v>
      </c>
      <c r="N28" s="3845" t="s">
        <v>2147</v>
      </c>
      <c r="O28" s="3901"/>
      <c r="P28" s="3902"/>
      <c r="Q28" s="3902"/>
      <c r="R28" s="4036"/>
      <c r="S28" s="4034"/>
      <c r="T28" s="4038"/>
      <c r="U28" s="3848">
        <v>16.694353533216646</v>
      </c>
      <c r="V28" s="3847">
        <f>IFERROR('Table2(I)'!I54*23500,'Table2(I)'!I54)</f>
        <v>16.694353533216582</v>
      </c>
      <c r="W28" s="3847">
        <f>IF(V28="NO",IF(U28="NO","NA",-U28),IF(U28="NO",V28,V28-U28))</f>
        <v>-6.3948846218409017E-14</v>
      </c>
      <c r="X28" s="4016">
        <f>IF(W28="NA","NA",W28/U28*100)</f>
        <v>-3.8305673886185783E-13</v>
      </c>
      <c r="Y28" s="3871">
        <f>IF(W28="NA","NA",W28/$G$35*100)</f>
        <v>-1.1841988964716774E-17</v>
      </c>
      <c r="Z28" s="3872">
        <f>IF(W28="NA","NA",W28/$G$34*100)</f>
        <v>-1.0202587339054728E-17</v>
      </c>
      <c r="AA28" s="3902"/>
      <c r="AB28" s="3902"/>
      <c r="AC28" s="3902"/>
      <c r="AD28" s="4036"/>
      <c r="AE28" s="4034"/>
      <c r="AF28" s="4037"/>
    </row>
    <row r="29" spans="2:32" ht="18" customHeight="1" x14ac:dyDescent="0.2">
      <c r="B29" s="1951" t="s">
        <v>484</v>
      </c>
      <c r="C29" s="3848" t="s">
        <v>2146</v>
      </c>
      <c r="D29" s="3847" t="s">
        <v>2146</v>
      </c>
      <c r="E29" s="3847" t="s">
        <v>2147</v>
      </c>
      <c r="F29" s="3847" t="s">
        <v>2147</v>
      </c>
      <c r="G29" s="3871" t="s">
        <v>2147</v>
      </c>
      <c r="H29" s="3872" t="s">
        <v>2147</v>
      </c>
      <c r="I29" s="4017" t="s">
        <v>2146</v>
      </c>
      <c r="J29" s="3839" t="s">
        <v>2146</v>
      </c>
      <c r="K29" s="3839" t="s">
        <v>2147</v>
      </c>
      <c r="L29" s="4025" t="s">
        <v>2147</v>
      </c>
      <c r="M29" s="4026" t="s">
        <v>2147</v>
      </c>
      <c r="N29" s="3845" t="s">
        <v>2147</v>
      </c>
      <c r="O29" s="3848" t="s">
        <v>2146</v>
      </c>
      <c r="P29" s="3847" t="s">
        <v>2146</v>
      </c>
      <c r="Q29" s="3847" t="s">
        <v>2147</v>
      </c>
      <c r="R29" s="4031" t="s">
        <v>2147</v>
      </c>
      <c r="S29" s="4032" t="s">
        <v>2147</v>
      </c>
      <c r="T29" s="3872" t="s">
        <v>2147</v>
      </c>
      <c r="U29" s="3848" t="s">
        <v>2146</v>
      </c>
      <c r="V29" s="3847" t="s">
        <v>2146</v>
      </c>
      <c r="W29" s="3847" t="s">
        <v>2147</v>
      </c>
      <c r="X29" s="4031" t="s">
        <v>2147</v>
      </c>
      <c r="Y29" s="4032" t="s">
        <v>2147</v>
      </c>
      <c r="Z29" s="3872" t="s">
        <v>2147</v>
      </c>
      <c r="AA29" s="3847" t="s">
        <v>2146</v>
      </c>
      <c r="AB29" s="3847" t="s">
        <v>2146</v>
      </c>
      <c r="AC29" s="3847" t="s">
        <v>2147</v>
      </c>
      <c r="AD29" s="4027" t="s">
        <v>2147</v>
      </c>
      <c r="AE29" s="4028" t="s">
        <v>2147</v>
      </c>
      <c r="AF29" s="3872" t="s">
        <v>2147</v>
      </c>
    </row>
    <row r="30" spans="2:32" ht="18" customHeight="1" thickBot="1" x14ac:dyDescent="0.25">
      <c r="B30" s="1953" t="s">
        <v>1695</v>
      </c>
      <c r="C30" s="3873" t="s">
        <v>2146</v>
      </c>
      <c r="D30" s="3855" t="s">
        <v>2146</v>
      </c>
      <c r="E30" s="3855" t="s">
        <v>2147</v>
      </c>
      <c r="F30" s="3855" t="s">
        <v>2147</v>
      </c>
      <c r="G30" s="3950" t="s">
        <v>2147</v>
      </c>
      <c r="H30" s="3858" t="s">
        <v>2147</v>
      </c>
      <c r="I30" s="4039" t="s">
        <v>2146</v>
      </c>
      <c r="J30" s="3936" t="s">
        <v>2146</v>
      </c>
      <c r="K30" s="3936" t="s">
        <v>2147</v>
      </c>
      <c r="L30" s="4040" t="s">
        <v>2147</v>
      </c>
      <c r="M30" s="4041" t="s">
        <v>2147</v>
      </c>
      <c r="N30" s="4042" t="s">
        <v>2147</v>
      </c>
      <c r="O30" s="3873" t="s">
        <v>2146</v>
      </c>
      <c r="P30" s="3855" t="s">
        <v>2146</v>
      </c>
      <c r="Q30" s="3855" t="s">
        <v>2147</v>
      </c>
      <c r="R30" s="4043" t="s">
        <v>2147</v>
      </c>
      <c r="S30" s="4044" t="s">
        <v>2147</v>
      </c>
      <c r="T30" s="3858" t="s">
        <v>2147</v>
      </c>
      <c r="U30" s="3873" t="s">
        <v>2146</v>
      </c>
      <c r="V30" s="3855" t="s">
        <v>2146</v>
      </c>
      <c r="W30" s="3855" t="s">
        <v>2147</v>
      </c>
      <c r="X30" s="4043" t="s">
        <v>2147</v>
      </c>
      <c r="Y30" s="4044" t="s">
        <v>2147</v>
      </c>
      <c r="Z30" s="3858" t="s">
        <v>2147</v>
      </c>
      <c r="AA30" s="3855" t="s">
        <v>2146</v>
      </c>
      <c r="AB30" s="3855" t="s">
        <v>2146</v>
      </c>
      <c r="AC30" s="3855" t="s">
        <v>2147</v>
      </c>
      <c r="AD30" s="4043" t="s">
        <v>2147</v>
      </c>
      <c r="AE30" s="4044" t="s">
        <v>2147</v>
      </c>
      <c r="AF30" s="3858" t="s">
        <v>2147</v>
      </c>
    </row>
    <row r="31" spans="2:32" ht="18" customHeight="1" thickBot="1" x14ac:dyDescent="0.25">
      <c r="B31" s="716"/>
      <c r="C31" s="717"/>
      <c r="D31" s="717"/>
      <c r="E31" s="717"/>
      <c r="F31" s="717"/>
      <c r="G31" s="717"/>
      <c r="H31" s="717"/>
      <c r="I31" s="717"/>
      <c r="J31" s="717"/>
      <c r="K31" s="717"/>
      <c r="L31" s="717"/>
      <c r="M31" s="718"/>
      <c r="N31" s="719"/>
      <c r="O31" s="719"/>
      <c r="P31" s="719"/>
      <c r="Q31" s="719"/>
      <c r="R31" s="719"/>
      <c r="S31" s="719"/>
      <c r="T31" s="720"/>
      <c r="U31" s="719"/>
      <c r="V31" s="719"/>
      <c r="W31" s="719"/>
      <c r="X31" s="719"/>
      <c r="Y31" s="719"/>
      <c r="Z31" s="720"/>
      <c r="AA31" s="719"/>
      <c r="AB31" s="719"/>
      <c r="AC31" s="719"/>
      <c r="AD31" s="719"/>
      <c r="AE31" s="719"/>
      <c r="AF31" s="720"/>
    </row>
    <row r="32" spans="2:32" ht="18" customHeight="1" x14ac:dyDescent="0.2">
      <c r="B32" s="721"/>
      <c r="C32" s="721"/>
      <c r="D32" s="722"/>
      <c r="E32" s="701" t="s">
        <v>1682</v>
      </c>
      <c r="F32" s="723"/>
      <c r="G32" s="698" t="s">
        <v>1683</v>
      </c>
      <c r="H32" s="699"/>
      <c r="I32" s="724" t="s">
        <v>1684</v>
      </c>
      <c r="J32" s="725" t="s">
        <v>2058</v>
      </c>
      <c r="K32" s="726"/>
      <c r="L32" s="726"/>
      <c r="M32" s="727"/>
      <c r="N32" s="727"/>
      <c r="O32" s="727"/>
      <c r="P32" s="727"/>
      <c r="Q32" s="727"/>
      <c r="R32" s="727"/>
      <c r="S32" s="727"/>
      <c r="T32" s="727"/>
      <c r="U32" s="727"/>
      <c r="V32" s="727"/>
      <c r="W32" s="727"/>
      <c r="X32" s="727"/>
      <c r="Y32" s="727"/>
      <c r="Z32" s="727"/>
      <c r="AA32" s="727"/>
      <c r="AB32" s="727"/>
      <c r="AC32" s="727"/>
      <c r="AD32" s="727"/>
      <c r="AE32" s="727"/>
      <c r="AF32" s="727"/>
    </row>
    <row r="33" spans="2:32" ht="18" customHeight="1" thickBot="1" x14ac:dyDescent="0.25">
      <c r="B33" s="728"/>
      <c r="C33" s="728"/>
      <c r="D33" s="729"/>
      <c r="E33" s="2505" t="s">
        <v>2077</v>
      </c>
      <c r="F33" s="730"/>
      <c r="G33" s="730"/>
      <c r="H33" s="730"/>
      <c r="I33" s="731"/>
      <c r="J33" s="732" t="s">
        <v>297</v>
      </c>
      <c r="K33" s="733"/>
      <c r="L33" s="733"/>
      <c r="M33" s="719"/>
      <c r="N33" s="719"/>
      <c r="O33" s="719"/>
      <c r="P33" s="719"/>
      <c r="Q33" s="719"/>
      <c r="R33" s="719"/>
      <c r="S33" s="719"/>
      <c r="T33" s="720"/>
      <c r="U33" s="719"/>
      <c r="V33" s="719"/>
      <c r="W33" s="719"/>
      <c r="X33" s="719"/>
      <c r="Y33" s="719"/>
      <c r="Z33" s="720"/>
      <c r="AA33" s="719"/>
      <c r="AB33" s="719"/>
      <c r="AC33" s="719"/>
      <c r="AD33" s="719"/>
      <c r="AE33" s="719"/>
      <c r="AF33" s="720"/>
    </row>
    <row r="34" spans="2:32" ht="18" customHeight="1" x14ac:dyDescent="0.2">
      <c r="B34" s="2570" t="s">
        <v>2140</v>
      </c>
      <c r="C34" s="734"/>
      <c r="D34" s="973"/>
      <c r="E34" s="4522">
        <f>SUM(Table8s1!C10,Table8s1!I10,Table8s1!O10,C10,I10,O10,U10,AA10)</f>
        <v>634675.00985431136</v>
      </c>
      <c r="F34" s="4523"/>
      <c r="G34" s="4522">
        <f>SUM(Table8s1!D10,Table8s1!J10,Table8s1!P10,D10,J10,P10,V10,AB10)</f>
        <v>626790.48062267201</v>
      </c>
      <c r="H34" s="4523"/>
      <c r="I34" s="3839">
        <f>G34-E34</f>
        <v>-7884.5292316393461</v>
      </c>
      <c r="J34" s="4045">
        <f>IF(I34="NA","NA",I34/E34*100)</f>
        <v>-1.2422939471729362</v>
      </c>
      <c r="K34" s="733"/>
      <c r="L34" s="733"/>
      <c r="M34" s="719"/>
      <c r="N34" s="719"/>
      <c r="O34" s="719"/>
      <c r="P34" s="719"/>
      <c r="Q34" s="719"/>
      <c r="R34" s="719"/>
      <c r="S34" s="719"/>
      <c r="T34" s="720"/>
      <c r="U34" s="719"/>
      <c r="V34" s="719"/>
      <c r="W34" s="719"/>
      <c r="X34" s="719"/>
      <c r="Y34" s="719"/>
      <c r="Z34" s="720"/>
      <c r="AA34" s="719"/>
      <c r="AB34" s="719"/>
      <c r="AC34" s="719"/>
      <c r="AD34" s="719"/>
      <c r="AE34" s="719"/>
      <c r="AF34" s="720"/>
    </row>
    <row r="35" spans="2:32" ht="18" customHeight="1" thickBot="1" x14ac:dyDescent="0.25">
      <c r="B35" s="2571" t="s">
        <v>2141</v>
      </c>
      <c r="C35" s="735"/>
      <c r="D35" s="736"/>
      <c r="E35" s="4524">
        <f>E34-SUM(Table8s1!C41,Table8s1!I41,Table8s1!O41)</f>
        <v>540108.55823234003</v>
      </c>
      <c r="F35" s="4525"/>
      <c r="G35" s="4526">
        <f>G34-SUM(Table8s1!D41,Table8s1!J41,Table8s1!P41)</f>
        <v>540017.78256122943</v>
      </c>
      <c r="H35" s="4527"/>
      <c r="I35" s="3855">
        <f>G35-E35</f>
        <v>-90.77567111060489</v>
      </c>
      <c r="J35" s="4046">
        <f>IF(I35="NA","NA",I35/E35*100)</f>
        <v>-1.6806930704392889E-2</v>
      </c>
      <c r="K35" s="733"/>
      <c r="L35" s="733"/>
      <c r="M35" s="720"/>
      <c r="N35" s="720"/>
      <c r="O35" s="720"/>
      <c r="P35" s="720"/>
      <c r="Q35" s="720"/>
      <c r="R35" s="720"/>
      <c r="S35" s="720"/>
      <c r="T35" s="720"/>
      <c r="U35" s="720"/>
      <c r="V35" s="720"/>
      <c r="W35" s="720"/>
      <c r="X35" s="720"/>
      <c r="Y35" s="720"/>
      <c r="Z35" s="720"/>
      <c r="AA35" s="720"/>
      <c r="AB35" s="720"/>
      <c r="AC35" s="720"/>
      <c r="AD35" s="720"/>
      <c r="AE35" s="720"/>
      <c r="AF35" s="720"/>
    </row>
    <row r="36" spans="2:32" ht="12" customHeight="1" x14ac:dyDescent="0.2">
      <c r="B36" s="737"/>
      <c r="C36" s="737"/>
      <c r="D36" s="737"/>
      <c r="E36" s="737"/>
      <c r="F36" s="737"/>
      <c r="G36" s="737"/>
      <c r="H36" s="737"/>
      <c r="I36" s="737"/>
      <c r="J36" s="737"/>
      <c r="K36" s="737"/>
      <c r="L36" s="737"/>
      <c r="M36" s="737"/>
      <c r="N36" s="719"/>
      <c r="O36" s="719"/>
      <c r="P36" s="719"/>
      <c r="Q36" s="719"/>
      <c r="R36" s="719"/>
      <c r="S36" s="719"/>
      <c r="T36" s="719"/>
    </row>
    <row r="37" spans="2:32" ht="15.75" x14ac:dyDescent="0.2">
      <c r="B37" s="738"/>
      <c r="C37" s="738"/>
      <c r="D37" s="738"/>
      <c r="E37" s="738"/>
      <c r="F37" s="738"/>
      <c r="G37" s="738"/>
      <c r="H37" s="738"/>
      <c r="I37" s="738"/>
      <c r="J37" s="738"/>
      <c r="K37" s="738"/>
      <c r="L37" s="738"/>
      <c r="M37" s="738"/>
      <c r="N37" s="738"/>
      <c r="O37" s="738"/>
      <c r="P37" s="738"/>
      <c r="Q37" s="738"/>
      <c r="R37" s="738"/>
      <c r="S37" s="738"/>
      <c r="T37" s="738"/>
    </row>
    <row r="38" spans="2:32" ht="15.75" x14ac:dyDescent="0.2">
      <c r="B38" s="981"/>
      <c r="C38" s="738"/>
      <c r="D38" s="738"/>
      <c r="E38" s="738"/>
      <c r="F38" s="738"/>
      <c r="G38" s="738"/>
      <c r="H38" s="738"/>
      <c r="I38" s="738"/>
      <c r="J38" s="738"/>
      <c r="K38" s="738"/>
      <c r="L38" s="738"/>
      <c r="M38" s="738"/>
      <c r="N38" s="738"/>
      <c r="O38" s="738"/>
      <c r="P38" s="738"/>
      <c r="Q38" s="738"/>
      <c r="R38" s="738"/>
      <c r="S38" s="738"/>
      <c r="T38" s="738"/>
    </row>
    <row r="39" spans="2:32" ht="15.75" x14ac:dyDescent="0.2">
      <c r="B39" s="738"/>
      <c r="C39" s="738"/>
      <c r="D39" s="738"/>
      <c r="E39" s="738"/>
      <c r="F39" s="738"/>
      <c r="G39" s="738"/>
      <c r="H39" s="738"/>
      <c r="I39" s="738"/>
      <c r="J39" s="738"/>
      <c r="K39" s="738"/>
      <c r="L39" s="738"/>
      <c r="M39" s="738"/>
      <c r="N39" s="738" t="s">
        <v>389</v>
      </c>
      <c r="O39" s="738"/>
      <c r="P39" s="738"/>
      <c r="Q39" s="738"/>
      <c r="R39" s="738"/>
      <c r="S39" s="738"/>
      <c r="T39" s="738"/>
    </row>
    <row r="40" spans="2:32" ht="15.75" x14ac:dyDescent="0.2">
      <c r="B40" s="738"/>
      <c r="C40" s="738"/>
      <c r="D40" s="738"/>
      <c r="E40" s="738"/>
      <c r="F40" s="738"/>
      <c r="G40" s="738"/>
      <c r="H40" s="738"/>
      <c r="I40" s="738"/>
      <c r="J40" s="738"/>
      <c r="K40" s="738"/>
      <c r="L40" s="738"/>
      <c r="M40" s="738"/>
      <c r="N40" s="738"/>
      <c r="O40" s="738"/>
      <c r="P40" s="738"/>
      <c r="Q40" s="738"/>
      <c r="R40" s="738"/>
      <c r="S40" s="738"/>
      <c r="T40" s="738"/>
    </row>
    <row r="41" spans="2:32" ht="15.75" x14ac:dyDescent="0.2">
      <c r="B41" s="981"/>
      <c r="C41" s="738"/>
      <c r="D41" s="738"/>
      <c r="E41" s="738"/>
      <c r="F41" s="738"/>
      <c r="G41" s="738"/>
      <c r="H41" s="738"/>
      <c r="I41" s="738"/>
      <c r="J41" s="738"/>
      <c r="K41" s="738"/>
      <c r="L41" s="738"/>
      <c r="M41" s="738"/>
      <c r="N41" s="738"/>
      <c r="O41" s="738"/>
      <c r="P41" s="738"/>
      <c r="Q41" s="738"/>
      <c r="R41" s="738"/>
      <c r="S41" s="738"/>
      <c r="T41" s="738"/>
    </row>
    <row r="42" spans="2:32" ht="15.75" x14ac:dyDescent="0.2">
      <c r="B42" s="981"/>
      <c r="C42" s="738"/>
      <c r="D42" s="738"/>
      <c r="E42" s="738"/>
      <c r="F42" s="738"/>
      <c r="G42" s="738"/>
      <c r="H42" s="738"/>
      <c r="I42" s="738"/>
      <c r="J42" s="738"/>
      <c r="K42" s="738"/>
      <c r="L42" s="738"/>
      <c r="M42" s="738"/>
      <c r="N42" s="738"/>
      <c r="O42" s="738"/>
      <c r="P42" s="738"/>
      <c r="Q42" s="738"/>
      <c r="R42" s="738"/>
      <c r="S42" s="738"/>
      <c r="T42" s="738"/>
    </row>
    <row r="43" spans="2:32" ht="15.75" x14ac:dyDescent="0.2">
      <c r="B43" s="981"/>
      <c r="C43" s="738"/>
      <c r="D43" s="738"/>
      <c r="E43" s="738"/>
      <c r="F43" s="738"/>
      <c r="G43" s="738"/>
      <c r="H43" s="738"/>
      <c r="I43" s="738"/>
      <c r="J43" s="738"/>
      <c r="K43" s="738"/>
      <c r="L43" s="738"/>
      <c r="M43" s="738"/>
      <c r="N43" s="738"/>
      <c r="O43" s="738"/>
      <c r="P43" s="738"/>
      <c r="Q43" s="738"/>
      <c r="R43" s="738"/>
      <c r="S43" s="738"/>
      <c r="T43" s="738"/>
    </row>
    <row r="44" spans="2:32" ht="15.75" x14ac:dyDescent="0.2">
      <c r="B44" s="981"/>
      <c r="C44" s="738"/>
      <c r="D44" s="738"/>
      <c r="E44" s="738"/>
      <c r="F44" s="738"/>
      <c r="G44" s="738"/>
      <c r="H44" s="738"/>
      <c r="I44" s="738"/>
      <c r="J44" s="738"/>
      <c r="K44" s="738"/>
      <c r="L44" s="738"/>
      <c r="M44" s="738"/>
      <c r="N44" s="738"/>
      <c r="O44" s="738"/>
      <c r="P44" s="738"/>
      <c r="Q44" s="738"/>
      <c r="R44" s="738"/>
      <c r="S44" s="738"/>
      <c r="T44" s="738"/>
    </row>
    <row r="45" spans="2:32" ht="15.75" x14ac:dyDescent="0.2">
      <c r="B45" s="981"/>
      <c r="C45" s="738"/>
      <c r="D45" s="738"/>
      <c r="E45" s="738"/>
      <c r="F45" s="738"/>
      <c r="G45" s="738"/>
      <c r="H45" s="738"/>
      <c r="I45" s="738"/>
      <c r="J45" s="738"/>
      <c r="K45" s="738"/>
      <c r="L45" s="738"/>
      <c r="M45" s="738"/>
      <c r="N45" s="738"/>
      <c r="O45" s="738"/>
      <c r="P45" s="738"/>
      <c r="Q45" s="738"/>
      <c r="R45" s="738"/>
      <c r="S45" s="738"/>
      <c r="T45" s="738"/>
    </row>
    <row r="46" spans="2:32" ht="16.5" thickBot="1" x14ac:dyDescent="0.25">
      <c r="B46" s="981"/>
      <c r="C46" s="738"/>
      <c r="D46" s="738"/>
      <c r="E46" s="738"/>
      <c r="F46" s="738"/>
      <c r="G46" s="738"/>
      <c r="H46" s="738"/>
      <c r="I46" s="738"/>
      <c r="J46" s="738"/>
      <c r="K46" s="738"/>
      <c r="L46" s="738"/>
      <c r="M46" s="738"/>
      <c r="N46" s="738"/>
      <c r="O46" s="738"/>
      <c r="P46" s="738"/>
      <c r="Q46" s="738"/>
      <c r="R46" s="738"/>
      <c r="S46" s="738"/>
      <c r="T46" s="738"/>
    </row>
    <row r="47" spans="2:32" ht="12.75" x14ac:dyDescent="0.2">
      <c r="B47" s="739" t="s">
        <v>1384</v>
      </c>
      <c r="C47" s="974"/>
      <c r="D47" s="974"/>
      <c r="E47" s="974"/>
      <c r="F47" s="974"/>
      <c r="G47" s="974"/>
      <c r="H47" s="974"/>
      <c r="I47" s="974"/>
      <c r="J47" s="974"/>
      <c r="K47" s="974"/>
      <c r="L47" s="974"/>
      <c r="M47" s="974"/>
      <c r="N47" s="974"/>
      <c r="O47" s="974"/>
      <c r="P47" s="974"/>
      <c r="Q47" s="974"/>
      <c r="R47" s="974"/>
      <c r="S47" s="975"/>
    </row>
    <row r="48" spans="2:32" ht="12.75" x14ac:dyDescent="0.2">
      <c r="B48" s="978"/>
      <c r="C48" s="979"/>
      <c r="D48" s="979"/>
      <c r="E48" s="979"/>
      <c r="F48" s="979"/>
      <c r="G48" s="979"/>
      <c r="H48" s="979"/>
      <c r="I48" s="979"/>
      <c r="J48" s="979"/>
      <c r="K48" s="979"/>
      <c r="L48" s="979"/>
      <c r="M48" s="979"/>
      <c r="N48" s="979"/>
      <c r="O48" s="979"/>
      <c r="P48" s="979"/>
      <c r="Q48" s="979"/>
      <c r="R48" s="979"/>
      <c r="S48" s="980"/>
    </row>
    <row r="49" spans="2:20" ht="12.75" x14ac:dyDescent="0.2">
      <c r="B49" s="978"/>
      <c r="C49" s="979"/>
      <c r="D49" s="979"/>
      <c r="E49" s="979"/>
      <c r="F49" s="979"/>
      <c r="G49" s="979"/>
      <c r="H49" s="979"/>
      <c r="I49" s="979"/>
      <c r="J49" s="979"/>
      <c r="K49" s="979"/>
      <c r="L49" s="979"/>
      <c r="M49" s="979"/>
      <c r="N49" s="979"/>
      <c r="O49" s="979"/>
      <c r="P49" s="979"/>
      <c r="Q49" s="979"/>
      <c r="R49" s="979"/>
      <c r="S49" s="980"/>
    </row>
    <row r="50" spans="2:20" ht="12.75" x14ac:dyDescent="0.2">
      <c r="B50" s="978"/>
      <c r="C50" s="979"/>
      <c r="D50" s="979"/>
      <c r="E50" s="979"/>
      <c r="F50" s="979"/>
      <c r="G50" s="979"/>
      <c r="H50" s="979"/>
      <c r="I50" s="979"/>
      <c r="J50" s="979"/>
      <c r="K50" s="979"/>
      <c r="L50" s="979"/>
      <c r="M50" s="979"/>
      <c r="N50" s="979"/>
      <c r="O50" s="979"/>
      <c r="P50" s="979"/>
      <c r="Q50" s="979"/>
      <c r="R50" s="979"/>
      <c r="S50" s="980"/>
    </row>
    <row r="51" spans="2:20" ht="13.5" thickBot="1" x14ac:dyDescent="0.25">
      <c r="B51" s="741"/>
      <c r="C51" s="976"/>
      <c r="D51" s="976"/>
      <c r="E51" s="976"/>
      <c r="F51" s="976"/>
      <c r="G51" s="976"/>
      <c r="H51" s="976"/>
      <c r="I51" s="976"/>
      <c r="J51" s="976"/>
      <c r="K51" s="976"/>
      <c r="L51" s="976"/>
      <c r="M51" s="976"/>
      <c r="N51" s="976"/>
      <c r="O51" s="976"/>
      <c r="P51" s="976"/>
      <c r="Q51" s="976"/>
      <c r="R51" s="976"/>
      <c r="S51" s="977"/>
    </row>
    <row r="52" spans="2:20" ht="12" customHeight="1" thickBot="1" x14ac:dyDescent="0.25">
      <c r="B52" s="742" t="s">
        <v>2427</v>
      </c>
      <c r="C52" s="743"/>
      <c r="D52" s="743"/>
      <c r="E52" s="743"/>
      <c r="F52" s="743"/>
      <c r="G52" s="743"/>
      <c r="H52" s="743"/>
      <c r="I52" s="743"/>
      <c r="J52" s="743"/>
      <c r="K52" s="743"/>
      <c r="L52" s="743"/>
      <c r="M52" s="743"/>
      <c r="N52" s="743"/>
      <c r="O52" s="743"/>
      <c r="P52" s="743"/>
      <c r="Q52" s="743"/>
      <c r="R52" s="743"/>
      <c r="S52" s="744"/>
      <c r="T52" s="745"/>
    </row>
    <row r="53" spans="2:20" ht="12" customHeight="1" x14ac:dyDescent="0.2">
      <c r="B53" s="746"/>
      <c r="C53" s="746"/>
      <c r="D53" s="746"/>
      <c r="E53" s="746"/>
      <c r="F53" s="746"/>
      <c r="G53" s="746"/>
      <c r="H53" s="746"/>
      <c r="I53" s="746"/>
      <c r="J53" s="746"/>
      <c r="K53" s="746"/>
      <c r="L53" s="746"/>
      <c r="M53" s="746"/>
      <c r="N53" s="746"/>
      <c r="O53" s="746"/>
      <c r="P53" s="746"/>
      <c r="Q53" s="746"/>
      <c r="R53" s="746"/>
      <c r="S53" s="746"/>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0"/>
  <sheetViews>
    <sheetView showGridLines="0" topLeftCell="B1" zoomScale="80" zoomScaleNormal="80" workbookViewId="0">
      <pane xSplit="1" ySplit="6" topLeftCell="C7"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1696</v>
      </c>
      <c r="C1" s="213"/>
      <c r="D1" s="213"/>
      <c r="F1" s="14" t="s">
        <v>2521</v>
      </c>
    </row>
    <row r="2" spans="2:7" ht="15.75" x14ac:dyDescent="0.2">
      <c r="B2" s="3" t="s">
        <v>62</v>
      </c>
      <c r="F2" s="14" t="s">
        <v>2522</v>
      </c>
    </row>
    <row r="3" spans="2:7" x14ac:dyDescent="0.2">
      <c r="F3" s="14" t="s">
        <v>2144</v>
      </c>
    </row>
    <row r="4" spans="2:7" hidden="1" x14ac:dyDescent="0.2">
      <c r="F4" s="2"/>
    </row>
    <row r="5" spans="2:7" hidden="1" x14ac:dyDescent="0.2">
      <c r="F5" s="2"/>
    </row>
    <row r="6" spans="2:7" hidden="1" x14ac:dyDescent="0.2">
      <c r="F6" s="2"/>
    </row>
    <row r="7" spans="2:7" ht="13.5" thickBot="1" x14ac:dyDescent="0.25">
      <c r="B7" s="2446" t="s">
        <v>64</v>
      </c>
    </row>
    <row r="8" spans="2:7" ht="18" customHeight="1" x14ac:dyDescent="0.2">
      <c r="B8" s="2426" t="s">
        <v>2004</v>
      </c>
      <c r="C8" s="668"/>
      <c r="D8" s="2425"/>
      <c r="E8" s="668"/>
      <c r="F8" s="747"/>
      <c r="G8" s="19"/>
    </row>
    <row r="9" spans="2:7" ht="18" customHeight="1" thickBot="1" x14ac:dyDescent="0.25">
      <c r="B9" s="748" t="s">
        <v>1697</v>
      </c>
      <c r="C9" s="649" t="s">
        <v>2002</v>
      </c>
      <c r="D9" s="649" t="s">
        <v>2003</v>
      </c>
      <c r="E9" s="4534" t="s">
        <v>1698</v>
      </c>
      <c r="F9" s="4535"/>
      <c r="G9" s="19"/>
    </row>
    <row r="10" spans="2:7" ht="14.25" thickTop="1" x14ac:dyDescent="0.2">
      <c r="B10" s="982" t="s">
        <v>1699</v>
      </c>
      <c r="C10" s="4132" t="s">
        <v>2317</v>
      </c>
      <c r="D10" s="4132" t="s">
        <v>2321</v>
      </c>
      <c r="E10" s="4536" t="s">
        <v>2438</v>
      </c>
      <c r="F10" s="4537"/>
    </row>
    <row r="11" spans="2:7" x14ac:dyDescent="0.2">
      <c r="B11" s="4131"/>
      <c r="C11" s="4133" t="s">
        <v>2317</v>
      </c>
      <c r="D11" s="4133" t="s">
        <v>2319</v>
      </c>
      <c r="E11" s="4538" t="s">
        <v>2318</v>
      </c>
      <c r="F11" s="4539"/>
    </row>
    <row r="12" spans="2:7" x14ac:dyDescent="0.2">
      <c r="B12" s="4131"/>
      <c r="C12" s="4133" t="s">
        <v>2317</v>
      </c>
      <c r="D12" s="4133" t="s">
        <v>2320</v>
      </c>
      <c r="E12" s="4528" t="s">
        <v>2318</v>
      </c>
      <c r="F12" s="4529"/>
    </row>
    <row r="13" spans="2:7" ht="58.5" customHeight="1" x14ac:dyDescent="0.2">
      <c r="B13" s="4131"/>
      <c r="C13" s="4133" t="s">
        <v>1827</v>
      </c>
      <c r="D13" s="4133" t="s">
        <v>2450</v>
      </c>
      <c r="E13" s="4530" t="s">
        <v>2451</v>
      </c>
      <c r="F13" s="4542"/>
    </row>
    <row r="14" spans="2:7" x14ac:dyDescent="0.2">
      <c r="B14" s="4131"/>
      <c r="C14" s="4133" t="s">
        <v>1827</v>
      </c>
      <c r="D14" s="4133" t="s">
        <v>540</v>
      </c>
      <c r="E14" s="4540" t="s">
        <v>2439</v>
      </c>
      <c r="F14" s="4541"/>
    </row>
    <row r="15" spans="2:7" ht="39.75" customHeight="1" x14ac:dyDescent="0.2">
      <c r="B15" s="4131"/>
      <c r="C15" s="4133" t="s">
        <v>2372</v>
      </c>
      <c r="D15" s="4133" t="s">
        <v>2434</v>
      </c>
      <c r="E15" s="4530" t="s">
        <v>2435</v>
      </c>
      <c r="F15" s="4531"/>
    </row>
    <row r="16" spans="2:7" x14ac:dyDescent="0.2">
      <c r="B16" s="4131"/>
      <c r="C16" s="4133" t="s">
        <v>2372</v>
      </c>
      <c r="D16" s="4133" t="s">
        <v>2373</v>
      </c>
      <c r="E16" s="4528" t="s">
        <v>2380</v>
      </c>
      <c r="F16" s="4529"/>
    </row>
    <row r="17" spans="2:7" ht="40.5" customHeight="1" x14ac:dyDescent="0.2">
      <c r="B17" s="4131"/>
      <c r="C17" s="4133" t="s">
        <v>1831</v>
      </c>
      <c r="D17" s="4133" t="s">
        <v>2436</v>
      </c>
      <c r="E17" s="4530" t="s">
        <v>2435</v>
      </c>
      <c r="F17" s="4531"/>
    </row>
    <row r="18" spans="2:7" x14ac:dyDescent="0.2">
      <c r="B18" s="4131"/>
      <c r="C18" s="4133" t="s">
        <v>1831</v>
      </c>
      <c r="D18" s="4132" t="s">
        <v>2391</v>
      </c>
      <c r="E18" s="4530" t="s">
        <v>2393</v>
      </c>
      <c r="F18" s="4531"/>
    </row>
    <row r="19" spans="2:7" x14ac:dyDescent="0.2">
      <c r="B19" s="868"/>
      <c r="C19" s="4132" t="s">
        <v>2381</v>
      </c>
      <c r="D19" s="4132" t="s">
        <v>2382</v>
      </c>
      <c r="E19" s="4528" t="s">
        <v>2440</v>
      </c>
      <c r="F19" s="4529"/>
    </row>
    <row r="20" spans="2:7" ht="13.5" x14ac:dyDescent="0.2">
      <c r="B20" s="867" t="s">
        <v>1700</v>
      </c>
      <c r="C20" s="4133" t="s">
        <v>2317</v>
      </c>
      <c r="D20" s="4132" t="s">
        <v>2429</v>
      </c>
      <c r="E20" s="4528" t="s">
        <v>2318</v>
      </c>
      <c r="F20" s="4529"/>
    </row>
    <row r="21" spans="2:7" x14ac:dyDescent="0.2">
      <c r="B21" s="4131"/>
      <c r="C21" s="4132" t="s">
        <v>2317</v>
      </c>
      <c r="D21" s="4132" t="s">
        <v>2321</v>
      </c>
      <c r="E21" s="4528" t="s">
        <v>2441</v>
      </c>
      <c r="F21" s="4529"/>
    </row>
    <row r="22" spans="2:7" x14ac:dyDescent="0.2">
      <c r="B22" s="4131"/>
      <c r="C22" s="4132" t="s">
        <v>2317</v>
      </c>
      <c r="D22" s="4132" t="s">
        <v>2428</v>
      </c>
      <c r="E22" s="4528" t="s">
        <v>2318</v>
      </c>
      <c r="F22" s="4529"/>
      <c r="G22" s="4207"/>
    </row>
    <row r="23" spans="2:7" x14ac:dyDescent="0.2">
      <c r="B23" s="4131"/>
      <c r="C23" s="4132" t="s">
        <v>2317</v>
      </c>
      <c r="D23" s="4132" t="s">
        <v>2322</v>
      </c>
      <c r="E23" s="4528" t="s">
        <v>2318</v>
      </c>
      <c r="F23" s="4529"/>
    </row>
    <row r="24" spans="2:7" x14ac:dyDescent="0.2">
      <c r="B24" s="4131"/>
      <c r="C24" s="4132" t="s">
        <v>2317</v>
      </c>
      <c r="D24" s="4132" t="s">
        <v>2341</v>
      </c>
      <c r="E24" s="4530" t="s">
        <v>2345</v>
      </c>
      <c r="F24" s="4531"/>
    </row>
    <row r="25" spans="2:7" ht="39.75" customHeight="1" x14ac:dyDescent="0.2">
      <c r="B25" s="4131"/>
      <c r="C25" s="4133" t="s">
        <v>2372</v>
      </c>
      <c r="D25" s="4133" t="s">
        <v>2434</v>
      </c>
      <c r="E25" s="4530" t="s">
        <v>2435</v>
      </c>
      <c r="F25" s="4531"/>
    </row>
    <row r="26" spans="2:7" x14ac:dyDescent="0.2">
      <c r="B26" s="4131"/>
      <c r="C26" s="4133" t="s">
        <v>2372</v>
      </c>
      <c r="D26" s="4132" t="s">
        <v>2375</v>
      </c>
      <c r="E26" s="4528" t="s">
        <v>2377</v>
      </c>
      <c r="F26" s="4529"/>
    </row>
    <row r="27" spans="2:7" x14ac:dyDescent="0.2">
      <c r="B27" s="4131"/>
      <c r="C27" s="4133" t="s">
        <v>2372</v>
      </c>
      <c r="D27" s="4132" t="s">
        <v>1640</v>
      </c>
      <c r="E27" s="4528" t="s">
        <v>2376</v>
      </c>
      <c r="F27" s="4529"/>
    </row>
    <row r="28" spans="2:7" x14ac:dyDescent="0.2">
      <c r="B28" s="4131"/>
      <c r="C28" s="4133" t="s">
        <v>2372</v>
      </c>
      <c r="D28" s="4132" t="s">
        <v>2437</v>
      </c>
      <c r="E28" s="4528" t="s">
        <v>2442</v>
      </c>
      <c r="F28" s="4529"/>
    </row>
    <row r="29" spans="2:7" ht="40.5" customHeight="1" x14ac:dyDescent="0.2">
      <c r="B29" s="4131"/>
      <c r="C29" s="4133" t="s">
        <v>1831</v>
      </c>
      <c r="D29" s="4133" t="s">
        <v>2436</v>
      </c>
      <c r="E29" s="4530" t="s">
        <v>2435</v>
      </c>
      <c r="F29" s="4531"/>
    </row>
    <row r="30" spans="2:7" ht="27" customHeight="1" x14ac:dyDescent="0.2">
      <c r="B30" s="4131"/>
      <c r="C30" s="4133" t="s">
        <v>1831</v>
      </c>
      <c r="D30" s="4132" t="s">
        <v>2391</v>
      </c>
      <c r="E30" s="4530" t="s">
        <v>2392</v>
      </c>
      <c r="F30" s="4531"/>
    </row>
    <row r="31" spans="2:7" x14ac:dyDescent="0.2">
      <c r="B31" s="4131"/>
      <c r="C31" s="4132" t="s">
        <v>2381</v>
      </c>
      <c r="D31" s="4132" t="s">
        <v>2444</v>
      </c>
      <c r="E31" s="4528" t="s">
        <v>2445</v>
      </c>
      <c r="F31" s="4529"/>
    </row>
    <row r="32" spans="2:7" x14ac:dyDescent="0.2">
      <c r="B32" s="4131"/>
      <c r="C32" s="4132" t="s">
        <v>2381</v>
      </c>
      <c r="D32" s="4132" t="s">
        <v>2446</v>
      </c>
      <c r="E32" s="4528" t="s">
        <v>2447</v>
      </c>
      <c r="F32" s="4529"/>
    </row>
    <row r="33" spans="2:7" x14ac:dyDescent="0.2">
      <c r="B33" s="4131"/>
      <c r="C33" s="4132" t="s">
        <v>2381</v>
      </c>
      <c r="D33" s="4132" t="s">
        <v>2383</v>
      </c>
      <c r="E33" s="4528" t="s">
        <v>2439</v>
      </c>
      <c r="F33" s="4529"/>
    </row>
    <row r="34" spans="2:7" x14ac:dyDescent="0.2">
      <c r="B34" s="868"/>
      <c r="C34" s="4132" t="s">
        <v>2381</v>
      </c>
      <c r="D34" s="4132" t="s">
        <v>2382</v>
      </c>
      <c r="E34" s="4528" t="s">
        <v>2443</v>
      </c>
      <c r="F34" s="4529"/>
    </row>
    <row r="35" spans="2:7" ht="13.5" x14ac:dyDescent="0.2">
      <c r="B35" s="867" t="s">
        <v>1701</v>
      </c>
      <c r="C35" s="4133" t="s">
        <v>2317</v>
      </c>
      <c r="D35" s="4132" t="s">
        <v>2429</v>
      </c>
      <c r="E35" s="4528" t="s">
        <v>2318</v>
      </c>
      <c r="F35" s="4529"/>
    </row>
    <row r="36" spans="2:7" x14ac:dyDescent="0.2">
      <c r="B36" s="4131"/>
      <c r="C36" s="4132" t="s">
        <v>2317</v>
      </c>
      <c r="D36" s="4132" t="s">
        <v>2321</v>
      </c>
      <c r="E36" s="4528" t="s">
        <v>2441</v>
      </c>
      <c r="F36" s="4529"/>
    </row>
    <row r="37" spans="2:7" x14ac:dyDescent="0.2">
      <c r="B37" s="4131"/>
      <c r="C37" s="4132" t="s">
        <v>2317</v>
      </c>
      <c r="D37" s="4132" t="s">
        <v>2428</v>
      </c>
      <c r="E37" s="4528" t="s">
        <v>2318</v>
      </c>
      <c r="F37" s="4529"/>
      <c r="G37" s="4207"/>
    </row>
    <row r="38" spans="2:7" x14ac:dyDescent="0.2">
      <c r="B38" s="4131"/>
      <c r="C38" s="4132" t="s">
        <v>2317</v>
      </c>
      <c r="D38" s="4132" t="s">
        <v>2322</v>
      </c>
      <c r="E38" s="4528" t="s">
        <v>2318</v>
      </c>
      <c r="F38" s="4529"/>
    </row>
    <row r="39" spans="2:7" ht="41.25" customHeight="1" x14ac:dyDescent="0.2">
      <c r="B39" s="4131"/>
      <c r="C39" s="4133" t="s">
        <v>2372</v>
      </c>
      <c r="D39" s="4133" t="s">
        <v>2434</v>
      </c>
      <c r="E39" s="4530" t="s">
        <v>2435</v>
      </c>
      <c r="F39" s="4531"/>
    </row>
    <row r="40" spans="2:7" x14ac:dyDescent="0.2">
      <c r="B40" s="4131"/>
      <c r="C40" s="4132" t="s">
        <v>2372</v>
      </c>
      <c r="D40" s="4132" t="s">
        <v>2378</v>
      </c>
      <c r="E40" s="4528" t="s">
        <v>2379</v>
      </c>
      <c r="F40" s="4529"/>
    </row>
    <row r="41" spans="2:7" x14ac:dyDescent="0.2">
      <c r="B41" s="4131"/>
      <c r="C41" s="4133" t="s">
        <v>2372</v>
      </c>
      <c r="D41" s="4132" t="s">
        <v>2437</v>
      </c>
      <c r="E41" s="4528" t="s">
        <v>2442</v>
      </c>
      <c r="F41" s="4529"/>
    </row>
    <row r="42" spans="2:7" ht="40.5" customHeight="1" x14ac:dyDescent="0.2">
      <c r="B42" s="4131"/>
      <c r="C42" s="4133" t="s">
        <v>1831</v>
      </c>
      <c r="D42" s="4133" t="s">
        <v>2436</v>
      </c>
      <c r="E42" s="4530" t="s">
        <v>2435</v>
      </c>
      <c r="F42" s="4531"/>
    </row>
    <row r="43" spans="2:7" x14ac:dyDescent="0.2">
      <c r="B43" s="4131"/>
      <c r="C43" s="4133" t="s">
        <v>1831</v>
      </c>
      <c r="D43" s="4132" t="s">
        <v>2391</v>
      </c>
      <c r="E43" s="4530" t="s">
        <v>2394</v>
      </c>
      <c r="F43" s="4531"/>
    </row>
    <row r="44" spans="2:7" x14ac:dyDescent="0.2">
      <c r="B44" s="4131"/>
      <c r="C44" s="4132" t="s">
        <v>2381</v>
      </c>
      <c r="D44" s="4132" t="s">
        <v>2444</v>
      </c>
      <c r="E44" s="4528" t="s">
        <v>2445</v>
      </c>
      <c r="F44" s="4529"/>
    </row>
    <row r="45" spans="2:7" x14ac:dyDescent="0.2">
      <c r="B45" s="4131"/>
      <c r="C45" s="4132" t="s">
        <v>2381</v>
      </c>
      <c r="D45" s="4132" t="s">
        <v>2446</v>
      </c>
      <c r="E45" s="4528" t="s">
        <v>2447</v>
      </c>
      <c r="F45" s="4529"/>
    </row>
    <row r="46" spans="2:7" x14ac:dyDescent="0.2">
      <c r="B46" s="4131"/>
      <c r="C46" s="4132" t="s">
        <v>2381</v>
      </c>
      <c r="D46" s="4132" t="s">
        <v>2383</v>
      </c>
      <c r="E46" s="4528" t="s">
        <v>2439</v>
      </c>
      <c r="F46" s="4529"/>
    </row>
    <row r="47" spans="2:7" x14ac:dyDescent="0.2">
      <c r="B47" s="868"/>
      <c r="C47" s="4132" t="s">
        <v>2381</v>
      </c>
      <c r="D47" s="4132" t="s">
        <v>2382</v>
      </c>
      <c r="E47" s="4528" t="s">
        <v>2443</v>
      </c>
      <c r="F47" s="4529"/>
    </row>
    <row r="48" spans="2:7" ht="18" customHeight="1" x14ac:dyDescent="0.2">
      <c r="B48" s="867" t="s">
        <v>1539</v>
      </c>
      <c r="C48" s="4132"/>
      <c r="D48" s="4132"/>
      <c r="E48" s="4528"/>
      <c r="F48" s="4529"/>
    </row>
    <row r="49" spans="2:6" ht="18" customHeight="1" x14ac:dyDescent="0.2">
      <c r="B49" s="868"/>
      <c r="C49" s="4132"/>
      <c r="D49" s="4132"/>
      <c r="E49" s="4528"/>
      <c r="F49" s="4529"/>
    </row>
    <row r="50" spans="2:6" ht="18" customHeight="1" x14ac:dyDescent="0.2">
      <c r="B50" s="867" t="s">
        <v>1511</v>
      </c>
      <c r="C50" s="4132"/>
      <c r="D50" s="4132"/>
      <c r="E50" s="4528"/>
      <c r="F50" s="4529"/>
    </row>
    <row r="51" spans="2:6" ht="18" customHeight="1" x14ac:dyDescent="0.2">
      <c r="B51" s="868"/>
      <c r="C51" s="4132"/>
      <c r="D51" s="4132"/>
      <c r="E51" s="4528"/>
      <c r="F51" s="4529"/>
    </row>
    <row r="52" spans="2:6" ht="18" customHeight="1" x14ac:dyDescent="0.2">
      <c r="B52" s="2558" t="s">
        <v>2119</v>
      </c>
      <c r="C52" s="4132"/>
      <c r="D52" s="4132"/>
      <c r="E52" s="4528"/>
      <c r="F52" s="4529"/>
    </row>
    <row r="53" spans="2:6" ht="18" customHeight="1" x14ac:dyDescent="0.2">
      <c r="B53" s="2559" t="s">
        <v>2120</v>
      </c>
      <c r="C53" s="4132"/>
      <c r="D53" s="4132"/>
      <c r="E53" s="4528"/>
      <c r="F53" s="4529"/>
    </row>
    <row r="54" spans="2:6" ht="18" customHeight="1" x14ac:dyDescent="0.2">
      <c r="B54" s="2558" t="s">
        <v>1621</v>
      </c>
      <c r="C54" s="4132"/>
      <c r="D54" s="4132"/>
      <c r="E54" s="4528"/>
      <c r="F54" s="4529"/>
    </row>
    <row r="55" spans="2:6" ht="18" customHeight="1" x14ac:dyDescent="0.2">
      <c r="B55" s="2559"/>
      <c r="C55" s="4132"/>
      <c r="D55" s="4132"/>
      <c r="E55" s="4528"/>
      <c r="F55" s="4529"/>
    </row>
    <row r="56" spans="2:6" ht="18" customHeight="1" x14ac:dyDescent="0.2">
      <c r="B56" s="2560" t="s">
        <v>1754</v>
      </c>
      <c r="C56" s="4132"/>
      <c r="D56" s="4132"/>
      <c r="E56" s="4528"/>
      <c r="F56" s="4529"/>
    </row>
    <row r="57" spans="2:6" ht="18" customHeight="1" thickBot="1" x14ac:dyDescent="0.25">
      <c r="B57" s="2561"/>
      <c r="C57" s="4134"/>
      <c r="D57" s="4134"/>
      <c r="E57" s="4532"/>
      <c r="F57" s="4533"/>
    </row>
    <row r="58" spans="2:6" ht="18" customHeight="1" thickBot="1" x14ac:dyDescent="0.25">
      <c r="B58" s="2562"/>
      <c r="C58" s="2528"/>
      <c r="D58" s="2528"/>
      <c r="E58" s="2528"/>
      <c r="F58" s="2529"/>
    </row>
    <row r="59" spans="2:6" ht="18" customHeight="1" x14ac:dyDescent="0.2">
      <c r="B59" s="2563" t="s">
        <v>2126</v>
      </c>
      <c r="C59" s="2526"/>
      <c r="D59" s="2526"/>
      <c r="E59" s="2526"/>
      <c r="F59" s="2527"/>
    </row>
    <row r="60" spans="2:6" ht="18" customHeight="1" thickBot="1" x14ac:dyDescent="0.25">
      <c r="B60" s="2564" t="s">
        <v>1697</v>
      </c>
      <c r="C60" s="649" t="s">
        <v>1703</v>
      </c>
      <c r="D60" s="649" t="s">
        <v>1704</v>
      </c>
      <c r="E60" s="649" t="s">
        <v>1705</v>
      </c>
      <c r="F60" s="749" t="s">
        <v>1698</v>
      </c>
    </row>
    <row r="61" spans="2:6" ht="26.25" thickTop="1" x14ac:dyDescent="0.2">
      <c r="B61" s="2565" t="s">
        <v>1560</v>
      </c>
      <c r="C61" s="4132" t="s">
        <v>2317</v>
      </c>
      <c r="D61" s="4133" t="s">
        <v>2329</v>
      </c>
      <c r="E61" s="4133" t="s">
        <v>2332</v>
      </c>
      <c r="F61" s="4144" t="s">
        <v>2333</v>
      </c>
    </row>
    <row r="62" spans="2:6" ht="25.5" x14ac:dyDescent="0.2">
      <c r="B62" s="4142"/>
      <c r="C62" s="4132" t="s">
        <v>2317</v>
      </c>
      <c r="D62" s="4133" t="s">
        <v>2334</v>
      </c>
      <c r="E62" s="4133" t="s">
        <v>2332</v>
      </c>
      <c r="F62" s="4144" t="s">
        <v>2335</v>
      </c>
    </row>
    <row r="63" spans="2:6" ht="25.5" x14ac:dyDescent="0.2">
      <c r="B63" s="4142"/>
      <c r="C63" s="4132" t="s">
        <v>2317</v>
      </c>
      <c r="D63" s="4133" t="s">
        <v>2337</v>
      </c>
      <c r="E63" s="4133" t="s">
        <v>2338</v>
      </c>
      <c r="F63" s="4144" t="s">
        <v>2336</v>
      </c>
    </row>
    <row r="64" spans="2:6" ht="25.5" x14ac:dyDescent="0.2">
      <c r="B64" s="4142"/>
      <c r="C64" s="4132" t="s">
        <v>2317</v>
      </c>
      <c r="D64" s="4132" t="s">
        <v>2330</v>
      </c>
      <c r="E64" s="4132" t="s">
        <v>2331</v>
      </c>
      <c r="F64" s="4144" t="s">
        <v>2328</v>
      </c>
    </row>
    <row r="65" spans="2:6" ht="25.5" x14ac:dyDescent="0.2">
      <c r="B65" s="4142"/>
      <c r="C65" s="4132" t="s">
        <v>2317</v>
      </c>
      <c r="D65" s="4132" t="s">
        <v>2323</v>
      </c>
      <c r="E65" s="4132" t="s">
        <v>2324</v>
      </c>
      <c r="F65" s="4144" t="s">
        <v>2325</v>
      </c>
    </row>
    <row r="66" spans="2:6" x14ac:dyDescent="0.2">
      <c r="B66" s="4142"/>
      <c r="C66" s="4132" t="s">
        <v>2317</v>
      </c>
      <c r="D66" s="4132" t="s">
        <v>2326</v>
      </c>
      <c r="E66" s="4132" t="s">
        <v>2324</v>
      </c>
      <c r="F66" s="4144" t="s">
        <v>2327</v>
      </c>
    </row>
    <row r="67" spans="2:6" ht="25.5" x14ac:dyDescent="0.2">
      <c r="B67" s="4142"/>
      <c r="C67" s="4132" t="s">
        <v>2317</v>
      </c>
      <c r="D67" s="4132" t="s">
        <v>2340</v>
      </c>
      <c r="E67" s="4132" t="s">
        <v>2342</v>
      </c>
      <c r="F67" s="4144" t="s">
        <v>2344</v>
      </c>
    </row>
    <row r="68" spans="2:6" ht="25.5" x14ac:dyDescent="0.2">
      <c r="B68" s="4142"/>
      <c r="C68" s="4132" t="s">
        <v>1827</v>
      </c>
      <c r="D68" s="4132" t="s">
        <v>2352</v>
      </c>
      <c r="E68" s="4133" t="s">
        <v>2353</v>
      </c>
      <c r="F68" s="4144" t="s">
        <v>2354</v>
      </c>
    </row>
    <row r="69" spans="2:6" ht="25.5" x14ac:dyDescent="0.2">
      <c r="B69" s="4142"/>
      <c r="C69" s="4132" t="s">
        <v>1827</v>
      </c>
      <c r="D69" s="4132" t="s">
        <v>2357</v>
      </c>
      <c r="E69" s="4133" t="s">
        <v>2355</v>
      </c>
      <c r="F69" s="4144" t="s">
        <v>2356</v>
      </c>
    </row>
    <row r="70" spans="2:6" ht="25.5" x14ac:dyDescent="0.2">
      <c r="B70" s="4142"/>
      <c r="C70" s="4132" t="s">
        <v>1827</v>
      </c>
      <c r="D70" s="4132" t="s">
        <v>1613</v>
      </c>
      <c r="E70" s="4133" t="s">
        <v>2355</v>
      </c>
      <c r="F70" s="4144" t="s">
        <v>2358</v>
      </c>
    </row>
    <row r="71" spans="2:6" ht="25.5" x14ac:dyDescent="0.2">
      <c r="B71" s="4142"/>
      <c r="C71" s="4132" t="s">
        <v>1827</v>
      </c>
      <c r="D71" s="4132" t="s">
        <v>2363</v>
      </c>
      <c r="E71" s="4133" t="s">
        <v>2364</v>
      </c>
      <c r="F71" s="4144" t="s">
        <v>2365</v>
      </c>
    </row>
    <row r="72" spans="2:6" ht="12.75" customHeight="1" x14ac:dyDescent="0.2">
      <c r="B72" s="4142"/>
      <c r="C72" s="4132" t="s">
        <v>1827</v>
      </c>
      <c r="D72" s="4132" t="s">
        <v>2453</v>
      </c>
      <c r="E72" s="4132" t="s">
        <v>2448</v>
      </c>
      <c r="F72" s="4144" t="s">
        <v>2449</v>
      </c>
    </row>
    <row r="73" spans="2:6" ht="67.5" customHeight="1" x14ac:dyDescent="0.2">
      <c r="B73" s="4142"/>
      <c r="C73" s="4132" t="s">
        <v>1827</v>
      </c>
      <c r="D73" s="4132" t="s">
        <v>2452</v>
      </c>
      <c r="E73" s="4132" t="s">
        <v>2448</v>
      </c>
      <c r="F73" s="4144" t="s">
        <v>2454</v>
      </c>
    </row>
    <row r="74" spans="2:6" ht="67.5" customHeight="1" x14ac:dyDescent="0.2">
      <c r="B74" s="4142"/>
      <c r="C74" s="4132" t="s">
        <v>1827</v>
      </c>
      <c r="D74" s="4132" t="s">
        <v>2455</v>
      </c>
      <c r="E74" s="4132" t="s">
        <v>2448</v>
      </c>
      <c r="F74" s="4144" t="s">
        <v>2454</v>
      </c>
    </row>
    <row r="75" spans="2:6" ht="67.5" customHeight="1" x14ac:dyDescent="0.2">
      <c r="B75" s="4142"/>
      <c r="C75" s="4132" t="s">
        <v>1827</v>
      </c>
      <c r="D75" s="4132" t="s">
        <v>2456</v>
      </c>
      <c r="E75" s="4132" t="s">
        <v>2448</v>
      </c>
      <c r="F75" s="4144" t="s">
        <v>2454</v>
      </c>
    </row>
    <row r="76" spans="2:6" ht="67.5" customHeight="1" x14ac:dyDescent="0.2">
      <c r="B76" s="4142"/>
      <c r="C76" s="4132" t="s">
        <v>1827</v>
      </c>
      <c r="D76" s="4132" t="s">
        <v>2457</v>
      </c>
      <c r="E76" s="4132" t="s">
        <v>2448</v>
      </c>
      <c r="F76" s="4144" t="s">
        <v>2454</v>
      </c>
    </row>
    <row r="77" spans="2:6" ht="67.5" customHeight="1" x14ac:dyDescent="0.2">
      <c r="B77" s="4142"/>
      <c r="C77" s="4132" t="s">
        <v>1827</v>
      </c>
      <c r="D77" s="4132" t="s">
        <v>2458</v>
      </c>
      <c r="E77" s="4132" t="s">
        <v>2448</v>
      </c>
      <c r="F77" s="4144" t="s">
        <v>2454</v>
      </c>
    </row>
    <row r="78" spans="2:6" ht="25.5" x14ac:dyDescent="0.2">
      <c r="B78" s="4142"/>
      <c r="C78" s="4132" t="s">
        <v>1827</v>
      </c>
      <c r="D78" s="4132" t="s">
        <v>2349</v>
      </c>
      <c r="E78" s="4132" t="s">
        <v>2342</v>
      </c>
      <c r="F78" s="4144" t="s">
        <v>2366</v>
      </c>
    </row>
    <row r="79" spans="2:6" x14ac:dyDescent="0.2">
      <c r="B79" s="4142"/>
      <c r="C79" s="4132" t="s">
        <v>1827</v>
      </c>
      <c r="D79" s="4132" t="s">
        <v>2350</v>
      </c>
      <c r="E79" s="4132" t="s">
        <v>2342</v>
      </c>
      <c r="F79" s="4144" t="s">
        <v>2367</v>
      </c>
    </row>
    <row r="80" spans="2:6" ht="25.5" x14ac:dyDescent="0.2">
      <c r="B80" s="4142"/>
      <c r="C80" s="4132" t="s">
        <v>1831</v>
      </c>
      <c r="D80" s="4132" t="s">
        <v>2404</v>
      </c>
      <c r="E80" s="4133" t="s">
        <v>2405</v>
      </c>
      <c r="F80" s="4144" t="s">
        <v>2396</v>
      </c>
    </row>
    <row r="81" spans="2:6" ht="38.25" x14ac:dyDescent="0.2">
      <c r="B81" s="4142"/>
      <c r="C81" s="4132" t="s">
        <v>1831</v>
      </c>
      <c r="D81" s="4132" t="s">
        <v>2397</v>
      </c>
      <c r="E81" s="4132" t="s">
        <v>2398</v>
      </c>
      <c r="F81" s="4144" t="s">
        <v>2399</v>
      </c>
    </row>
    <row r="82" spans="2:6" ht="38.25" x14ac:dyDescent="0.2">
      <c r="B82" s="4142"/>
      <c r="C82" s="4132" t="s">
        <v>1831</v>
      </c>
      <c r="D82" s="4132" t="s">
        <v>1056</v>
      </c>
      <c r="E82" s="4132" t="s">
        <v>985</v>
      </c>
      <c r="F82" s="4144" t="s">
        <v>2421</v>
      </c>
    </row>
    <row r="83" spans="2:6" ht="38.25" x14ac:dyDescent="0.2">
      <c r="B83" s="4142"/>
      <c r="C83" s="4132" t="s">
        <v>1831</v>
      </c>
      <c r="D83" s="4132" t="s">
        <v>1068</v>
      </c>
      <c r="E83" s="4132" t="s">
        <v>985</v>
      </c>
      <c r="F83" s="4144" t="s">
        <v>2421</v>
      </c>
    </row>
    <row r="84" spans="2:6" ht="25.5" x14ac:dyDescent="0.2">
      <c r="B84" s="4142"/>
      <c r="C84" s="4132" t="s">
        <v>1831</v>
      </c>
      <c r="D84" s="4132" t="s">
        <v>1102</v>
      </c>
      <c r="E84" s="4132" t="s">
        <v>993</v>
      </c>
      <c r="F84" s="4144" t="s">
        <v>2422</v>
      </c>
    </row>
    <row r="85" spans="2:6" ht="25.5" x14ac:dyDescent="0.2">
      <c r="B85" s="4142"/>
      <c r="C85" s="4132" t="s">
        <v>1831</v>
      </c>
      <c r="D85" s="4132" t="s">
        <v>1103</v>
      </c>
      <c r="E85" s="4132" t="s">
        <v>993</v>
      </c>
      <c r="F85" s="4144" t="s">
        <v>2422</v>
      </c>
    </row>
    <row r="86" spans="2:6" ht="25.5" x14ac:dyDescent="0.2">
      <c r="B86" s="4142"/>
      <c r="C86" s="4132" t="s">
        <v>1831</v>
      </c>
      <c r="D86" s="4132" t="s">
        <v>1104</v>
      </c>
      <c r="E86" s="4132" t="s">
        <v>993</v>
      </c>
      <c r="F86" s="4144" t="s">
        <v>2422</v>
      </c>
    </row>
    <row r="87" spans="2:6" x14ac:dyDescent="0.2">
      <c r="B87" s="4142"/>
      <c r="C87" s="4132" t="s">
        <v>1831</v>
      </c>
      <c r="D87" s="4132" t="s">
        <v>2395</v>
      </c>
      <c r="E87" s="4132" t="s">
        <v>1087</v>
      </c>
      <c r="F87" s="4144" t="s">
        <v>2406</v>
      </c>
    </row>
    <row r="88" spans="2:6" ht="25.5" x14ac:dyDescent="0.2">
      <c r="B88" s="4142"/>
      <c r="C88" s="4132" t="s">
        <v>1831</v>
      </c>
      <c r="D88" s="4132" t="s">
        <v>1666</v>
      </c>
      <c r="E88" s="4132" t="s">
        <v>2403</v>
      </c>
      <c r="F88" s="4144" t="s">
        <v>2414</v>
      </c>
    </row>
    <row r="89" spans="2:6" ht="25.5" x14ac:dyDescent="0.2">
      <c r="B89" s="4142"/>
      <c r="C89" s="4132" t="s">
        <v>1831</v>
      </c>
      <c r="D89" s="4132" t="s">
        <v>2409</v>
      </c>
      <c r="E89" s="4133" t="s">
        <v>2410</v>
      </c>
      <c r="F89" s="4144" t="s">
        <v>2412</v>
      </c>
    </row>
    <row r="90" spans="2:6" ht="25.5" x14ac:dyDescent="0.2">
      <c r="B90" s="4142"/>
      <c r="C90" s="4132" t="s">
        <v>1831</v>
      </c>
      <c r="D90" s="4132" t="s">
        <v>2411</v>
      </c>
      <c r="E90" s="4133" t="s">
        <v>2410</v>
      </c>
      <c r="F90" s="4144" t="s">
        <v>2413</v>
      </c>
    </row>
    <row r="91" spans="2:6" ht="25.5" x14ac:dyDescent="0.2">
      <c r="B91" s="4142"/>
      <c r="C91" s="4132" t="s">
        <v>1831</v>
      </c>
      <c r="D91" s="4132" t="s">
        <v>2415</v>
      </c>
      <c r="E91" s="4133" t="s">
        <v>2416</v>
      </c>
      <c r="F91" s="4144" t="s">
        <v>2417</v>
      </c>
    </row>
    <row r="92" spans="2:6" ht="38.25" x14ac:dyDescent="0.2">
      <c r="B92" s="4142"/>
      <c r="C92" s="4132" t="s">
        <v>1831</v>
      </c>
      <c r="D92" s="4132" t="s">
        <v>2418</v>
      </c>
      <c r="E92" s="4133" t="s">
        <v>2423</v>
      </c>
      <c r="F92" s="4144" t="s">
        <v>2425</v>
      </c>
    </row>
    <row r="93" spans="2:6" ht="38.25" x14ac:dyDescent="0.2">
      <c r="B93" s="4142"/>
      <c r="C93" s="4132" t="s">
        <v>1831</v>
      </c>
      <c r="D93" s="4133" t="s">
        <v>2408</v>
      </c>
      <c r="E93" s="4133" t="s">
        <v>2424</v>
      </c>
      <c r="F93" s="4144" t="s">
        <v>2426</v>
      </c>
    </row>
    <row r="94" spans="2:6" ht="25.5" x14ac:dyDescent="0.2">
      <c r="B94" s="2558" t="s">
        <v>1561</v>
      </c>
      <c r="C94" s="4132" t="s">
        <v>2317</v>
      </c>
      <c r="D94" s="4133" t="s">
        <v>2329</v>
      </c>
      <c r="E94" s="4133" t="s">
        <v>2332</v>
      </c>
      <c r="F94" s="4144" t="s">
        <v>2333</v>
      </c>
    </row>
    <row r="95" spans="2:6" ht="25.5" x14ac:dyDescent="0.2">
      <c r="B95" s="4142"/>
      <c r="C95" s="4132" t="s">
        <v>2317</v>
      </c>
      <c r="D95" s="4133" t="s">
        <v>2334</v>
      </c>
      <c r="E95" s="4133" t="s">
        <v>2332</v>
      </c>
      <c r="F95" s="4144" t="s">
        <v>2335</v>
      </c>
    </row>
    <row r="96" spans="2:6" ht="25.5" x14ac:dyDescent="0.2">
      <c r="B96" s="4142"/>
      <c r="C96" s="4132" t="s">
        <v>2317</v>
      </c>
      <c r="D96" s="4133" t="s">
        <v>2337</v>
      </c>
      <c r="E96" s="4133" t="s">
        <v>2338</v>
      </c>
      <c r="F96" s="4144" t="s">
        <v>2336</v>
      </c>
    </row>
    <row r="97" spans="2:6" ht="25.5" x14ac:dyDescent="0.2">
      <c r="B97" s="4142"/>
      <c r="C97" s="4132" t="s">
        <v>2317</v>
      </c>
      <c r="D97" s="4133" t="s">
        <v>2330</v>
      </c>
      <c r="E97" s="4133" t="s">
        <v>2331</v>
      </c>
      <c r="F97" s="4144" t="s">
        <v>2328</v>
      </c>
    </row>
    <row r="98" spans="2:6" ht="25.5" x14ac:dyDescent="0.2">
      <c r="B98" s="4142"/>
      <c r="C98" s="4132" t="s">
        <v>2317</v>
      </c>
      <c r="D98" s="4133" t="s">
        <v>2323</v>
      </c>
      <c r="E98" s="4133" t="s">
        <v>2324</v>
      </c>
      <c r="F98" s="4144" t="s">
        <v>2325</v>
      </c>
    </row>
    <row r="99" spans="2:6" x14ac:dyDescent="0.2">
      <c r="B99" s="4142"/>
      <c r="C99" s="4132" t="s">
        <v>2317</v>
      </c>
      <c r="D99" s="4133" t="s">
        <v>2326</v>
      </c>
      <c r="E99" s="4133" t="s">
        <v>2324</v>
      </c>
      <c r="F99" s="4144" t="s">
        <v>2327</v>
      </c>
    </row>
    <row r="100" spans="2:6" x14ac:dyDescent="0.2">
      <c r="B100" s="4142"/>
      <c r="C100" s="4132" t="s">
        <v>2317</v>
      </c>
      <c r="D100" s="4133" t="s">
        <v>342</v>
      </c>
      <c r="E100" s="4133" t="s">
        <v>341</v>
      </c>
      <c r="F100" s="4144" t="s">
        <v>2339</v>
      </c>
    </row>
    <row r="101" spans="2:6" ht="25.5" x14ac:dyDescent="0.2">
      <c r="B101" s="4142"/>
      <c r="C101" s="4132" t="s">
        <v>2317</v>
      </c>
      <c r="D101" s="4133" t="s">
        <v>2340</v>
      </c>
      <c r="E101" s="4133" t="s">
        <v>2342</v>
      </c>
      <c r="F101" s="4144" t="s">
        <v>2343</v>
      </c>
    </row>
    <row r="102" spans="2:6" ht="25.5" x14ac:dyDescent="0.2">
      <c r="B102" s="4142"/>
      <c r="C102" s="4132" t="s">
        <v>1827</v>
      </c>
      <c r="D102" s="4133" t="s">
        <v>2346</v>
      </c>
      <c r="E102" s="4133" t="s">
        <v>2359</v>
      </c>
      <c r="F102" s="4144" t="s">
        <v>2360</v>
      </c>
    </row>
    <row r="103" spans="2:6" ht="25.5" x14ac:dyDescent="0.2">
      <c r="B103" s="4142"/>
      <c r="C103" s="4132" t="s">
        <v>1827</v>
      </c>
      <c r="D103" s="4133" t="s">
        <v>2347</v>
      </c>
      <c r="E103" s="4133" t="s">
        <v>2359</v>
      </c>
      <c r="F103" s="4144" t="s">
        <v>2361</v>
      </c>
    </row>
    <row r="104" spans="2:6" ht="25.5" x14ac:dyDescent="0.2">
      <c r="B104" s="4142"/>
      <c r="C104" s="4132" t="s">
        <v>1827</v>
      </c>
      <c r="D104" s="4133" t="s">
        <v>2348</v>
      </c>
      <c r="E104" s="4133" t="s">
        <v>2359</v>
      </c>
      <c r="F104" s="4144" t="s">
        <v>2362</v>
      </c>
    </row>
    <row r="105" spans="2:6" ht="19.5" customHeight="1" x14ac:dyDescent="0.2">
      <c r="B105" s="4142"/>
      <c r="C105" s="4132" t="s">
        <v>1827</v>
      </c>
      <c r="D105" s="4132" t="s">
        <v>2453</v>
      </c>
      <c r="E105" s="4132" t="s">
        <v>2448</v>
      </c>
      <c r="F105" s="4144" t="s">
        <v>2449</v>
      </c>
    </row>
    <row r="106" spans="2:6" ht="25.5" x14ac:dyDescent="0.2">
      <c r="B106" s="4142"/>
      <c r="C106" s="4132" t="s">
        <v>1827</v>
      </c>
      <c r="D106" s="4132" t="s">
        <v>2452</v>
      </c>
      <c r="E106" s="4132" t="s">
        <v>2448</v>
      </c>
      <c r="F106" s="4144" t="s">
        <v>2449</v>
      </c>
    </row>
    <row r="107" spans="2:6" ht="25.5" x14ac:dyDescent="0.2">
      <c r="B107" s="4142"/>
      <c r="C107" s="4132" t="s">
        <v>1827</v>
      </c>
      <c r="D107" s="4132" t="s">
        <v>2455</v>
      </c>
      <c r="E107" s="4132" t="s">
        <v>2448</v>
      </c>
      <c r="F107" s="4144" t="s">
        <v>2449</v>
      </c>
    </row>
    <row r="108" spans="2:6" ht="25.5" x14ac:dyDescent="0.2">
      <c r="B108" s="4142"/>
      <c r="C108" s="4132" t="s">
        <v>1827</v>
      </c>
      <c r="D108" s="4132" t="s">
        <v>2456</v>
      </c>
      <c r="E108" s="4132" t="s">
        <v>2448</v>
      </c>
      <c r="F108" s="4144" t="s">
        <v>2449</v>
      </c>
    </row>
    <row r="109" spans="2:6" ht="25.5" x14ac:dyDescent="0.2">
      <c r="B109" s="4142"/>
      <c r="C109" s="4132" t="s">
        <v>1827</v>
      </c>
      <c r="D109" s="4132" t="s">
        <v>2457</v>
      </c>
      <c r="E109" s="4132" t="s">
        <v>2448</v>
      </c>
      <c r="F109" s="4144" t="s">
        <v>2449</v>
      </c>
    </row>
    <row r="110" spans="2:6" ht="25.5" x14ac:dyDescent="0.2">
      <c r="B110" s="4142"/>
      <c r="C110" s="4132" t="s">
        <v>1827</v>
      </c>
      <c r="D110" s="4132" t="s">
        <v>2458</v>
      </c>
      <c r="E110" s="4132" t="s">
        <v>2448</v>
      </c>
      <c r="F110" s="4144" t="s">
        <v>2449</v>
      </c>
    </row>
    <row r="111" spans="2:6" ht="25.5" x14ac:dyDescent="0.2">
      <c r="B111" s="4142"/>
      <c r="C111" s="4132" t="s">
        <v>1827</v>
      </c>
      <c r="D111" s="4132" t="s">
        <v>2349</v>
      </c>
      <c r="E111" s="4132" t="s">
        <v>2342</v>
      </c>
      <c r="F111" s="4144" t="s">
        <v>2366</v>
      </c>
    </row>
    <row r="112" spans="2:6" ht="25.5" x14ac:dyDescent="0.2">
      <c r="B112" s="4142"/>
      <c r="C112" s="4132" t="s">
        <v>1831</v>
      </c>
      <c r="D112" s="4132" t="s">
        <v>2409</v>
      </c>
      <c r="E112" s="4133" t="s">
        <v>2410</v>
      </c>
      <c r="F112" s="4144" t="s">
        <v>2412</v>
      </c>
    </row>
    <row r="113" spans="2:6" ht="25.5" x14ac:dyDescent="0.2">
      <c r="B113" s="4142"/>
      <c r="C113" s="4132" t="s">
        <v>1831</v>
      </c>
      <c r="D113" s="4132" t="s">
        <v>2411</v>
      </c>
      <c r="E113" s="4133" t="s">
        <v>2410</v>
      </c>
      <c r="F113" s="4144" t="s">
        <v>2413</v>
      </c>
    </row>
    <row r="114" spans="2:6" ht="25.5" x14ac:dyDescent="0.2">
      <c r="B114" s="4142"/>
      <c r="C114" s="4132" t="s">
        <v>1831</v>
      </c>
      <c r="D114" s="4132" t="s">
        <v>2415</v>
      </c>
      <c r="E114" s="4133" t="s">
        <v>2416</v>
      </c>
      <c r="F114" s="4144" t="s">
        <v>2417</v>
      </c>
    </row>
    <row r="115" spans="2:6" ht="38.25" x14ac:dyDescent="0.2">
      <c r="B115" s="4142"/>
      <c r="C115" s="4132" t="s">
        <v>1831</v>
      </c>
      <c r="D115" s="4132" t="s">
        <v>2418</v>
      </c>
      <c r="E115" s="4133" t="s">
        <v>2423</v>
      </c>
      <c r="F115" s="4144" t="s">
        <v>2425</v>
      </c>
    </row>
    <row r="116" spans="2:6" ht="38.25" x14ac:dyDescent="0.2">
      <c r="B116" s="4142"/>
      <c r="C116" s="4132" t="s">
        <v>1831</v>
      </c>
      <c r="D116" s="4133" t="s">
        <v>2408</v>
      </c>
      <c r="E116" s="4133" t="s">
        <v>2424</v>
      </c>
      <c r="F116" s="4144" t="s">
        <v>2426</v>
      </c>
    </row>
    <row r="117" spans="2:6" ht="38.25" x14ac:dyDescent="0.2">
      <c r="B117" s="4142"/>
      <c r="C117" s="4132" t="s">
        <v>2381</v>
      </c>
      <c r="D117" s="4132" t="s">
        <v>2459</v>
      </c>
      <c r="E117" s="4132" t="s">
        <v>2460</v>
      </c>
      <c r="F117" s="4144" t="s">
        <v>2461</v>
      </c>
    </row>
    <row r="118" spans="2:6" ht="25.5" x14ac:dyDescent="0.2">
      <c r="B118" s="4142"/>
      <c r="C118" s="4132" t="s">
        <v>2381</v>
      </c>
      <c r="D118" s="4132" t="s">
        <v>2431</v>
      </c>
      <c r="E118" s="4132" t="s">
        <v>2430</v>
      </c>
      <c r="F118" s="4144" t="s">
        <v>2462</v>
      </c>
    </row>
    <row r="119" spans="2:6" ht="25.5" x14ac:dyDescent="0.2">
      <c r="B119" s="4142"/>
      <c r="C119" s="4132" t="s">
        <v>2381</v>
      </c>
      <c r="D119" s="4132" t="s">
        <v>2432</v>
      </c>
      <c r="E119" s="4132" t="s">
        <v>2430</v>
      </c>
      <c r="F119" s="4144" t="s">
        <v>2462</v>
      </c>
    </row>
    <row r="120" spans="2:6" ht="25.5" x14ac:dyDescent="0.2">
      <c r="B120" s="4142"/>
      <c r="C120" s="4132" t="s">
        <v>2381</v>
      </c>
      <c r="D120" s="4132" t="s">
        <v>2433</v>
      </c>
      <c r="E120" s="4132" t="s">
        <v>2430</v>
      </c>
      <c r="F120" s="4144" t="s">
        <v>2462</v>
      </c>
    </row>
    <row r="121" spans="2:6" ht="38.25" x14ac:dyDescent="0.2">
      <c r="B121" s="4142"/>
      <c r="C121" s="4132" t="s">
        <v>2381</v>
      </c>
      <c r="D121" s="4132" t="s">
        <v>2463</v>
      </c>
      <c r="E121" s="4132" t="s">
        <v>2384</v>
      </c>
      <c r="F121" s="4144" t="s">
        <v>2461</v>
      </c>
    </row>
    <row r="122" spans="2:6" ht="38.25" x14ac:dyDescent="0.2">
      <c r="B122" s="4142"/>
      <c r="C122" s="4132" t="s">
        <v>2381</v>
      </c>
      <c r="D122" s="4132" t="s">
        <v>2384</v>
      </c>
      <c r="E122" s="4132" t="s">
        <v>2385</v>
      </c>
      <c r="F122" s="4144" t="s">
        <v>2461</v>
      </c>
    </row>
    <row r="123" spans="2:6" ht="25.5" x14ac:dyDescent="0.2">
      <c r="B123" s="2558" t="s">
        <v>1562</v>
      </c>
      <c r="C123" s="4132" t="s">
        <v>2317</v>
      </c>
      <c r="D123" s="4133" t="s">
        <v>2329</v>
      </c>
      <c r="E123" s="4133" t="s">
        <v>2332</v>
      </c>
      <c r="F123" s="4144" t="s">
        <v>2333</v>
      </c>
    </row>
    <row r="124" spans="2:6" ht="25.5" x14ac:dyDescent="0.2">
      <c r="B124" s="4142"/>
      <c r="C124" s="4132" t="s">
        <v>2317</v>
      </c>
      <c r="D124" s="4133" t="s">
        <v>2334</v>
      </c>
      <c r="E124" s="4133" t="s">
        <v>2332</v>
      </c>
      <c r="F124" s="4144" t="s">
        <v>2335</v>
      </c>
    </row>
    <row r="125" spans="2:6" ht="25.5" x14ac:dyDescent="0.2">
      <c r="B125" s="4142"/>
      <c r="C125" s="4132" t="s">
        <v>2317</v>
      </c>
      <c r="D125" s="4133" t="s">
        <v>2337</v>
      </c>
      <c r="E125" s="4133" t="s">
        <v>2338</v>
      </c>
      <c r="F125" s="4144" t="s">
        <v>2336</v>
      </c>
    </row>
    <row r="126" spans="2:6" ht="25.5" x14ac:dyDescent="0.2">
      <c r="B126" s="4142"/>
      <c r="C126" s="4132" t="s">
        <v>2317</v>
      </c>
      <c r="D126" s="4132" t="s">
        <v>2330</v>
      </c>
      <c r="E126" s="4132" t="s">
        <v>2331</v>
      </c>
      <c r="F126" s="4144" t="s">
        <v>2328</v>
      </c>
    </row>
    <row r="127" spans="2:6" ht="25.5" x14ac:dyDescent="0.2">
      <c r="B127" s="4142"/>
      <c r="C127" s="4132" t="s">
        <v>2317</v>
      </c>
      <c r="D127" s="4132" t="s">
        <v>2323</v>
      </c>
      <c r="E127" s="4132" t="s">
        <v>2324</v>
      </c>
      <c r="F127" s="4144" t="s">
        <v>2325</v>
      </c>
    </row>
    <row r="128" spans="2:6" x14ac:dyDescent="0.2">
      <c r="B128" s="4142"/>
      <c r="C128" s="4132" t="s">
        <v>2317</v>
      </c>
      <c r="D128" s="4132" t="s">
        <v>2326</v>
      </c>
      <c r="E128" s="4132" t="s">
        <v>2324</v>
      </c>
      <c r="F128" s="4144" t="s">
        <v>2327</v>
      </c>
    </row>
    <row r="129" spans="2:6" x14ac:dyDescent="0.2">
      <c r="B129" s="4142"/>
      <c r="C129" s="4132" t="s">
        <v>1827</v>
      </c>
      <c r="D129" s="4132" t="s">
        <v>2368</v>
      </c>
      <c r="E129" s="4132" t="s">
        <v>2351</v>
      </c>
      <c r="F129" s="4144" t="s">
        <v>2369</v>
      </c>
    </row>
    <row r="130" spans="2:6" ht="25.5" x14ac:dyDescent="0.2">
      <c r="B130" s="4142"/>
      <c r="C130" s="4132" t="s">
        <v>1831</v>
      </c>
      <c r="D130" s="4133" t="s">
        <v>2400</v>
      </c>
      <c r="E130" s="4133" t="s">
        <v>2419</v>
      </c>
      <c r="F130" s="4144" t="s">
        <v>2402</v>
      </c>
    </row>
    <row r="131" spans="2:6" ht="25.5" x14ac:dyDescent="0.2">
      <c r="B131" s="4142"/>
      <c r="C131" s="4132" t="s">
        <v>1831</v>
      </c>
      <c r="D131" s="4132" t="s">
        <v>1235</v>
      </c>
      <c r="E131" s="4133" t="s">
        <v>2419</v>
      </c>
      <c r="F131" s="4144" t="s">
        <v>2420</v>
      </c>
    </row>
    <row r="132" spans="2:6" ht="25.5" x14ac:dyDescent="0.2">
      <c r="B132" s="4142"/>
      <c r="C132" s="4132" t="s">
        <v>1831</v>
      </c>
      <c r="D132" s="4132" t="s">
        <v>1241</v>
      </c>
      <c r="E132" s="4133" t="s">
        <v>2419</v>
      </c>
      <c r="F132" s="4144" t="s">
        <v>2420</v>
      </c>
    </row>
    <row r="133" spans="2:6" ht="25.5" x14ac:dyDescent="0.2">
      <c r="B133" s="4142"/>
      <c r="C133" s="4132" t="s">
        <v>1831</v>
      </c>
      <c r="D133" s="4132" t="s">
        <v>1253</v>
      </c>
      <c r="E133" s="4133" t="s">
        <v>2419</v>
      </c>
      <c r="F133" s="4144" t="s">
        <v>2420</v>
      </c>
    </row>
    <row r="134" spans="2:6" ht="25.5" x14ac:dyDescent="0.2">
      <c r="B134" s="4142"/>
      <c r="C134" s="4132" t="s">
        <v>1831</v>
      </c>
      <c r="D134" s="4132" t="s">
        <v>1254</v>
      </c>
      <c r="E134" s="4133" t="s">
        <v>2419</v>
      </c>
      <c r="F134" s="4144" t="s">
        <v>2420</v>
      </c>
    </row>
    <row r="135" spans="2:6" ht="25.5" x14ac:dyDescent="0.2">
      <c r="B135" s="4142"/>
      <c r="C135" s="4132" t="s">
        <v>1831</v>
      </c>
      <c r="D135" s="4132" t="s">
        <v>2409</v>
      </c>
      <c r="E135" s="4133" t="s">
        <v>2410</v>
      </c>
      <c r="F135" s="4144" t="s">
        <v>2412</v>
      </c>
    </row>
    <row r="136" spans="2:6" ht="25.5" x14ac:dyDescent="0.2">
      <c r="B136" s="4142"/>
      <c r="C136" s="4132" t="s">
        <v>1831</v>
      </c>
      <c r="D136" s="4132" t="s">
        <v>2411</v>
      </c>
      <c r="E136" s="4133" t="s">
        <v>2410</v>
      </c>
      <c r="F136" s="4144" t="s">
        <v>2413</v>
      </c>
    </row>
    <row r="137" spans="2:6" ht="25.5" x14ac:dyDescent="0.2">
      <c r="B137" s="4142"/>
      <c r="C137" s="4132" t="s">
        <v>1831</v>
      </c>
      <c r="D137" s="4132" t="s">
        <v>2415</v>
      </c>
      <c r="E137" s="4133" t="s">
        <v>2416</v>
      </c>
      <c r="F137" s="4144" t="s">
        <v>2417</v>
      </c>
    </row>
    <row r="138" spans="2:6" ht="38.25" x14ac:dyDescent="0.2">
      <c r="B138" s="4142"/>
      <c r="C138" s="4132" t="s">
        <v>1831</v>
      </c>
      <c r="D138" s="4132" t="s">
        <v>2418</v>
      </c>
      <c r="E138" s="4133" t="s">
        <v>2423</v>
      </c>
      <c r="F138" s="4144" t="s">
        <v>2425</v>
      </c>
    </row>
    <row r="139" spans="2:6" ht="38.25" x14ac:dyDescent="0.2">
      <c r="B139" s="4142"/>
      <c r="C139" s="4132" t="s">
        <v>1831</v>
      </c>
      <c r="D139" s="4133" t="s">
        <v>2408</v>
      </c>
      <c r="E139" s="4133" t="s">
        <v>2424</v>
      </c>
      <c r="F139" s="4144" t="s">
        <v>2426</v>
      </c>
    </row>
    <row r="140" spans="2:6" ht="25.5" x14ac:dyDescent="0.2">
      <c r="B140" s="4142"/>
      <c r="C140" s="4132" t="s">
        <v>2381</v>
      </c>
      <c r="D140" s="4132" t="s">
        <v>2389</v>
      </c>
      <c r="E140" s="4132" t="s">
        <v>2388</v>
      </c>
      <c r="F140" s="4144" t="s">
        <v>2387</v>
      </c>
    </row>
    <row r="141" spans="2:6" ht="25.5" x14ac:dyDescent="0.2">
      <c r="B141" s="2559"/>
      <c r="C141" s="4132" t="s">
        <v>2381</v>
      </c>
      <c r="D141" s="4132" t="s">
        <v>2386</v>
      </c>
      <c r="E141" s="4132" t="s">
        <v>2388</v>
      </c>
      <c r="F141" s="4144" t="s">
        <v>2387</v>
      </c>
    </row>
    <row r="142" spans="2:6" ht="18" customHeight="1" x14ac:dyDescent="0.2">
      <c r="B142" s="2558" t="s">
        <v>1539</v>
      </c>
      <c r="C142" s="4132" t="s">
        <v>1827</v>
      </c>
      <c r="D142" s="4132" t="s">
        <v>670</v>
      </c>
      <c r="E142" s="4132" t="s">
        <v>668</v>
      </c>
      <c r="F142" s="4144" t="s">
        <v>2370</v>
      </c>
    </row>
    <row r="143" spans="2:6" ht="18" customHeight="1" x14ac:dyDescent="0.2">
      <c r="B143" s="2559"/>
      <c r="C143" s="4132" t="s">
        <v>1827</v>
      </c>
      <c r="D143" s="4132" t="s">
        <v>675</v>
      </c>
      <c r="E143" s="4132" t="s">
        <v>674</v>
      </c>
      <c r="F143" s="4144" t="s">
        <v>2371</v>
      </c>
    </row>
    <row r="144" spans="2:6" ht="18" customHeight="1" x14ac:dyDescent="0.2">
      <c r="B144" s="2558" t="s">
        <v>1511</v>
      </c>
      <c r="C144" s="4132"/>
      <c r="D144" s="4132"/>
      <c r="E144" s="4132"/>
      <c r="F144" s="4144"/>
    </row>
    <row r="145" spans="2:6" ht="18" customHeight="1" x14ac:dyDescent="0.2">
      <c r="B145" s="2559"/>
      <c r="C145" s="4132"/>
      <c r="D145" s="4132"/>
      <c r="E145" s="4132"/>
      <c r="F145" s="4144"/>
    </row>
    <row r="146" spans="2:6" ht="18" customHeight="1" x14ac:dyDescent="0.2">
      <c r="B146" s="2558" t="s">
        <v>2119</v>
      </c>
      <c r="C146" s="4132"/>
      <c r="D146" s="4132"/>
      <c r="E146" s="4132"/>
      <c r="F146" s="4144"/>
    </row>
    <row r="147" spans="2:6" ht="18" customHeight="1" x14ac:dyDescent="0.2">
      <c r="B147" s="2559" t="s">
        <v>2120</v>
      </c>
      <c r="C147" s="4132"/>
      <c r="D147" s="4132"/>
      <c r="E147" s="4132"/>
      <c r="F147" s="4144"/>
    </row>
    <row r="148" spans="2:6" ht="18" customHeight="1" x14ac:dyDescent="0.2">
      <c r="B148" s="2558" t="s">
        <v>1621</v>
      </c>
      <c r="C148" s="4132"/>
      <c r="D148" s="4132"/>
      <c r="E148" s="4132" t="s">
        <v>414</v>
      </c>
      <c r="F148" s="4144"/>
    </row>
    <row r="149" spans="2:6" ht="18" customHeight="1" x14ac:dyDescent="0.2">
      <c r="B149" s="2559"/>
      <c r="C149" s="4132"/>
      <c r="D149" s="4132"/>
      <c r="E149" s="4132"/>
      <c r="F149" s="4144"/>
    </row>
    <row r="150" spans="2:6" ht="18" customHeight="1" x14ac:dyDescent="0.2">
      <c r="B150" s="869" t="s">
        <v>1702</v>
      </c>
      <c r="C150" s="4132"/>
      <c r="D150" s="4132"/>
      <c r="E150" s="4132"/>
      <c r="F150" s="4144"/>
    </row>
    <row r="151" spans="2:6" ht="18" customHeight="1" thickBot="1" x14ac:dyDescent="0.25">
      <c r="B151" s="870"/>
      <c r="C151" s="4143"/>
      <c r="D151" s="4143"/>
      <c r="E151" s="4143"/>
      <c r="F151" s="4145"/>
    </row>
    <row r="152" spans="2:6" x14ac:dyDescent="0.2">
      <c r="B152" s="8"/>
      <c r="C152" s="8"/>
      <c r="D152" s="8"/>
      <c r="E152" s="8"/>
      <c r="F152" s="8"/>
    </row>
    <row r="153" spans="2:6" ht="13.5" x14ac:dyDescent="0.2">
      <c r="B153" s="750"/>
      <c r="C153" s="750"/>
      <c r="D153" s="750"/>
      <c r="E153" s="750"/>
      <c r="F153" s="750"/>
    </row>
    <row r="154" spans="2:6" ht="13.5" x14ac:dyDescent="0.2">
      <c r="B154" s="983"/>
      <c r="C154" s="750"/>
      <c r="D154" s="750"/>
      <c r="E154" s="750"/>
      <c r="F154" s="750"/>
    </row>
    <row r="155" spans="2:6" ht="13.5" x14ac:dyDescent="0.2">
      <c r="B155" s="751"/>
      <c r="C155" s="526"/>
      <c r="D155" s="526"/>
      <c r="E155" s="750"/>
      <c r="F155" s="750"/>
    </row>
    <row r="156" spans="2:6" ht="13.5" x14ac:dyDescent="0.2">
      <c r="B156" s="750"/>
      <c r="C156" s="750"/>
      <c r="D156" s="750"/>
      <c r="E156" s="750"/>
      <c r="F156" s="750"/>
    </row>
    <row r="157" spans="2:6" ht="13.5" x14ac:dyDescent="0.2">
      <c r="B157" s="983"/>
      <c r="C157" s="752"/>
      <c r="D157" s="752"/>
      <c r="E157" s="752"/>
      <c r="F157" s="752"/>
    </row>
    <row r="162" spans="2:6" ht="13.5" thickBot="1" x14ac:dyDescent="0.25"/>
    <row r="163" spans="2:6" x14ac:dyDescent="0.2">
      <c r="B163" s="739" t="s">
        <v>1384</v>
      </c>
      <c r="C163" s="974"/>
      <c r="D163" s="974"/>
      <c r="E163" s="974"/>
      <c r="F163" s="975"/>
    </row>
    <row r="164" spans="2:6" x14ac:dyDescent="0.2">
      <c r="B164" s="978"/>
      <c r="C164" s="979"/>
      <c r="D164" s="979"/>
      <c r="E164" s="979"/>
      <c r="F164" s="980"/>
    </row>
    <row r="165" spans="2:6" x14ac:dyDescent="0.2">
      <c r="B165" s="978"/>
      <c r="C165" s="979"/>
      <c r="D165" s="979"/>
      <c r="E165" s="979"/>
      <c r="F165" s="980"/>
    </row>
    <row r="166" spans="2:6" ht="13.5" thickBot="1" x14ac:dyDescent="0.25">
      <c r="B166" s="741"/>
      <c r="C166" s="976"/>
      <c r="D166" s="976"/>
      <c r="E166" s="976"/>
      <c r="F166" s="977"/>
    </row>
    <row r="167" spans="2:6" ht="13.5" thickBot="1" x14ac:dyDescent="0.25">
      <c r="B167" s="742"/>
      <c r="C167" s="743"/>
      <c r="D167" s="743"/>
      <c r="E167" s="743"/>
      <c r="F167" s="744"/>
    </row>
    <row r="180" spans="4:6" ht="15" x14ac:dyDescent="0.25">
      <c r="D180" s="1802"/>
      <c r="F180" s="2463"/>
    </row>
  </sheetData>
  <mergeCells count="49">
    <mergeCell ref="E33:F33"/>
    <mergeCell ref="E44:F44"/>
    <mergeCell ref="E39:F39"/>
    <mergeCell ref="E15:F15"/>
    <mergeCell ref="E25:F25"/>
    <mergeCell ref="E17:F17"/>
    <mergeCell ref="E29:F29"/>
    <mergeCell ref="E16:F16"/>
    <mergeCell ref="E18:F18"/>
    <mergeCell ref="E19:F19"/>
    <mergeCell ref="E20:F20"/>
    <mergeCell ref="E9:F9"/>
    <mergeCell ref="E10:F10"/>
    <mergeCell ref="E11:F11"/>
    <mergeCell ref="E12:F12"/>
    <mergeCell ref="E14:F14"/>
    <mergeCell ref="E13:F13"/>
    <mergeCell ref="E56:F56"/>
    <mergeCell ref="E57:F57"/>
    <mergeCell ref="E35:F35"/>
    <mergeCell ref="E47:F47"/>
    <mergeCell ref="E48:F48"/>
    <mergeCell ref="E49:F49"/>
    <mergeCell ref="E50:F50"/>
    <mergeCell ref="E51:F51"/>
    <mergeCell ref="E36:F36"/>
    <mergeCell ref="E37:F37"/>
    <mergeCell ref="E38:F38"/>
    <mergeCell ref="E40:F40"/>
    <mergeCell ref="E52:F52"/>
    <mergeCell ref="E53:F53"/>
    <mergeCell ref="E54:F54"/>
    <mergeCell ref="E55:F55"/>
    <mergeCell ref="E46:F46"/>
    <mergeCell ref="E21:F21"/>
    <mergeCell ref="E22:F22"/>
    <mergeCell ref="E23:F23"/>
    <mergeCell ref="E24:F24"/>
    <mergeCell ref="E26:F26"/>
    <mergeCell ref="E27:F27"/>
    <mergeCell ref="E30:F30"/>
    <mergeCell ref="E42:F42"/>
    <mergeCell ref="E28:F28"/>
    <mergeCell ref="E41:F41"/>
    <mergeCell ref="E32:F32"/>
    <mergeCell ref="E45:F45"/>
    <mergeCell ref="E34:F34"/>
    <mergeCell ref="E31:F31"/>
    <mergeCell ref="E43:F43"/>
  </mergeCells>
  <dataValidations count="1">
    <dataValidation allowBlank="1" showInputMessage="1" showErrorMessage="1" sqref="C2:D9 B56 F152 F59:F60 B142:B144 G163:IJ167 B52 B48:B50 B152:B166 B150 B54 B148 F1:F8 B168:IW65649 B167:F167 C158:F166 B146 E1:E9 H1:H9 B1:B18 H12:H13 H26 H16:H23 H29:H40 B20:B46 H42:H100 H102:H127 G1:G127 C10:E152 G128:K162 B59:B140 L1:IW162 I1:K12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K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75" x14ac:dyDescent="0.2"/>
  <cols>
    <col min="1" max="1" width="1.85546875" customWidth="1"/>
    <col min="2" max="2" width="57.140625" customWidth="1"/>
    <col min="3" max="3" width="16.85546875" customWidth="1"/>
    <col min="4" max="36" width="10.7109375" customWidth="1"/>
    <col min="37" max="37" width="11.42578125" customWidth="1"/>
    <col min="38" max="38" width="10.85546875" customWidth="1"/>
  </cols>
  <sheetData>
    <row r="1" spans="1:37" ht="15.75" x14ac:dyDescent="0.2">
      <c r="B1" s="753" t="s">
        <v>1706</v>
      </c>
      <c r="AK1" s="14" t="s">
        <v>2521</v>
      </c>
    </row>
    <row r="2" spans="1:37" ht="17.25" x14ac:dyDescent="0.2">
      <c r="B2" s="753" t="s">
        <v>1707</v>
      </c>
      <c r="AK2" s="14" t="s">
        <v>2522</v>
      </c>
    </row>
    <row r="3" spans="1:37" ht="15.75" x14ac:dyDescent="0.2">
      <c r="B3" s="753" t="s">
        <v>1708</v>
      </c>
      <c r="AK3" s="14" t="s">
        <v>2144</v>
      </c>
    </row>
    <row r="4" spans="1:37" ht="15.75" hidden="1" x14ac:dyDescent="0.2">
      <c r="B4" s="753"/>
      <c r="AK4" s="226"/>
    </row>
    <row r="5" spans="1:37" ht="15.75" hidden="1" x14ac:dyDescent="0.2">
      <c r="B5" s="753"/>
      <c r="AK5" s="226"/>
    </row>
    <row r="6" spans="1:37" ht="15.75" hidden="1" x14ac:dyDescent="0.2">
      <c r="B6" s="753"/>
      <c r="AK6" s="226"/>
    </row>
    <row r="7" spans="1:37" ht="13.5" thickBot="1" x14ac:dyDescent="0.25">
      <c r="B7" s="2446" t="s">
        <v>64</v>
      </c>
    </row>
    <row r="8" spans="1:37" ht="60" customHeight="1" x14ac:dyDescent="0.2">
      <c r="B8" s="754"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row>
    <row r="9" spans="1:37" ht="18" customHeight="1" thickBot="1" x14ac:dyDescent="0.25">
      <c r="A9" t="s">
        <v>389</v>
      </c>
      <c r="B9" s="757"/>
      <c r="C9" s="758" t="s">
        <v>1712</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row>
    <row r="10" spans="1:37" ht="18" customHeight="1" thickTop="1" thickBot="1" x14ac:dyDescent="0.25">
      <c r="B10" s="762" t="s">
        <v>1713</v>
      </c>
      <c r="C10" s="2016"/>
      <c r="D10" s="2016"/>
      <c r="E10" s="4112">
        <f>SUM(E11,E22,E31,E42,E51,E57)</f>
        <v>636268.64723475114</v>
      </c>
      <c r="F10" s="4112">
        <f t="shared" ref="F10:AJ10" si="0">SUM(F11,F22,F31,F42,F51,F57)</f>
        <v>621497.02421226003</v>
      </c>
      <c r="G10" s="4112">
        <f t="shared" si="0"/>
        <v>556765.71901463135</v>
      </c>
      <c r="H10" s="4112">
        <f t="shared" si="0"/>
        <v>535319.21833551908</v>
      </c>
      <c r="I10" s="4112">
        <f t="shared" si="0"/>
        <v>530958.92406140314</v>
      </c>
      <c r="J10" s="4112">
        <f t="shared" si="0"/>
        <v>514211.96709500585</v>
      </c>
      <c r="K10" s="4112">
        <f t="shared" si="0"/>
        <v>522310.73100349813</v>
      </c>
      <c r="L10" s="4112">
        <f t="shared" si="0"/>
        <v>522850.34046829899</v>
      </c>
      <c r="M10" s="4112">
        <f t="shared" si="0"/>
        <v>524332.94139234256</v>
      </c>
      <c r="N10" s="4112">
        <f t="shared" si="0"/>
        <v>539610.26906447276</v>
      </c>
      <c r="O10" s="4112">
        <f t="shared" si="0"/>
        <v>566358.30873673793</v>
      </c>
      <c r="P10" s="4112">
        <f t="shared" si="0"/>
        <v>586636.35452851758</v>
      </c>
      <c r="Q10" s="4112">
        <f t="shared" si="0"/>
        <v>582524.56130253465</v>
      </c>
      <c r="R10" s="4112">
        <f t="shared" si="0"/>
        <v>591486.97931912506</v>
      </c>
      <c r="S10" s="4112">
        <f t="shared" si="0"/>
        <v>584853.80133001343</v>
      </c>
      <c r="T10" s="4112">
        <f t="shared" si="0"/>
        <v>616293.16022877872</v>
      </c>
      <c r="U10" s="4112">
        <f t="shared" si="0"/>
        <v>626790.48062156246</v>
      </c>
      <c r="V10" s="4112">
        <f t="shared" si="0"/>
        <v>641523.07809343457</v>
      </c>
      <c r="W10" s="4112">
        <f t="shared" si="0"/>
        <v>630251.31621980376</v>
      </c>
      <c r="X10" s="4112">
        <f t="shared" si="0"/>
        <v>630906.55015883956</v>
      </c>
      <c r="Y10" s="4112">
        <f t="shared" si="0"/>
        <v>613332.65270992648</v>
      </c>
      <c r="Z10" s="4112">
        <f t="shared" si="0"/>
        <v>594032.24890962371</v>
      </c>
      <c r="AA10" s="4112">
        <f t="shared" si="0"/>
        <v>579077.44343529863</v>
      </c>
      <c r="AB10" s="4112">
        <f t="shared" si="0"/>
        <v>561101.34733727563</v>
      </c>
      <c r="AC10" s="4112">
        <f t="shared" si="0"/>
        <v>555817.47376703657</v>
      </c>
      <c r="AD10" s="4112">
        <f t="shared" si="0"/>
        <v>540912.19966222229</v>
      </c>
      <c r="AE10" s="4112">
        <f t="shared" si="0"/>
        <v>512483.00685924484</v>
      </c>
      <c r="AF10" s="4112">
        <f t="shared" si="0"/>
        <v>509809.54045567475</v>
      </c>
      <c r="AG10" s="4112">
        <f t="shared" si="0"/>
        <v>514226.35653928772</v>
      </c>
      <c r="AH10" s="4112">
        <f t="shared" si="0"/>
        <v>505857.05677806993</v>
      </c>
      <c r="AI10" s="4112">
        <f t="shared" si="0"/>
        <v>494232.96110296802</v>
      </c>
      <c r="AJ10" s="4112">
        <f t="shared" si="0"/>
        <v>464770.66575427499</v>
      </c>
      <c r="AK10" s="4120">
        <f t="shared" ref="AK10:AK57" si="1">IF(AJ10="NO",IF(E10="NO","NA",-100),IF(E10="NO",100,AJ10/E10*100-100))</f>
        <v>-26.953706146894589</v>
      </c>
    </row>
    <row r="11" spans="1:37" ht="18" customHeight="1" x14ac:dyDescent="0.2">
      <c r="B11" s="1134" t="s">
        <v>1476</v>
      </c>
      <c r="C11" s="1994"/>
      <c r="D11" s="1994"/>
      <c r="E11" s="4113">
        <f>IF(SUM(Table10s2!E10,IFERROR(Table10s3!E10*28,0),IFERROR(Table10s4!E10*265,0))=0,"NO",SUM(Table10s2!E10,IFERROR(Table10s3!E10*28,0),IFERROR(Table10s4!E10*265,0)))</f>
        <v>297385.4248561837</v>
      </c>
      <c r="F11" s="4113">
        <f>IF(SUM(Table10s2!F10,IFERROR(Table10s3!F10*28,0),IFERROR(Table10s4!F10*265,0))=0,"NO",SUM(Table10s2!F10,IFERROR(Table10s3!F10*28,0),IFERROR(Table10s4!F10*265,0)))</f>
        <v>299090.70397003152</v>
      </c>
      <c r="G11" s="4113">
        <f>IF(SUM(Table10s2!G10,IFERROR(Table10s3!G10*28,0),IFERROR(Table10s4!G10*265,0))=0,"NO",SUM(Table10s2!G10,IFERROR(Table10s3!G10*28,0),IFERROR(Table10s4!G10*265,0)))</f>
        <v>305421.42548779619</v>
      </c>
      <c r="H11" s="4113">
        <f>IF(SUM(Table10s2!H10,IFERROR(Table10s3!H10*28,0),IFERROR(Table10s4!H10*265,0))=0,"NO",SUM(Table10s2!H10,IFERROR(Table10s3!H10*28,0),IFERROR(Table10s4!H10*265,0)))</f>
        <v>308632.84421990492</v>
      </c>
      <c r="I11" s="4113">
        <f>IF(SUM(Table10s2!I10,IFERROR(Table10s3!I10*28,0),IFERROR(Table10s4!I10*265,0))=0,"NO",SUM(Table10s2!I10,IFERROR(Table10s3!I10*28,0),IFERROR(Table10s4!I10*265,0)))</f>
        <v>309510.71145682188</v>
      </c>
      <c r="J11" s="4113">
        <f>IF(SUM(Table10s2!J10,IFERROR(Table10s3!J10*28,0),IFERROR(Table10s4!J10*265,0))=0,"NO",SUM(Table10s2!J10,IFERROR(Table10s3!J10*28,0),IFERROR(Table10s4!J10*265,0)))</f>
        <v>322039.82446575799</v>
      </c>
      <c r="K11" s="4113">
        <f>IF(SUM(Table10s2!K10,IFERROR(Table10s3!K10*28,0),IFERROR(Table10s4!K10*265,0))=0,"NO",SUM(Table10s2!K10,IFERROR(Table10s3!K10*28,0),IFERROR(Table10s4!K10*265,0)))</f>
        <v>328501.70445204544</v>
      </c>
      <c r="L11" s="4113">
        <f>IF(SUM(Table10s2!L10,IFERROR(Table10s3!L10*28,0),IFERROR(Table10s4!L10*265,0))=0,"NO",SUM(Table10s2!L10,IFERROR(Table10s3!L10*28,0),IFERROR(Table10s4!L10*265,0)))</f>
        <v>339796.05124514771</v>
      </c>
      <c r="M11" s="4113">
        <f>IF(SUM(Table10s2!M10,IFERROR(Table10s3!M10*28,0),IFERROR(Table10s4!M10*265,0))=0,"NO",SUM(Table10s2!M10,IFERROR(Table10s3!M10*28,0),IFERROR(Table10s4!M10*265,0)))</f>
        <v>354023.87815973762</v>
      </c>
      <c r="N11" s="4113">
        <f>IF(SUM(Table10s2!N10,IFERROR(Table10s3!N10*28,0),IFERROR(Table10s4!N10*265,0))=0,"NO",SUM(Table10s2!N10,IFERROR(Table10s3!N10*28,0),IFERROR(Table10s4!N10*265,0)))</f>
        <v>359428.24051930429</v>
      </c>
      <c r="O11" s="4113">
        <f>IF(SUM(Table10s2!O10,IFERROR(Table10s3!O10*28,0),IFERROR(Table10s4!O10*265,0))=0,"NO",SUM(Table10s2!O10,IFERROR(Table10s3!O10*28,0),IFERROR(Table10s4!O10*265,0)))</f>
        <v>368518.19248102064</v>
      </c>
      <c r="P11" s="4113">
        <f>IF(SUM(Table10s2!P10,IFERROR(Table10s3!P10*28,0),IFERROR(Table10s4!P10*265,0))=0,"NO",SUM(Table10s2!P10,IFERROR(Table10s3!P10*28,0),IFERROR(Table10s4!P10*265,0)))</f>
        <v>376334.54541958397</v>
      </c>
      <c r="Q11" s="4113">
        <f>IF(SUM(Table10s2!Q10,IFERROR(Table10s3!Q10*28,0),IFERROR(Table10s4!Q10*265,0))=0,"NO",SUM(Table10s2!Q10,IFERROR(Table10s3!Q10*28,0),IFERROR(Table10s4!Q10*265,0)))</f>
        <v>379727.82818698994</v>
      </c>
      <c r="R11" s="4113">
        <f>IF(SUM(Table10s2!R10,IFERROR(Table10s3!R10*28,0),IFERROR(Table10s4!R10*265,0))=0,"NO",SUM(Table10s2!R10,IFERROR(Table10s3!R10*28,0),IFERROR(Table10s4!R10*265,0)))</f>
        <v>384144.14650013443</v>
      </c>
      <c r="S11" s="4113">
        <f>IF(SUM(Table10s2!S10,IFERROR(Table10s3!S10*28,0),IFERROR(Table10s4!S10*265,0))=0,"NO",SUM(Table10s2!S10,IFERROR(Table10s3!S10*28,0),IFERROR(Table10s4!S10*265,0)))</f>
        <v>396852.81694388768</v>
      </c>
      <c r="T11" s="4113">
        <f>IF(SUM(Table10s2!T10,IFERROR(Table10s3!T10*28,0),IFERROR(Table10s4!T10*265,0))=0,"NO",SUM(Table10s2!T10,IFERROR(Table10s3!T10*28,0),IFERROR(Table10s4!T10*265,0)))</f>
        <v>403747.71457740344</v>
      </c>
      <c r="U11" s="4113">
        <f>IF(SUM(Table10s2!U10,IFERROR(Table10s3!U10*28,0),IFERROR(Table10s4!U10*265,0))=0,"NO",SUM(Table10s2!U10,IFERROR(Table10s3!U10*28,0),IFERROR(Table10s4!U10*265,0)))</f>
        <v>409639.72790699668</v>
      </c>
      <c r="V11" s="4113">
        <f>IF(SUM(Table10s2!V10,IFERROR(Table10s3!V10*28,0),IFERROR(Table10s4!V10*265,0))=0,"NO",SUM(Table10s2!V10,IFERROR(Table10s3!V10*28,0),IFERROR(Table10s4!V10*265,0)))</f>
        <v>417919.16672403604</v>
      </c>
      <c r="W11" s="4113">
        <f>IF(SUM(Table10s2!W10,IFERROR(Table10s3!W10*28,0),IFERROR(Table10s4!W10*265,0))=0,"NO",SUM(Table10s2!W10,IFERROR(Table10s3!W10*28,0),IFERROR(Table10s4!W10*265,0)))</f>
        <v>422515.18409655028</v>
      </c>
      <c r="X11" s="4113">
        <f>IF(SUM(Table10s2!X10,IFERROR(Table10s3!X10*28,0),IFERROR(Table10s4!X10*265,0))=0,"NO",SUM(Table10s2!X10,IFERROR(Table10s3!X10*28,0),IFERROR(Table10s4!X10*265,0)))</f>
        <v>427670.22091140121</v>
      </c>
      <c r="Y11" s="4113">
        <f>IF(SUM(Table10s2!Y10,IFERROR(Table10s3!Y10*28,0),IFERROR(Table10s4!Y10*265,0))=0,"NO",SUM(Table10s2!Y10,IFERROR(Table10s3!Y10*28,0),IFERROR(Table10s4!Y10*265,0)))</f>
        <v>422579.51479694981</v>
      </c>
      <c r="Z11" s="4113">
        <f>IF(SUM(Table10s2!Z10,IFERROR(Table10s3!Z10*28,0),IFERROR(Table10s4!Z10*265,0))=0,"NO",SUM(Table10s2!Z10,IFERROR(Table10s3!Z10*28,0),IFERROR(Table10s4!Z10*265,0)))</f>
        <v>419233.05047209817</v>
      </c>
      <c r="AA11" s="4113">
        <f>IF(SUM(Table10s2!AA10,IFERROR(Table10s3!AA10*28,0),IFERROR(Table10s4!AA10*265,0))=0,"NO",SUM(Table10s2!AA10,IFERROR(Table10s3!AA10*28,0),IFERROR(Table10s4!AA10*265,0)))</f>
        <v>424705.2846294904</v>
      </c>
      <c r="AB11" s="4113">
        <f>IF(SUM(Table10s2!AB10,IFERROR(Table10s3!AB10*28,0),IFERROR(Table10s4!AB10*265,0))=0,"NO",SUM(Table10s2!AB10,IFERROR(Table10s3!AB10*28,0),IFERROR(Table10s4!AB10*265,0)))</f>
        <v>419121.75060676603</v>
      </c>
      <c r="AC11" s="4113">
        <f>IF(SUM(Table10s2!AC10,IFERROR(Table10s3!AC10*28,0),IFERROR(Table10s4!AC10*265,0))=0,"NO",SUM(Table10s2!AC10,IFERROR(Table10s3!AC10*28,0),IFERROR(Table10s4!AC10*265,0)))</f>
        <v>410566.3928596527</v>
      </c>
      <c r="AD11" s="4113">
        <f>IF(SUM(Table10s2!AD10,IFERROR(Table10s3!AD10*28,0),IFERROR(Table10s4!AD10*265,0))=0,"NO",SUM(Table10s2!AD10,IFERROR(Table10s3!AD10*28,0),IFERROR(Table10s4!AD10*265,0)))</f>
        <v>422090.18144439545</v>
      </c>
      <c r="AE11" s="4113">
        <f>IF(SUM(Table10s2!AE10,IFERROR(Table10s3!AE10*28,0),IFERROR(Table10s4!AE10*265,0))=0,"NO",SUM(Table10s2!AE10,IFERROR(Table10s3!AE10*28,0),IFERROR(Table10s4!AE10*265,0)))</f>
        <v>430847.15353978908</v>
      </c>
      <c r="AF11" s="4113">
        <f>IF(SUM(Table10s2!AF10,IFERROR(Table10s3!AF10*28,0),IFERROR(Table10s4!AF10*265,0))=0,"NO",SUM(Table10s2!AF10,IFERROR(Table10s3!AF10*28,0),IFERROR(Table10s4!AF10*265,0)))</f>
        <v>433232.80805076193</v>
      </c>
      <c r="AG11" s="4113">
        <f>IF(SUM(Table10s2!AG10,IFERROR(Table10s3!AG10*28,0),IFERROR(Table10s4!AG10*265,0))=0,"NO",SUM(Table10s2!AG10,IFERROR(Table10s3!AG10*28,0),IFERROR(Table10s4!AG10*265,0)))</f>
        <v>435570.37881781755</v>
      </c>
      <c r="AH11" s="4113">
        <f>IF(SUM(Table10s2!AH10,IFERROR(Table10s3!AH10*28,0),IFERROR(Table10s4!AH10*265,0))=0,"NO",SUM(Table10s2!AH10,IFERROR(Table10s3!AH10*28,0),IFERROR(Table10s4!AH10*265,0)))</f>
        <v>434362.68755215249</v>
      </c>
      <c r="AI11" s="4113">
        <f>IF(SUM(Table10s2!AI10,IFERROR(Table10s3!AI10*28,0),IFERROR(Table10s4!AI10*265,0))=0,"NO",SUM(Table10s2!AI10,IFERROR(Table10s3!AI10*28,0),IFERROR(Table10s4!AI10*265,0)))</f>
        <v>418708.56999057758</v>
      </c>
      <c r="AJ11" s="4113">
        <f>IF(SUM(Table10s2!AJ10,IFERROR(Table10s3!AJ10*28,0),IFERROR(Table10s4!AJ10*265,0))=0,"NO",SUM(Table10s2!AJ10,IFERROR(Table10s3!AJ10*28,0),IFERROR(Table10s4!AJ10*265,0)))</f>
        <v>404026.88538330066</v>
      </c>
      <c r="AK11" s="4082">
        <f t="shared" si="1"/>
        <v>35.859679598853575</v>
      </c>
    </row>
    <row r="12" spans="1:37" ht="18" customHeight="1" x14ac:dyDescent="0.2">
      <c r="B12" s="1370" t="s">
        <v>1477</v>
      </c>
      <c r="C12" s="1995"/>
      <c r="D12" s="1995"/>
      <c r="E12" s="4094">
        <f>IF(SUM(Table10s2!E11,IFERROR(Table10s3!E11*28,0),IFERROR(Table10s4!E11*265,0))=0,"NO",SUM(Table10s2!E11,IFERROR(Table10s3!E11*28,0),IFERROR(Table10s4!E11*265,0)))</f>
        <v>257073.94762294172</v>
      </c>
      <c r="F12" s="4094">
        <f>IF(SUM(Table10s2!F11,IFERROR(Table10s3!F11*28,0),IFERROR(Table10s4!F11*265,0))=0,"NO",SUM(Table10s2!F11,IFERROR(Table10s3!F11*28,0),IFERROR(Table10s4!F11*265,0)))</f>
        <v>259430.54036401358</v>
      </c>
      <c r="G12" s="4108">
        <f>IF(SUM(Table10s2!G11,IFERROR(Table10s3!G11*28,0),IFERROR(Table10s4!G11*265,0))=0,"NO",SUM(Table10s2!G11,IFERROR(Table10s3!G11*28,0),IFERROR(Table10s4!G11*265,0)))</f>
        <v>263819.61978165712</v>
      </c>
      <c r="H12" s="4108">
        <f>IF(SUM(Table10s2!H11,IFERROR(Table10s3!H11*28,0),IFERROR(Table10s4!H11*265,0))=0,"NO",SUM(Table10s2!H11,IFERROR(Table10s3!H11*28,0),IFERROR(Table10s4!H11*265,0)))</f>
        <v>268207.52099519921</v>
      </c>
      <c r="I12" s="4108">
        <f>IF(SUM(Table10s2!I11,IFERROR(Table10s3!I11*28,0),IFERROR(Table10s4!I11*265,0))=0,"NO",SUM(Table10s2!I11,IFERROR(Table10s3!I11*28,0),IFERROR(Table10s4!I11*265,0)))</f>
        <v>271256.44739407464</v>
      </c>
      <c r="J12" s="4108">
        <f>IF(SUM(Table10s2!J11,IFERROR(Table10s3!J11*28,0),IFERROR(Table10s4!J11*265,0))=0,"NO",SUM(Table10s2!J11,IFERROR(Table10s3!J11*28,0),IFERROR(Table10s4!J11*265,0)))</f>
        <v>282109.56467485608</v>
      </c>
      <c r="K12" s="4108">
        <f>IF(SUM(Table10s2!K11,IFERROR(Table10s3!K11*28,0),IFERROR(Table10s4!K11*265,0))=0,"NO",SUM(Table10s2!K11,IFERROR(Table10s3!K11*28,0),IFERROR(Table10s4!K11*265,0)))</f>
        <v>289023.25876119669</v>
      </c>
      <c r="L12" s="4108">
        <f>IF(SUM(Table10s2!L11,IFERROR(Table10s3!L11*28,0),IFERROR(Table10s4!L11*265,0))=0,"NO",SUM(Table10s2!L11,IFERROR(Table10s3!L11*28,0),IFERROR(Table10s4!L11*265,0)))</f>
        <v>297306.7838306253</v>
      </c>
      <c r="M12" s="4108">
        <f>IF(SUM(Table10s2!M11,IFERROR(Table10s3!M11*28,0),IFERROR(Table10s4!M11*265,0))=0,"NO",SUM(Table10s2!M11,IFERROR(Table10s3!M11*28,0),IFERROR(Table10s4!M11*265,0)))</f>
        <v>310290.26913152332</v>
      </c>
      <c r="N12" s="4108">
        <f>IF(SUM(Table10s2!N11,IFERROR(Table10s3!N11*28,0),IFERROR(Table10s4!N11*265,0))=0,"NO",SUM(Table10s2!N11,IFERROR(Table10s3!N11*28,0),IFERROR(Table10s4!N11*265,0)))</f>
        <v>318875.60345889552</v>
      </c>
      <c r="O12" s="4108">
        <f>IF(SUM(Table10s2!O11,IFERROR(Table10s3!O11*28,0),IFERROR(Table10s4!O11*265,0))=0,"NO",SUM(Table10s2!O11,IFERROR(Table10s3!O11*28,0),IFERROR(Table10s4!O11*265,0)))</f>
        <v>324506.15476947057</v>
      </c>
      <c r="P12" s="4108">
        <f>IF(SUM(Table10s2!P11,IFERROR(Table10s3!P11*28,0),IFERROR(Table10s4!P11*265,0))=0,"NO",SUM(Table10s2!P11,IFERROR(Table10s3!P11*28,0),IFERROR(Table10s4!P11*265,0)))</f>
        <v>332329.6892290751</v>
      </c>
      <c r="Q12" s="4108">
        <f>IF(SUM(Table10s2!Q11,IFERROR(Table10s3!Q11*28,0),IFERROR(Table10s4!Q11*265,0))=0,"NO",SUM(Table10s2!Q11,IFERROR(Table10s3!Q11*28,0),IFERROR(Table10s4!Q11*265,0)))</f>
        <v>337011.32387877983</v>
      </c>
      <c r="R12" s="4108">
        <f>IF(SUM(Table10s2!R11,IFERROR(Table10s3!R11*28,0),IFERROR(Table10s4!R11*265,0))=0,"NO",SUM(Table10s2!R11,IFERROR(Table10s3!R11*28,0),IFERROR(Table10s4!R11*265,0)))</f>
        <v>343175.93359604815</v>
      </c>
      <c r="S12" s="4108">
        <f>IF(SUM(Table10s2!S11,IFERROR(Table10s3!S11*28,0),IFERROR(Table10s4!S11*265,0))=0,"NO",SUM(Table10s2!S11,IFERROR(Table10s3!S11*28,0),IFERROR(Table10s4!S11*265,0)))</f>
        <v>356048.15960219112</v>
      </c>
      <c r="T12" s="4108">
        <f>IF(SUM(Table10s2!T11,IFERROR(Table10s3!T11*28,0),IFERROR(Table10s4!T11*265,0))=0,"NO",SUM(Table10s2!T11,IFERROR(Table10s3!T11*28,0),IFERROR(Table10s4!T11*265,0)))</f>
        <v>360956.2080862681</v>
      </c>
      <c r="U12" s="4108">
        <f>IF(SUM(Table10s2!U11,IFERROR(Table10s3!U11*28,0),IFERROR(Table10s4!U11*265,0))=0,"NO",SUM(Table10s2!U11,IFERROR(Table10s3!U11*28,0),IFERROR(Table10s4!U11*265,0)))</f>
        <v>365996.36794199393</v>
      </c>
      <c r="V12" s="4108">
        <f>IF(SUM(Table10s2!V11,IFERROR(Table10s3!V11*28,0),IFERROR(Table10s4!V11*265,0))=0,"NO",SUM(Table10s2!V11,IFERROR(Table10s3!V11*28,0),IFERROR(Table10s4!V11*265,0)))</f>
        <v>371293.11566525855</v>
      </c>
      <c r="W12" s="4108">
        <f>IF(SUM(Table10s2!W11,IFERROR(Table10s3!W11*28,0),IFERROR(Table10s4!W11*265,0))=0,"NO",SUM(Table10s2!W11,IFERROR(Table10s3!W11*28,0),IFERROR(Table10s4!W11*265,0)))</f>
        <v>376590.28413993196</v>
      </c>
      <c r="X12" s="4108">
        <f>IF(SUM(Table10s2!X11,IFERROR(Table10s3!X11*28,0),IFERROR(Table10s4!X11*265,0))=0,"NO",SUM(Table10s2!X11,IFERROR(Table10s3!X11*28,0),IFERROR(Table10s4!X11*265,0)))</f>
        <v>382077.71373925818</v>
      </c>
      <c r="Y12" s="4108">
        <f>IF(SUM(Table10s2!Y11,IFERROR(Table10s3!Y11*28,0),IFERROR(Table10s4!Y11*265,0))=0,"NO",SUM(Table10s2!Y11,IFERROR(Table10s3!Y11*28,0),IFERROR(Table10s4!Y11*265,0)))</f>
        <v>377251.90434544347</v>
      </c>
      <c r="Z12" s="4108">
        <f>IF(SUM(Table10s2!Z11,IFERROR(Table10s3!Z11*28,0),IFERROR(Table10s4!Z11*265,0))=0,"NO",SUM(Table10s2!Z11,IFERROR(Table10s3!Z11*28,0),IFERROR(Table10s4!Z11*265,0)))</f>
        <v>375506.83431822731</v>
      </c>
      <c r="AA12" s="4108">
        <f>IF(SUM(Table10s2!AA11,IFERROR(Table10s3!AA11*28,0),IFERROR(Table10s4!AA11*265,0))=0,"NO",SUM(Table10s2!AA11,IFERROR(Table10s3!AA11*28,0),IFERROR(Table10s4!AA11*265,0)))</f>
        <v>380224.55163179088</v>
      </c>
      <c r="AB12" s="4108">
        <f>IF(SUM(Table10s2!AB11,IFERROR(Table10s3!AB11*28,0),IFERROR(Table10s4!AB11*265,0))=0,"NO",SUM(Table10s2!AB11,IFERROR(Table10s3!AB11*28,0),IFERROR(Table10s4!AB11*265,0)))</f>
        <v>373965.0321026452</v>
      </c>
      <c r="AC12" s="4108">
        <f>IF(SUM(Table10s2!AC11,IFERROR(Table10s3!AC11*28,0),IFERROR(Table10s4!AC11*265,0))=0,"NO",SUM(Table10s2!AC11,IFERROR(Table10s3!AC11*28,0),IFERROR(Table10s4!AC11*265,0)))</f>
        <v>367465.5401742839</v>
      </c>
      <c r="AD12" s="4108">
        <f>IF(SUM(Table10s2!AD11,IFERROR(Table10s3!AD11*28,0),IFERROR(Table10s4!AD11*265,0))=0,"NO",SUM(Table10s2!AD11,IFERROR(Table10s3!AD11*28,0),IFERROR(Table10s4!AD11*265,0)))</f>
        <v>373816.87034443679</v>
      </c>
      <c r="AE12" s="4108">
        <f>IF(SUM(Table10s2!AE11,IFERROR(Table10s3!AE11*28,0),IFERROR(Table10s4!AE11*265,0))=0,"NO",SUM(Table10s2!AE11,IFERROR(Table10s3!AE11*28,0),IFERROR(Table10s4!AE11*265,0)))</f>
        <v>381312.6474105526</v>
      </c>
      <c r="AF12" s="4108">
        <f>IF(SUM(Table10s2!AF11,IFERROR(Table10s3!AF11*28,0),IFERROR(Table10s4!AF11*265,0))=0,"NO",SUM(Table10s2!AF11,IFERROR(Table10s3!AF11*28,0),IFERROR(Table10s4!AF11*265,0)))</f>
        <v>381686.20875544503</v>
      </c>
      <c r="AG12" s="4108">
        <f>IF(SUM(Table10s2!AG11,IFERROR(Table10s3!AG11*28,0),IFERROR(Table10s4!AG11*265,0))=0,"NO",SUM(Table10s2!AG11,IFERROR(Table10s3!AG11*28,0),IFERROR(Table10s4!AG11*265,0)))</f>
        <v>381056.01102930179</v>
      </c>
      <c r="AH12" s="4108">
        <f>IF(SUM(Table10s2!AH11,IFERROR(Table10s3!AH11*28,0),IFERROR(Table10s4!AH11*265,0))=0,"NO",SUM(Table10s2!AH11,IFERROR(Table10s3!AH11*28,0),IFERROR(Table10s4!AH11*265,0)))</f>
        <v>378517.02538449201</v>
      </c>
      <c r="AI12" s="4108">
        <f>IF(SUM(Table10s2!AI11,IFERROR(Table10s3!AI11*28,0),IFERROR(Table10s4!AI11*265,0))=0,"NO",SUM(Table10s2!AI11,IFERROR(Table10s3!AI11*28,0),IFERROR(Table10s4!AI11*265,0)))</f>
        <v>365126.33537719998</v>
      </c>
      <c r="AJ12" s="4108">
        <f>IF(SUM(Table10s2!AJ11,IFERROR(Table10s3!AJ11*28,0),IFERROR(Table10s4!AJ11*265,0))=0,"NO",SUM(Table10s2!AJ11,IFERROR(Table10s3!AJ11*28,0),IFERROR(Table10s4!AJ11*265,0)))</f>
        <v>355222.6194494043</v>
      </c>
      <c r="AK12" s="4101">
        <f t="shared" si="1"/>
        <v>38.179159239589779</v>
      </c>
    </row>
    <row r="13" spans="1:37" ht="18" customHeight="1" x14ac:dyDescent="0.2">
      <c r="B13" s="1371" t="s">
        <v>1478</v>
      </c>
      <c r="C13" s="1995"/>
      <c r="D13" s="1995"/>
      <c r="E13" s="4094">
        <f>IF(SUM(Table10s2!E12,IFERROR(Table10s3!E12*28,0),IFERROR(Table10s4!E12*265,0))=0,"NO",SUM(Table10s2!E12,IFERROR(Table10s3!E12*28,0),IFERROR(Table10s4!E12*265,0)))</f>
        <v>143172.75603980524</v>
      </c>
      <c r="F13" s="4094">
        <f>IF(SUM(Table10s2!F12,IFERROR(Table10s3!F12*28,0),IFERROR(Table10s4!F12*265,0))=0,"NO",SUM(Table10s2!F12,IFERROR(Table10s3!F12*28,0),IFERROR(Table10s4!F12*265,0)))</f>
        <v>146396.54844884243</v>
      </c>
      <c r="G13" s="4108">
        <f>IF(SUM(Table10s2!G12,IFERROR(Table10s3!G12*28,0),IFERROR(Table10s4!G12*265,0))=0,"NO",SUM(Table10s2!G12,IFERROR(Table10s3!G12*28,0),IFERROR(Table10s4!G12*265,0)))</f>
        <v>149719.79570477089</v>
      </c>
      <c r="H13" s="4108">
        <f>IF(SUM(Table10s2!H12,IFERROR(Table10s3!H12*28,0),IFERROR(Table10s4!H12*265,0))=0,"NO",SUM(Table10s2!H12,IFERROR(Table10s3!H12*28,0),IFERROR(Table10s4!H12*265,0)))</f>
        <v>151492.71924897438</v>
      </c>
      <c r="I13" s="4108">
        <f>IF(SUM(Table10s2!I12,IFERROR(Table10s3!I12*28,0),IFERROR(Table10s4!I12*265,0))=0,"NO",SUM(Table10s2!I12,IFERROR(Table10s3!I12*28,0),IFERROR(Table10s4!I12*265,0)))</f>
        <v>152307.64364588997</v>
      </c>
      <c r="J13" s="4108">
        <f>IF(SUM(Table10s2!J12,IFERROR(Table10s3!J12*28,0),IFERROR(Table10s4!J12*265,0))=0,"NO",SUM(Table10s2!J12,IFERROR(Table10s3!J12*28,0),IFERROR(Table10s4!J12*265,0)))</f>
        <v>158140.19787730492</v>
      </c>
      <c r="K13" s="4108">
        <f>IF(SUM(Table10s2!K12,IFERROR(Table10s3!K12*28,0),IFERROR(Table10s4!K12*265,0))=0,"NO",SUM(Table10s2!K12,IFERROR(Table10s3!K12*28,0),IFERROR(Table10s4!K12*265,0)))</f>
        <v>162742.63785059121</v>
      </c>
      <c r="L13" s="4108">
        <f>IF(SUM(Table10s2!L12,IFERROR(Table10s3!L12*28,0),IFERROR(Table10s4!L12*265,0))=0,"NO",SUM(Table10s2!L12,IFERROR(Table10s3!L12*28,0),IFERROR(Table10s4!L12*265,0)))</f>
        <v>169413.36662108076</v>
      </c>
      <c r="M13" s="4108">
        <f>IF(SUM(Table10s2!M12,IFERROR(Table10s3!M12*28,0),IFERROR(Table10s4!M12*265,0))=0,"NO",SUM(Table10s2!M12,IFERROR(Table10s3!M12*28,0),IFERROR(Table10s4!M12*265,0)))</f>
        <v>182065.81816517632</v>
      </c>
      <c r="N13" s="4108">
        <f>IF(SUM(Table10s2!N12,IFERROR(Table10s3!N12*28,0),IFERROR(Table10s4!N12*265,0))=0,"NO",SUM(Table10s2!N12,IFERROR(Table10s3!N12*28,0),IFERROR(Table10s4!N12*265,0)))</f>
        <v>189654.79996283131</v>
      </c>
      <c r="O13" s="4108">
        <f>IF(SUM(Table10s2!O12,IFERROR(Table10s3!O12*28,0),IFERROR(Table10s4!O12*265,0))=0,"NO",SUM(Table10s2!O12,IFERROR(Table10s3!O12*28,0),IFERROR(Table10s4!O12*265,0)))</f>
        <v>192519.662938922</v>
      </c>
      <c r="P13" s="4108">
        <f>IF(SUM(Table10s2!P12,IFERROR(Table10s3!P12*28,0),IFERROR(Table10s4!P12*265,0))=0,"NO",SUM(Table10s2!P12,IFERROR(Table10s3!P12*28,0),IFERROR(Table10s4!P12*265,0)))</f>
        <v>200056.94444647554</v>
      </c>
      <c r="Q13" s="4108">
        <f>IF(SUM(Table10s2!Q12,IFERROR(Table10s3!Q12*28,0),IFERROR(Table10s4!Q12*265,0))=0,"NO",SUM(Table10s2!Q12,IFERROR(Table10s3!Q12*28,0),IFERROR(Table10s4!Q12*265,0)))</f>
        <v>202550.8446446317</v>
      </c>
      <c r="R13" s="4108">
        <f>IF(SUM(Table10s2!R12,IFERROR(Table10s3!R12*28,0),IFERROR(Table10s4!R12*265,0))=0,"NO",SUM(Table10s2!R12,IFERROR(Table10s3!R12*28,0),IFERROR(Table10s4!R12*265,0)))</f>
        <v>205188.59041533896</v>
      </c>
      <c r="S13" s="4108">
        <f>IF(SUM(Table10s2!S12,IFERROR(Table10s3!S12*28,0),IFERROR(Table10s4!S12*265,0))=0,"NO",SUM(Table10s2!S12,IFERROR(Table10s3!S12*28,0),IFERROR(Table10s4!S12*265,0)))</f>
        <v>214175.41919923437</v>
      </c>
      <c r="T13" s="4108">
        <f>IF(SUM(Table10s2!T12,IFERROR(Table10s3!T12*28,0),IFERROR(Table10s4!T12*265,0))=0,"NO",SUM(Table10s2!T12,IFERROR(Table10s3!T12*28,0),IFERROR(Table10s4!T12*265,0)))</f>
        <v>216528.07021715026</v>
      </c>
      <c r="U13" s="4108">
        <f>IF(SUM(Table10s2!U12,IFERROR(Table10s3!U12*28,0),IFERROR(Table10s4!U12*265,0))=0,"NO",SUM(Table10s2!U12,IFERROR(Table10s3!U12*28,0),IFERROR(Table10s4!U12*265,0)))</f>
        <v>221026.74060505195</v>
      </c>
      <c r="V13" s="4108">
        <f>IF(SUM(Table10s2!V12,IFERROR(Table10s3!V12*28,0),IFERROR(Table10s4!V12*265,0))=0,"NO",SUM(Table10s2!V12,IFERROR(Table10s3!V12*28,0),IFERROR(Table10s4!V12*265,0)))</f>
        <v>224087.95520990263</v>
      </c>
      <c r="W13" s="4108">
        <f>IF(SUM(Table10s2!W12,IFERROR(Table10s3!W12*28,0),IFERROR(Table10s4!W12*265,0))=0,"NO",SUM(Table10s2!W12,IFERROR(Table10s3!W12*28,0),IFERROR(Table10s4!W12*265,0)))</f>
        <v>225886.85021541014</v>
      </c>
      <c r="X13" s="4108">
        <f>IF(SUM(Table10s2!X12,IFERROR(Table10s3!X12*28,0),IFERROR(Table10s4!X12*265,0))=0,"NO",SUM(Table10s2!X12,IFERROR(Table10s3!X12*28,0),IFERROR(Table10s4!X12*265,0)))</f>
        <v>232820.84351167016</v>
      </c>
      <c r="Y13" s="4108">
        <f>IF(SUM(Table10s2!Y12,IFERROR(Table10s3!Y12*28,0),IFERROR(Table10s4!Y12*265,0))=0,"NO",SUM(Table10s2!Y12,IFERROR(Table10s3!Y12*28,0),IFERROR(Table10s4!Y12*265,0)))</f>
        <v>226959.02528748981</v>
      </c>
      <c r="Z13" s="4108">
        <f>IF(SUM(Table10s2!Z12,IFERROR(Table10s3!Z12*28,0),IFERROR(Table10s4!Z12*265,0))=0,"NO",SUM(Table10s2!Z12,IFERROR(Table10s3!Z12*28,0),IFERROR(Table10s4!Z12*265,0)))</f>
        <v>221003.02197308873</v>
      </c>
      <c r="AA13" s="4108">
        <f>IF(SUM(Table10s2!AA12,IFERROR(Table10s3!AA12*28,0),IFERROR(Table10s4!AA12*265,0))=0,"NO",SUM(Table10s2!AA12,IFERROR(Table10s3!AA12*28,0),IFERROR(Table10s4!AA12*265,0)))</f>
        <v>222772.02307836441</v>
      </c>
      <c r="AB13" s="4108">
        <f>IF(SUM(Table10s2!AB12,IFERROR(Table10s3!AB12*28,0),IFERROR(Table10s4!AB12*265,0))=0,"NO",SUM(Table10s2!AB12,IFERROR(Table10s3!AB12*28,0),IFERROR(Table10s4!AB12*265,0)))</f>
        <v>211608.43176196792</v>
      </c>
      <c r="AC13" s="4108">
        <f>IF(SUM(Table10s2!AC12,IFERROR(Table10s3!AC12*28,0),IFERROR(Table10s4!AC12*265,0))=0,"NO",SUM(Table10s2!AC12,IFERROR(Table10s3!AC12*28,0),IFERROR(Table10s4!AC12*265,0)))</f>
        <v>205575.02231462483</v>
      </c>
      <c r="AD13" s="4108">
        <f>IF(SUM(Table10s2!AD12,IFERROR(Table10s3!AD12*28,0),IFERROR(Table10s4!AD12*265,0))=0,"NO",SUM(Table10s2!AD12,IFERROR(Table10s3!AD12*28,0),IFERROR(Table10s4!AD12*265,0)))</f>
        <v>212312.50533552523</v>
      </c>
      <c r="AE13" s="4108">
        <f>IF(SUM(Table10s2!AE12,IFERROR(Table10s3!AE12*28,0),IFERROR(Table10s4!AE12*265,0))=0,"NO",SUM(Table10s2!AE12,IFERROR(Table10s3!AE12*28,0),IFERROR(Table10s4!AE12*265,0)))</f>
        <v>219696.63192552244</v>
      </c>
      <c r="AF13" s="4108">
        <f>IF(SUM(Table10s2!AF12,IFERROR(Table10s3!AF12*28,0),IFERROR(Table10s4!AF12*265,0))=0,"NO",SUM(Table10s2!AF12,IFERROR(Table10s3!AF12*28,0),IFERROR(Table10s4!AF12*265,0)))</f>
        <v>218630.99555521435</v>
      </c>
      <c r="AG13" s="4108">
        <f>IF(SUM(Table10s2!AG12,IFERROR(Table10s3!AG12*28,0),IFERROR(Table10s4!AG12*265,0))=0,"NO",SUM(Table10s2!AG12,IFERROR(Table10s3!AG12*28,0),IFERROR(Table10s4!AG12*265,0)))</f>
        <v>214859.14933444254</v>
      </c>
      <c r="AH13" s="4108">
        <f>IF(SUM(Table10s2!AH12,IFERROR(Table10s3!AH12*28,0),IFERROR(Table10s4!AH12*265,0))=0,"NO",SUM(Table10s2!AH12,IFERROR(Table10s3!AH12*28,0),IFERROR(Table10s4!AH12*265,0)))</f>
        <v>213954.25357647263</v>
      </c>
      <c r="AI13" s="4108">
        <f>IF(SUM(Table10s2!AI12,IFERROR(Table10s3!AI12*28,0),IFERROR(Table10s4!AI12*265,0))=0,"NO",SUM(Table10s2!AI12,IFERROR(Table10s3!AI12*28,0),IFERROR(Table10s4!AI12*265,0)))</f>
        <v>207918.76639987624</v>
      </c>
      <c r="AJ13" s="4108">
        <f>IF(SUM(Table10s2!AJ12,IFERROR(Table10s3!AJ12*28,0),IFERROR(Table10s4!AJ12*265,0))=0,"NO",SUM(Table10s2!AJ12,IFERROR(Table10s3!AJ12*28,0),IFERROR(Table10s4!AJ12*265,0)))</f>
        <v>198077.77928236994</v>
      </c>
      <c r="AK13" s="4101">
        <f t="shared" si="1"/>
        <v>38.348792578456681</v>
      </c>
    </row>
    <row r="14" spans="1:37" ht="18" customHeight="1" x14ac:dyDescent="0.2">
      <c r="B14" s="1371" t="s">
        <v>1714</v>
      </c>
      <c r="C14" s="1995"/>
      <c r="D14" s="1995"/>
      <c r="E14" s="4094">
        <f>IF(SUM(Table10s2!E13,IFERROR(Table10s3!E13*28,0),IFERROR(Table10s4!E13*265,0))=0,"NO",SUM(Table10s2!E13,IFERROR(Table10s3!E13*28,0),IFERROR(Table10s4!E13*265,0)))</f>
        <v>36224.92193319268</v>
      </c>
      <c r="F14" s="4094">
        <f>IF(SUM(Table10s2!F13,IFERROR(Table10s3!F13*28,0),IFERROR(Table10s4!F13*265,0))=0,"NO",SUM(Table10s2!F13,IFERROR(Table10s3!F13*28,0),IFERROR(Table10s4!F13*265,0)))</f>
        <v>35760.896738639582</v>
      </c>
      <c r="G14" s="4108">
        <f>IF(SUM(Table10s2!G13,IFERROR(Table10s3!G13*28,0),IFERROR(Table10s4!G13*265,0))=0,"NO",SUM(Table10s2!G13,IFERROR(Table10s3!G13*28,0),IFERROR(Table10s4!G13*265,0)))</f>
        <v>35315.918913546557</v>
      </c>
      <c r="H14" s="4108">
        <f>IF(SUM(Table10s2!H13,IFERROR(Table10s3!H13*28,0),IFERROR(Table10s4!H13*265,0))=0,"NO",SUM(Table10s2!H13,IFERROR(Table10s3!H13*28,0),IFERROR(Table10s4!H13*265,0)))</f>
        <v>35896.359111812453</v>
      </c>
      <c r="I14" s="4108">
        <f>IF(SUM(Table10s2!I13,IFERROR(Table10s3!I13*28,0),IFERROR(Table10s4!I13*265,0))=0,"NO",SUM(Table10s2!I13,IFERROR(Table10s3!I13*28,0),IFERROR(Table10s4!I13*265,0)))</f>
        <v>36686.267482880052</v>
      </c>
      <c r="J14" s="4108">
        <f>IF(SUM(Table10s2!J13,IFERROR(Table10s3!J13*28,0),IFERROR(Table10s4!J13*265,0))=0,"NO",SUM(Table10s2!J13,IFERROR(Table10s3!J13*28,0),IFERROR(Table10s4!J13*265,0)))</f>
        <v>37628.853596319255</v>
      </c>
      <c r="K14" s="4108">
        <f>IF(SUM(Table10s2!K13,IFERROR(Table10s3!K13*28,0),IFERROR(Table10s4!K13*265,0))=0,"NO",SUM(Table10s2!K13,IFERROR(Table10s3!K13*28,0),IFERROR(Table10s4!K13*265,0)))</f>
        <v>37660.477479184941</v>
      </c>
      <c r="L14" s="4108">
        <f>IF(SUM(Table10s2!L13,IFERROR(Table10s3!L13*28,0),IFERROR(Table10s4!L13*265,0))=0,"NO",SUM(Table10s2!L13,IFERROR(Table10s3!L13*28,0),IFERROR(Table10s4!L13*265,0)))</f>
        <v>37754.04800030616</v>
      </c>
      <c r="M14" s="4108">
        <f>IF(SUM(Table10s2!M13,IFERROR(Table10s3!M13*28,0),IFERROR(Table10s4!M13*265,0))=0,"NO",SUM(Table10s2!M13,IFERROR(Table10s3!M13*28,0),IFERROR(Table10s4!M13*265,0)))</f>
        <v>37856.691958413074</v>
      </c>
      <c r="N14" s="4108">
        <f>IF(SUM(Table10s2!N13,IFERROR(Table10s3!N13*28,0),IFERROR(Table10s4!N13*265,0))=0,"NO",SUM(Table10s2!N13,IFERROR(Table10s3!N13*28,0),IFERROR(Table10s4!N13*265,0)))</f>
        <v>38108.659069451154</v>
      </c>
      <c r="O14" s="4108">
        <f>IF(SUM(Table10s2!O13,IFERROR(Table10s3!O13*28,0),IFERROR(Table10s4!O13*265,0))=0,"NO",SUM(Table10s2!O13,IFERROR(Table10s3!O13*28,0),IFERROR(Table10s4!O13*265,0)))</f>
        <v>38916.009269819398</v>
      </c>
      <c r="P14" s="4108">
        <f>IF(SUM(Table10s2!P13,IFERROR(Table10s3!P13*28,0),IFERROR(Table10s4!P13*265,0))=0,"NO",SUM(Table10s2!P13,IFERROR(Table10s3!P13*28,0),IFERROR(Table10s4!P13*265,0)))</f>
        <v>38416.042831894258</v>
      </c>
      <c r="Q14" s="4108">
        <f>IF(SUM(Table10s2!Q13,IFERROR(Table10s3!Q13*28,0),IFERROR(Table10s4!Q13*265,0))=0,"NO",SUM(Table10s2!Q13,IFERROR(Table10s3!Q13*28,0),IFERROR(Table10s4!Q13*265,0)))</f>
        <v>39094.103377944135</v>
      </c>
      <c r="R14" s="4108">
        <f>IF(SUM(Table10s2!R13,IFERROR(Table10s3!R13*28,0),IFERROR(Table10s4!R13*265,0))=0,"NO",SUM(Table10s2!R13,IFERROR(Table10s3!R13*28,0),IFERROR(Table10s4!R13*265,0)))</f>
        <v>39588.403853024683</v>
      </c>
      <c r="S14" s="4108">
        <f>IF(SUM(Table10s2!S13,IFERROR(Table10s3!S13*28,0),IFERROR(Table10s4!S13*265,0))=0,"NO",SUM(Table10s2!S13,IFERROR(Table10s3!S13*28,0),IFERROR(Table10s4!S13*265,0)))</f>
        <v>40467.58108393287</v>
      </c>
      <c r="T14" s="4108">
        <f>IF(SUM(Table10s2!T13,IFERROR(Table10s3!T13*28,0),IFERROR(Table10s4!T13*265,0))=0,"NO",SUM(Table10s2!T13,IFERROR(Table10s3!T13*28,0),IFERROR(Table10s4!T13*265,0)))</f>
        <v>41546.787139398708</v>
      </c>
      <c r="U14" s="4108">
        <f>IF(SUM(Table10s2!U13,IFERROR(Table10s3!U13*28,0),IFERROR(Table10s4!U13*265,0))=0,"NO",SUM(Table10s2!U13,IFERROR(Table10s3!U13*28,0),IFERROR(Table10s4!U13*265,0)))</f>
        <v>40610.591879722451</v>
      </c>
      <c r="V14" s="4108">
        <f>IF(SUM(Table10s2!V13,IFERROR(Table10s3!V13*28,0),IFERROR(Table10s4!V13*265,0))=0,"NO",SUM(Table10s2!V13,IFERROR(Table10s3!V13*28,0),IFERROR(Table10s4!V13*265,0)))</f>
        <v>40888.483760685587</v>
      </c>
      <c r="W14" s="4108">
        <f>IF(SUM(Table10s2!W13,IFERROR(Table10s3!W13*28,0),IFERROR(Table10s4!W13*265,0))=0,"NO",SUM(Table10s2!W13,IFERROR(Table10s3!W13*28,0),IFERROR(Table10s4!W13*265,0)))</f>
        <v>42997.772276256575</v>
      </c>
      <c r="X14" s="4108">
        <f>IF(SUM(Table10s2!X13,IFERROR(Table10s3!X13*28,0),IFERROR(Table10s4!X13*265,0))=0,"NO",SUM(Table10s2!X13,IFERROR(Table10s3!X13*28,0),IFERROR(Table10s4!X13*265,0)))</f>
        <v>40516.025596455431</v>
      </c>
      <c r="Y14" s="4108">
        <f>IF(SUM(Table10s2!Y13,IFERROR(Table10s3!Y13*28,0),IFERROR(Table10s4!Y13*265,0))=0,"NO",SUM(Table10s2!Y13,IFERROR(Table10s3!Y13*28,0),IFERROR(Table10s4!Y13*265,0)))</f>
        <v>39707.395666026459</v>
      </c>
      <c r="Z14" s="4108">
        <f>IF(SUM(Table10s2!Z13,IFERROR(Table10s3!Z13*28,0),IFERROR(Table10s4!Z13*265,0))=0,"NO",SUM(Table10s2!Z13,IFERROR(Table10s3!Z13*28,0),IFERROR(Table10s4!Z13*265,0)))</f>
        <v>40883.496609662005</v>
      </c>
      <c r="AA14" s="4108">
        <f>IF(SUM(Table10s2!AA13,IFERROR(Table10s3!AA13*28,0),IFERROR(Table10s4!AA13*265,0))=0,"NO",SUM(Table10s2!AA13,IFERROR(Table10s3!AA13*28,0),IFERROR(Table10s4!AA13*265,0)))</f>
        <v>42875.222269352736</v>
      </c>
      <c r="AB14" s="4108">
        <f>IF(SUM(Table10s2!AB13,IFERROR(Table10s3!AB13*28,0),IFERROR(Table10s4!AB13*265,0))=0,"NO",SUM(Table10s2!AB13,IFERROR(Table10s3!AB13*28,0),IFERROR(Table10s4!AB13*265,0)))</f>
        <v>45969.231629491755</v>
      </c>
      <c r="AC14" s="4108">
        <f>IF(SUM(Table10s2!AC13,IFERROR(Table10s3!AC13*28,0),IFERROR(Table10s4!AC13*265,0))=0,"NO",SUM(Table10s2!AC13,IFERROR(Table10s3!AC13*28,0),IFERROR(Table10s4!AC13*265,0)))</f>
        <v>46341.22981545845</v>
      </c>
      <c r="AD14" s="4108">
        <f>IF(SUM(Table10s2!AD13,IFERROR(Table10s3!AD13*28,0),IFERROR(Table10s4!AD13*265,0))=0,"NO",SUM(Table10s2!AD13,IFERROR(Table10s3!AD13*28,0),IFERROR(Table10s4!AD13*265,0)))</f>
        <v>42743.936465553888</v>
      </c>
      <c r="AE14" s="4108">
        <f>IF(SUM(Table10s2!AE13,IFERROR(Table10s3!AE13*28,0),IFERROR(Table10s4!AE13*265,0))=0,"NO",SUM(Table10s2!AE13,IFERROR(Table10s3!AE13*28,0),IFERROR(Table10s4!AE13*265,0)))</f>
        <v>41457.597003712937</v>
      </c>
      <c r="AF14" s="4108">
        <f>IF(SUM(Table10s2!AF13,IFERROR(Table10s3!AF13*28,0),IFERROR(Table10s4!AF13*265,0))=0,"NO",SUM(Table10s2!AF13,IFERROR(Table10s3!AF13*28,0),IFERROR(Table10s4!AF13*265,0)))</f>
        <v>40684.881106133478</v>
      </c>
      <c r="AG14" s="4108">
        <f>IF(SUM(Table10s2!AG13,IFERROR(Table10s3!AG13*28,0),IFERROR(Table10s4!AG13*265,0))=0,"NO",SUM(Table10s2!AG13,IFERROR(Table10s3!AG13*28,0),IFERROR(Table10s4!AG13*265,0)))</f>
        <v>41667.746532844081</v>
      </c>
      <c r="AH14" s="4108">
        <f>IF(SUM(Table10s2!AH13,IFERROR(Table10s3!AH13*28,0),IFERROR(Table10s4!AH13*265,0))=0,"NO",SUM(Table10s2!AH13,IFERROR(Table10s3!AH13*28,0),IFERROR(Table10s4!AH13*265,0)))</f>
        <v>41604.536335134442</v>
      </c>
      <c r="AI14" s="4108">
        <f>IF(SUM(Table10s2!AI13,IFERROR(Table10s3!AI13*28,0),IFERROR(Table10s4!AI13*265,0))=0,"NO",SUM(Table10s2!AI13,IFERROR(Table10s3!AI13*28,0),IFERROR(Table10s4!AI13*265,0)))</f>
        <v>41705.481382674901</v>
      </c>
      <c r="AJ14" s="4108">
        <f>IF(SUM(Table10s2!AJ13,IFERROR(Table10s3!AJ13*28,0),IFERROR(Table10s4!AJ13*265,0))=0,"NO",SUM(Table10s2!AJ13,IFERROR(Table10s3!AJ13*28,0),IFERROR(Table10s4!AJ13*265,0)))</f>
        <v>42412.978910851001</v>
      </c>
      <c r="AK14" s="4101">
        <f t="shared" si="1"/>
        <v>17.082319705396642</v>
      </c>
    </row>
    <row r="15" spans="1:37" ht="18" customHeight="1" x14ac:dyDescent="0.2">
      <c r="B15" s="1371" t="s">
        <v>1480</v>
      </c>
      <c r="C15" s="1995"/>
      <c r="D15" s="1995"/>
      <c r="E15" s="4094">
        <f>IF(SUM(Table10s2!E14,IFERROR(Table10s3!E14*28,0),IFERROR(Table10s4!E14*265,0))=0,"NO",SUM(Table10s2!E14,IFERROR(Table10s3!E14*28,0),IFERROR(Table10s4!E14*265,0)))</f>
        <v>61369.5887082798</v>
      </c>
      <c r="F15" s="4094">
        <f>IF(SUM(Table10s2!F14,IFERROR(Table10s3!F14*28,0),IFERROR(Table10s4!F14*265,0))=0,"NO",SUM(Table10s2!F14,IFERROR(Table10s3!F14*28,0),IFERROR(Table10s4!F14*265,0)))</f>
        <v>60801.535477243022</v>
      </c>
      <c r="G15" s="4108">
        <f>IF(SUM(Table10s2!G14,IFERROR(Table10s3!G14*28,0),IFERROR(Table10s4!G14*265,0))=0,"NO",SUM(Table10s2!G14,IFERROR(Table10s3!G14*28,0),IFERROR(Table10s4!G14*265,0)))</f>
        <v>61810.130809256021</v>
      </c>
      <c r="H15" s="4108">
        <f>IF(SUM(Table10s2!H14,IFERROR(Table10s3!H14*28,0),IFERROR(Table10s4!H14*265,0))=0,"NO",SUM(Table10s2!H14,IFERROR(Table10s3!H14*28,0),IFERROR(Table10s4!H14*265,0)))</f>
        <v>63382.570315197583</v>
      </c>
      <c r="I15" s="4108">
        <f>IF(SUM(Table10s2!I14,IFERROR(Table10s3!I14*28,0),IFERROR(Table10s4!I14*265,0))=0,"NO",SUM(Table10s2!I14,IFERROR(Table10s3!I14*28,0),IFERROR(Table10s4!I14*265,0)))</f>
        <v>64874.145139228007</v>
      </c>
      <c r="J15" s="4108">
        <f>IF(SUM(Table10s2!J14,IFERROR(Table10s3!J14*28,0),IFERROR(Table10s4!J14*265,0))=0,"NO",SUM(Table10s2!J14,IFERROR(Table10s3!J14*28,0),IFERROR(Table10s4!J14*265,0)))</f>
        <v>68215.900793973211</v>
      </c>
      <c r="K15" s="4108">
        <f>IF(SUM(Table10s2!K14,IFERROR(Table10s3!K14*28,0),IFERROR(Table10s4!K14*265,0))=0,"NO",SUM(Table10s2!K14,IFERROR(Table10s3!K14*28,0),IFERROR(Table10s4!K14*265,0)))</f>
        <v>70090.658286054793</v>
      </c>
      <c r="L15" s="4108">
        <f>IF(SUM(Table10s2!L14,IFERROR(Table10s3!L14*28,0),IFERROR(Table10s4!L14*265,0))=0,"NO",SUM(Table10s2!L14,IFERROR(Table10s3!L14*28,0),IFERROR(Table10s4!L14*265,0)))</f>
        <v>71388.328323342837</v>
      </c>
      <c r="M15" s="4108">
        <f>IF(SUM(Table10s2!M14,IFERROR(Table10s3!M14*28,0),IFERROR(Table10s4!M14*265,0))=0,"NO",SUM(Table10s2!M14,IFERROR(Table10s3!M14*28,0),IFERROR(Table10s4!M14*265,0)))</f>
        <v>71597.549360233825</v>
      </c>
      <c r="N15" s="4108">
        <f>IF(SUM(Table10s2!N14,IFERROR(Table10s3!N14*28,0),IFERROR(Table10s4!N14*265,0))=0,"NO",SUM(Table10s2!N14,IFERROR(Table10s3!N14*28,0),IFERROR(Table10s4!N14*265,0)))</f>
        <v>72430.616019259716</v>
      </c>
      <c r="O15" s="4108">
        <f>IF(SUM(Table10s2!O14,IFERROR(Table10s3!O14*28,0),IFERROR(Table10s4!O14*265,0))=0,"NO",SUM(Table10s2!O14,IFERROR(Table10s3!O14*28,0),IFERROR(Table10s4!O14*265,0)))</f>
        <v>74026.475383261684</v>
      </c>
      <c r="P15" s="4108">
        <f>IF(SUM(Table10s2!P14,IFERROR(Table10s3!P14*28,0),IFERROR(Table10s4!P14*265,0))=0,"NO",SUM(Table10s2!P14,IFERROR(Table10s3!P14*28,0),IFERROR(Table10s4!P14*265,0)))</f>
        <v>73974.649243676686</v>
      </c>
      <c r="Q15" s="4108">
        <f>IF(SUM(Table10s2!Q14,IFERROR(Table10s3!Q14*28,0),IFERROR(Table10s4!Q14*265,0))=0,"NO",SUM(Table10s2!Q14,IFERROR(Table10s3!Q14*28,0),IFERROR(Table10s4!Q14*265,0)))</f>
        <v>75486.434996321797</v>
      </c>
      <c r="R15" s="4108">
        <f>IF(SUM(Table10s2!R14,IFERROR(Table10s3!R14*28,0),IFERROR(Table10s4!R14*265,0))=0,"NO",SUM(Table10s2!R14,IFERROR(Table10s3!R14*28,0),IFERROR(Table10s4!R14*265,0)))</f>
        <v>77955.785949378653</v>
      </c>
      <c r="S15" s="4108">
        <f>IF(SUM(Table10s2!S14,IFERROR(Table10s3!S14*28,0),IFERROR(Table10s4!S14*265,0))=0,"NO",SUM(Table10s2!S14,IFERROR(Table10s3!S14*28,0),IFERROR(Table10s4!S14*265,0)))</f>
        <v>81017.145052305612</v>
      </c>
      <c r="T15" s="4108">
        <f>IF(SUM(Table10s2!T14,IFERROR(Table10s3!T14*28,0),IFERROR(Table10s4!T14*265,0))=0,"NO",SUM(Table10s2!T14,IFERROR(Table10s3!T14*28,0),IFERROR(Table10s4!T14*265,0)))</f>
        <v>82046.524190527285</v>
      </c>
      <c r="U15" s="4108">
        <f>IF(SUM(Table10s2!U14,IFERROR(Table10s3!U14*28,0),IFERROR(Table10s4!U14*265,0))=0,"NO",SUM(Table10s2!U14,IFERROR(Table10s3!U14*28,0),IFERROR(Table10s4!U14*265,0)))</f>
        <v>83340.477653091599</v>
      </c>
      <c r="V15" s="4108">
        <f>IF(SUM(Table10s2!V14,IFERROR(Table10s3!V14*28,0),IFERROR(Table10s4!V14*265,0))=0,"NO",SUM(Table10s2!V14,IFERROR(Table10s3!V14*28,0),IFERROR(Table10s4!V14*265,0)))</f>
        <v>85291.770753191231</v>
      </c>
      <c r="W15" s="4108">
        <f>IF(SUM(Table10s2!W14,IFERROR(Table10s3!W14*28,0),IFERROR(Table10s4!W14*265,0))=0,"NO",SUM(Table10s2!W14,IFERROR(Table10s3!W14*28,0),IFERROR(Table10s4!W14*265,0)))</f>
        <v>86317.654700843894</v>
      </c>
      <c r="X15" s="4108">
        <f>IF(SUM(Table10s2!X14,IFERROR(Table10s3!X14*28,0),IFERROR(Table10s4!X14*265,0))=0,"NO",SUM(Table10s2!X14,IFERROR(Table10s3!X14*28,0),IFERROR(Table10s4!X14*265,0)))</f>
        <v>87193.211308156548</v>
      </c>
      <c r="Y15" s="4108">
        <f>IF(SUM(Table10s2!Y14,IFERROR(Table10s3!Y14*28,0),IFERROR(Table10s4!Y14*265,0))=0,"NO",SUM(Table10s2!Y14,IFERROR(Table10s3!Y14*28,0),IFERROR(Table10s4!Y14*265,0)))</f>
        <v>88652.752143716105</v>
      </c>
      <c r="Z15" s="4108">
        <f>IF(SUM(Table10s2!Z14,IFERROR(Table10s3!Z14*28,0),IFERROR(Table10s4!Z14*265,0))=0,"NO",SUM(Table10s2!Z14,IFERROR(Table10s3!Z14*28,0),IFERROR(Table10s4!Z14*265,0)))</f>
        <v>91270.553617518366</v>
      </c>
      <c r="AA15" s="4108">
        <f>IF(SUM(Table10s2!AA14,IFERROR(Table10s3!AA14*28,0),IFERROR(Table10s4!AA14*265,0))=0,"NO",SUM(Table10s2!AA14,IFERROR(Table10s3!AA14*28,0),IFERROR(Table10s4!AA14*265,0)))</f>
        <v>91810.402859689973</v>
      </c>
      <c r="AB15" s="4108">
        <f>IF(SUM(Table10s2!AB14,IFERROR(Table10s3!AB14*28,0),IFERROR(Table10s4!AB14*265,0))=0,"NO",SUM(Table10s2!AB14,IFERROR(Table10s3!AB14*28,0),IFERROR(Table10s4!AB14*265,0)))</f>
        <v>93157.122486850349</v>
      </c>
      <c r="AC15" s="4108">
        <f>IF(SUM(Table10s2!AC14,IFERROR(Table10s3!AC14*28,0),IFERROR(Table10s4!AC14*265,0))=0,"NO",SUM(Table10s2!AC14,IFERROR(Table10s3!AC14*28,0),IFERROR(Table10s4!AC14*265,0)))</f>
        <v>93120.282008197668</v>
      </c>
      <c r="AD15" s="4108">
        <f>IF(SUM(Table10s2!AD14,IFERROR(Table10s3!AD14*28,0),IFERROR(Table10s4!AD14*265,0))=0,"NO",SUM(Table10s2!AD14,IFERROR(Table10s3!AD14*28,0),IFERROR(Table10s4!AD14*265,0)))</f>
        <v>95256.060713800049</v>
      </c>
      <c r="AE15" s="4108">
        <f>IF(SUM(Table10s2!AE14,IFERROR(Table10s3!AE14*28,0),IFERROR(Table10s4!AE14*265,0))=0,"NO",SUM(Table10s2!AE14,IFERROR(Table10s3!AE14*28,0),IFERROR(Table10s4!AE14*265,0)))</f>
        <v>96247.369888646499</v>
      </c>
      <c r="AF15" s="4108">
        <f>IF(SUM(Table10s2!AF14,IFERROR(Table10s3!AF14*28,0),IFERROR(Table10s4!AF14*265,0))=0,"NO",SUM(Table10s2!AF14,IFERROR(Table10s3!AF14*28,0),IFERROR(Table10s4!AF14*265,0)))</f>
        <v>97873.731496301552</v>
      </c>
      <c r="AG15" s="4108">
        <f>IF(SUM(Table10s2!AG14,IFERROR(Table10s3!AG14*28,0),IFERROR(Table10s4!AG14*265,0))=0,"NO",SUM(Table10s2!AG14,IFERROR(Table10s3!AG14*28,0),IFERROR(Table10s4!AG14*265,0)))</f>
        <v>100147.86999338708</v>
      </c>
      <c r="AH15" s="4108">
        <f>IF(SUM(Table10s2!AH14,IFERROR(Table10s3!AH14*28,0),IFERROR(Table10s4!AH14*265,0))=0,"NO",SUM(Table10s2!AH14,IFERROR(Table10s3!AH14*28,0),IFERROR(Table10s4!AH14*265,0)))</f>
        <v>100204.51239450407</v>
      </c>
      <c r="AI15" s="4108">
        <f>IF(SUM(Table10s2!AI14,IFERROR(Table10s3!AI14*28,0),IFERROR(Table10s4!AI14*265,0))=0,"NO",SUM(Table10s2!AI14,IFERROR(Table10s3!AI14*28,0),IFERROR(Table10s4!AI14*265,0)))</f>
        <v>93177.677134597834</v>
      </c>
      <c r="AJ15" s="4108">
        <f>IF(SUM(Table10s2!AJ14,IFERROR(Table10s3!AJ14*28,0),IFERROR(Table10s4!AJ14*265,0))=0,"NO",SUM(Table10s2!AJ14,IFERROR(Table10s3!AJ14*28,0),IFERROR(Table10s4!AJ14*265,0)))</f>
        <v>90192.359689685312</v>
      </c>
      <c r="AK15" s="4101">
        <f t="shared" si="1"/>
        <v>46.965885853357264</v>
      </c>
    </row>
    <row r="16" spans="1:37" ht="18" customHeight="1" x14ac:dyDescent="0.2">
      <c r="B16" s="1371" t="s">
        <v>1481</v>
      </c>
      <c r="C16" s="1995"/>
      <c r="D16" s="1995"/>
      <c r="E16" s="4094">
        <f>IF(SUM(Table10s2!E15,IFERROR(Table10s3!E15*28,0),IFERROR(Table10s4!E15*265,0))=0,"NO",SUM(Table10s2!E15,IFERROR(Table10s3!E15*28,0),IFERROR(Table10s4!E15*265,0)))</f>
        <v>15883.985214939328</v>
      </c>
      <c r="F16" s="4094">
        <f>IF(SUM(Table10s2!F15,IFERROR(Table10s3!F15*28,0),IFERROR(Table10s4!F15*265,0))=0,"NO",SUM(Table10s2!F15,IFERROR(Table10s3!F15*28,0),IFERROR(Table10s4!F15*265,0)))</f>
        <v>16056.938484235043</v>
      </c>
      <c r="G16" s="4108">
        <f>IF(SUM(Table10s2!G15,IFERROR(Table10s3!G15*28,0),IFERROR(Table10s4!G15*265,0))=0,"NO",SUM(Table10s2!G15,IFERROR(Table10s3!G15*28,0),IFERROR(Table10s4!G15*265,0)))</f>
        <v>16510.458390163709</v>
      </c>
      <c r="H16" s="4108">
        <f>IF(SUM(Table10s2!H15,IFERROR(Table10s3!H15*28,0),IFERROR(Table10s4!H15*265,0))=0,"NO",SUM(Table10s2!H15,IFERROR(Table10s3!H15*28,0),IFERROR(Table10s4!H15*265,0)))</f>
        <v>16965.228766967804</v>
      </c>
      <c r="I16" s="4108">
        <f>IF(SUM(Table10s2!I15,IFERROR(Table10s3!I15*28,0),IFERROR(Table10s4!I15*265,0))=0,"NO",SUM(Table10s2!I15,IFERROR(Table10s3!I15*28,0),IFERROR(Table10s4!I15*265,0)))</f>
        <v>16824.983755905763</v>
      </c>
      <c r="J16" s="4108">
        <f>IF(SUM(Table10s2!J15,IFERROR(Table10s3!J15*28,0),IFERROR(Table10s4!J15*265,0))=0,"NO",SUM(Table10s2!J15,IFERROR(Table10s3!J15*28,0),IFERROR(Table10s4!J15*265,0)))</f>
        <v>17428.622474896089</v>
      </c>
      <c r="K16" s="4108">
        <f>IF(SUM(Table10s2!K15,IFERROR(Table10s3!K15*28,0),IFERROR(Table10s4!K15*265,0))=0,"NO",SUM(Table10s2!K15,IFERROR(Table10s3!K15*28,0),IFERROR(Table10s4!K15*265,0)))</f>
        <v>17748.172805504182</v>
      </c>
      <c r="L16" s="4108">
        <f>IF(SUM(Table10s2!L15,IFERROR(Table10s3!L15*28,0),IFERROR(Table10s4!L15*265,0))=0,"NO",SUM(Table10s2!L15,IFERROR(Table10s3!L15*28,0),IFERROR(Table10s4!L15*265,0)))</f>
        <v>17930.397056558482</v>
      </c>
      <c r="M16" s="4108">
        <f>IF(SUM(Table10s2!M15,IFERROR(Table10s3!M15*28,0),IFERROR(Table10s4!M15*265,0))=0,"NO",SUM(Table10s2!M15,IFERROR(Table10s3!M15*28,0),IFERROR(Table10s4!M15*265,0)))</f>
        <v>18086.023304757695</v>
      </c>
      <c r="N16" s="4108">
        <f>IF(SUM(Table10s2!N15,IFERROR(Table10s3!N15*28,0),IFERROR(Table10s4!N15*265,0))=0,"NO",SUM(Table10s2!N15,IFERROR(Table10s3!N15*28,0),IFERROR(Table10s4!N15*265,0)))</f>
        <v>18049.401944667563</v>
      </c>
      <c r="O16" s="4108">
        <f>IF(SUM(Table10s2!O15,IFERROR(Table10s3!O15*28,0),IFERROR(Table10s4!O15*265,0))=0,"NO",SUM(Table10s2!O15,IFERROR(Table10s3!O15*28,0),IFERROR(Table10s4!O15*265,0)))</f>
        <v>18416.716518047549</v>
      </c>
      <c r="P16" s="4108">
        <f>IF(SUM(Table10s2!P15,IFERROR(Table10s3!P15*28,0),IFERROR(Table10s4!P15*265,0))=0,"NO",SUM(Table10s2!P15,IFERROR(Table10s3!P15*28,0),IFERROR(Table10s4!P15*265,0)))</f>
        <v>19243.637323704599</v>
      </c>
      <c r="Q16" s="4108">
        <f>IF(SUM(Table10s2!Q15,IFERROR(Table10s3!Q15*28,0),IFERROR(Table10s4!Q15*265,0))=0,"NO",SUM(Table10s2!Q15,IFERROR(Table10s3!Q15*28,0),IFERROR(Table10s4!Q15*265,0)))</f>
        <v>19282.892009216925</v>
      </c>
      <c r="R16" s="4108">
        <f>IF(SUM(Table10s2!R15,IFERROR(Table10s3!R15*28,0),IFERROR(Table10s4!R15*265,0))=0,"NO",SUM(Table10s2!R15,IFERROR(Table10s3!R15*28,0),IFERROR(Table10s4!R15*265,0)))</f>
        <v>19882.885639252727</v>
      </c>
      <c r="S16" s="4108">
        <f>IF(SUM(Table10s2!S15,IFERROR(Table10s3!S15*28,0),IFERROR(Table10s4!S15*265,0))=0,"NO",SUM(Table10s2!S15,IFERROR(Table10s3!S15*28,0),IFERROR(Table10s4!S15*265,0)))</f>
        <v>19805.563388281</v>
      </c>
      <c r="T16" s="4108">
        <f>IF(SUM(Table10s2!T15,IFERROR(Table10s3!T15*28,0),IFERROR(Table10s4!T15*265,0))=0,"NO",SUM(Table10s2!T15,IFERROR(Table10s3!T15*28,0),IFERROR(Table10s4!T15*265,0)))</f>
        <v>20211.998823009482</v>
      </c>
      <c r="U16" s="4108">
        <f>IF(SUM(Table10s2!U15,IFERROR(Table10s3!U15*28,0),IFERROR(Table10s4!U15*265,0))=0,"NO",SUM(Table10s2!U15,IFERROR(Table10s3!U15*28,0),IFERROR(Table10s4!U15*265,0)))</f>
        <v>20364.110183286895</v>
      </c>
      <c r="V16" s="4108">
        <f>IF(SUM(Table10s2!V15,IFERROR(Table10s3!V15*28,0),IFERROR(Table10s4!V15*265,0))=0,"NO",SUM(Table10s2!V15,IFERROR(Table10s3!V15*28,0),IFERROR(Table10s4!V15*265,0)))</f>
        <v>20197.896375198849</v>
      </c>
      <c r="W16" s="4108">
        <f>IF(SUM(Table10s2!W15,IFERROR(Table10s3!W15*28,0),IFERROR(Table10s4!W15*265,0))=0,"NO",SUM(Table10s2!W15,IFERROR(Table10s3!W15*28,0),IFERROR(Table10s4!W15*265,0)))</f>
        <v>20542.088638633762</v>
      </c>
      <c r="X16" s="4108">
        <f>IF(SUM(Table10s2!X15,IFERROR(Table10s3!X15*28,0),IFERROR(Table10s4!X15*265,0))=0,"NO",SUM(Table10s2!X15,IFERROR(Table10s3!X15*28,0),IFERROR(Table10s4!X15*265,0)))</f>
        <v>20713.907180168968</v>
      </c>
      <c r="Y16" s="4108">
        <f>IF(SUM(Table10s2!Y15,IFERROR(Table10s3!Y15*28,0),IFERROR(Table10s4!Y15*265,0))=0,"NO",SUM(Table10s2!Y15,IFERROR(Table10s3!Y15*28,0),IFERROR(Table10s4!Y15*265,0)))</f>
        <v>21044.126477016252</v>
      </c>
      <c r="Z16" s="4108">
        <f>IF(SUM(Table10s2!Z15,IFERROR(Table10s3!Z15*28,0),IFERROR(Table10s4!Z15*265,0))=0,"NO",SUM(Table10s2!Z15,IFERROR(Table10s3!Z15*28,0),IFERROR(Table10s4!Z15*265,0)))</f>
        <v>21451.790931019055</v>
      </c>
      <c r="AA16" s="4108">
        <f>IF(SUM(Table10s2!AA15,IFERROR(Table10s3!AA15*28,0),IFERROR(Table10s4!AA15*265,0))=0,"NO",SUM(Table10s2!AA15,IFERROR(Table10s3!AA15*28,0),IFERROR(Table10s4!AA15*265,0)))</f>
        <v>21895.370656446234</v>
      </c>
      <c r="AB16" s="4108">
        <f>IF(SUM(Table10s2!AB15,IFERROR(Table10s3!AB15*28,0),IFERROR(Table10s4!AB15*265,0))=0,"NO",SUM(Table10s2!AB15,IFERROR(Table10s3!AB15*28,0),IFERROR(Table10s4!AB15*265,0)))</f>
        <v>22319.179950899397</v>
      </c>
      <c r="AC16" s="4108">
        <f>IF(SUM(Table10s2!AC15,IFERROR(Table10s3!AC15*28,0),IFERROR(Table10s4!AC15*265,0))=0,"NO",SUM(Table10s2!AC15,IFERROR(Table10s3!AC15*28,0),IFERROR(Table10s4!AC15*265,0)))</f>
        <v>21403.439681027176</v>
      </c>
      <c r="AD16" s="4108">
        <f>IF(SUM(Table10s2!AD15,IFERROR(Table10s3!AD15*28,0),IFERROR(Table10s4!AD15*265,0))=0,"NO",SUM(Table10s2!AD15,IFERROR(Table10s3!AD15*28,0),IFERROR(Table10s4!AD15*265,0)))</f>
        <v>22559.37971822677</v>
      </c>
      <c r="AE16" s="4108">
        <f>IF(SUM(Table10s2!AE15,IFERROR(Table10s3!AE15*28,0),IFERROR(Table10s4!AE15*265,0))=0,"NO",SUM(Table10s2!AE15,IFERROR(Table10s3!AE15*28,0),IFERROR(Table10s4!AE15*265,0)))</f>
        <v>22803.513714079541</v>
      </c>
      <c r="AF16" s="4108">
        <f>IF(SUM(Table10s2!AF15,IFERROR(Table10s3!AF15*28,0),IFERROR(Table10s4!AF15*265,0))=0,"NO",SUM(Table10s2!AF15,IFERROR(Table10s3!AF15*28,0),IFERROR(Table10s4!AF15*265,0)))</f>
        <v>23572.810946120302</v>
      </c>
      <c r="AG16" s="4108">
        <f>IF(SUM(Table10s2!AG15,IFERROR(Table10s3!AG15*28,0),IFERROR(Table10s4!AG15*265,0))=0,"NO",SUM(Table10s2!AG15,IFERROR(Table10s3!AG15*28,0),IFERROR(Table10s4!AG15*265,0)))</f>
        <v>23452.845951276082</v>
      </c>
      <c r="AH16" s="4108">
        <f>IF(SUM(Table10s2!AH15,IFERROR(Table10s3!AH15*28,0),IFERROR(Table10s4!AH15*265,0))=0,"NO",SUM(Table10s2!AH15,IFERROR(Table10s3!AH15*28,0),IFERROR(Table10s4!AH15*265,0)))</f>
        <v>21961.993558746122</v>
      </c>
      <c r="AI16" s="4108">
        <f>IF(SUM(Table10s2!AI15,IFERROR(Table10s3!AI15*28,0),IFERROR(Table10s4!AI15*265,0))=0,"NO",SUM(Table10s2!AI15,IFERROR(Table10s3!AI15*28,0),IFERROR(Table10s4!AI15*265,0)))</f>
        <v>21377.313565409851</v>
      </c>
      <c r="AJ16" s="4108">
        <f>IF(SUM(Table10s2!AJ15,IFERROR(Table10s3!AJ15*28,0),IFERROR(Table10s4!AJ15*265,0))=0,"NO",SUM(Table10s2!AJ15,IFERROR(Table10s3!AJ15*28,0),IFERROR(Table10s4!AJ15*265,0)))</f>
        <v>23723.337170510225</v>
      </c>
      <c r="AK16" s="4101">
        <f t="shared" si="1"/>
        <v>49.353810454304437</v>
      </c>
    </row>
    <row r="17" spans="2:37" ht="18" customHeight="1" x14ac:dyDescent="0.2">
      <c r="B17" s="1371" t="s">
        <v>1482</v>
      </c>
      <c r="C17" s="1995"/>
      <c r="D17" s="1995"/>
      <c r="E17" s="4094">
        <f>IF(SUM(Table10s2!E16,IFERROR(Table10s3!E16*28,0),IFERROR(Table10s4!E16*265,0))=0,"NO",SUM(Table10s2!E16,IFERROR(Table10s3!E16*28,0),IFERROR(Table10s4!E16*265,0)))</f>
        <v>422.69572672467257</v>
      </c>
      <c r="F17" s="4094">
        <f>IF(SUM(Table10s2!F16,IFERROR(Table10s3!F16*28,0),IFERROR(Table10s4!F16*265,0))=0,"NO",SUM(Table10s2!F16,IFERROR(Table10s3!F16*28,0),IFERROR(Table10s4!F16*265,0)))</f>
        <v>414.62121505347869</v>
      </c>
      <c r="G17" s="4108">
        <f>IF(SUM(Table10s2!G16,IFERROR(Table10s3!G16*28,0),IFERROR(Table10s4!G16*265,0))=0,"NO",SUM(Table10s2!G16,IFERROR(Table10s3!G16*28,0),IFERROR(Table10s4!G16*265,0)))</f>
        <v>463.31596391994498</v>
      </c>
      <c r="H17" s="4108">
        <f>IF(SUM(Table10s2!H16,IFERROR(Table10s3!H16*28,0),IFERROR(Table10s4!H16*265,0))=0,"NO",SUM(Table10s2!H16,IFERROR(Table10s3!H16*28,0),IFERROR(Table10s4!H16*265,0)))</f>
        <v>470.64355224701427</v>
      </c>
      <c r="I17" s="4108">
        <f>IF(SUM(Table10s2!I16,IFERROR(Table10s3!I16*28,0),IFERROR(Table10s4!I16*265,0))=0,"NO",SUM(Table10s2!I16,IFERROR(Table10s3!I16*28,0),IFERROR(Table10s4!I16*265,0)))</f>
        <v>563.40737017075935</v>
      </c>
      <c r="J17" s="4108">
        <f>IF(SUM(Table10s2!J16,IFERROR(Table10s3!J16*28,0),IFERROR(Table10s4!J16*265,0))=0,"NO",SUM(Table10s2!J16,IFERROR(Table10s3!J16*28,0),IFERROR(Table10s4!J16*265,0)))</f>
        <v>695.98993236249578</v>
      </c>
      <c r="K17" s="4108">
        <f>IF(SUM(Table10s2!K16,IFERROR(Table10s3!K16*28,0),IFERROR(Table10s4!K16*265,0))=0,"NO",SUM(Table10s2!K16,IFERROR(Table10s3!K16*28,0),IFERROR(Table10s4!K16*265,0)))</f>
        <v>781.31233986149448</v>
      </c>
      <c r="L17" s="4108">
        <f>IF(SUM(Table10s2!L16,IFERROR(Table10s3!L16*28,0),IFERROR(Table10s4!L16*265,0))=0,"NO",SUM(Table10s2!L16,IFERROR(Table10s3!L16*28,0),IFERROR(Table10s4!L16*265,0)))</f>
        <v>820.64382933702245</v>
      </c>
      <c r="M17" s="4108">
        <f>IF(SUM(Table10s2!M16,IFERROR(Table10s3!M16*28,0),IFERROR(Table10s4!M16*265,0))=0,"NO",SUM(Table10s2!M16,IFERROR(Table10s3!M16*28,0),IFERROR(Table10s4!M16*265,0)))</f>
        <v>684.18634294239166</v>
      </c>
      <c r="N17" s="4108">
        <f>IF(SUM(Table10s2!N16,IFERROR(Table10s3!N16*28,0),IFERROR(Table10s4!N16*265,0))=0,"NO",SUM(Table10s2!N16,IFERROR(Table10s3!N16*28,0),IFERROR(Table10s4!N16*265,0)))</f>
        <v>632.12646268575156</v>
      </c>
      <c r="O17" s="4108">
        <f>IF(SUM(Table10s2!O16,IFERROR(Table10s3!O16*28,0),IFERROR(Table10s4!O16*265,0))=0,"NO",SUM(Table10s2!O16,IFERROR(Table10s3!O16*28,0),IFERROR(Table10s4!O16*265,0)))</f>
        <v>627.29065941985391</v>
      </c>
      <c r="P17" s="4108">
        <f>IF(SUM(Table10s2!P16,IFERROR(Table10s3!P16*28,0),IFERROR(Table10s4!P16*265,0))=0,"NO",SUM(Table10s2!P16,IFERROR(Table10s3!P16*28,0),IFERROR(Table10s4!P16*265,0)))</f>
        <v>638.41538332409414</v>
      </c>
      <c r="Q17" s="4108">
        <f>IF(SUM(Table10s2!Q16,IFERROR(Table10s3!Q16*28,0),IFERROR(Table10s4!Q16*265,0))=0,"NO",SUM(Table10s2!Q16,IFERROR(Table10s3!Q16*28,0),IFERROR(Table10s4!Q16*265,0)))</f>
        <v>597.04885066527265</v>
      </c>
      <c r="R17" s="4108">
        <f>IF(SUM(Table10s2!R16,IFERROR(Table10s3!R16*28,0),IFERROR(Table10s4!R16*265,0))=0,"NO",SUM(Table10s2!R16,IFERROR(Table10s3!R16*28,0),IFERROR(Table10s4!R16*265,0)))</f>
        <v>560.26773905314315</v>
      </c>
      <c r="S17" s="4108">
        <f>IF(SUM(Table10s2!S16,IFERROR(Table10s3!S16*28,0),IFERROR(Table10s4!S16*265,0))=0,"NO",SUM(Table10s2!S16,IFERROR(Table10s3!S16*28,0),IFERROR(Table10s4!S16*265,0)))</f>
        <v>582.45087843732995</v>
      </c>
      <c r="T17" s="4108">
        <f>IF(SUM(Table10s2!T16,IFERROR(Table10s3!T16*28,0),IFERROR(Table10s4!T16*265,0))=0,"NO",SUM(Table10s2!T16,IFERROR(Table10s3!T16*28,0),IFERROR(Table10s4!T16*265,0)))</f>
        <v>622.827716182431</v>
      </c>
      <c r="U17" s="4108">
        <f>IF(SUM(Table10s2!U16,IFERROR(Table10s3!U16*28,0),IFERROR(Table10s4!U16*265,0))=0,"NO",SUM(Table10s2!U16,IFERROR(Table10s3!U16*28,0),IFERROR(Table10s4!U16*265,0)))</f>
        <v>654.44762084104093</v>
      </c>
      <c r="V17" s="4108">
        <f>IF(SUM(Table10s2!V16,IFERROR(Table10s3!V16*28,0),IFERROR(Table10s4!V16*265,0))=0,"NO",SUM(Table10s2!V16,IFERROR(Table10s3!V16*28,0),IFERROR(Table10s4!V16*265,0)))</f>
        <v>827.0095662801665</v>
      </c>
      <c r="W17" s="4108">
        <f>IF(SUM(Table10s2!W16,IFERROR(Table10s3!W16*28,0),IFERROR(Table10s4!W16*265,0))=0,"NO",SUM(Table10s2!W16,IFERROR(Table10s3!W16*28,0),IFERROR(Table10s4!W16*265,0)))</f>
        <v>845.91830878760777</v>
      </c>
      <c r="X17" s="4108">
        <f>IF(SUM(Table10s2!X16,IFERROR(Table10s3!X16*28,0),IFERROR(Table10s4!X16*265,0))=0,"NO",SUM(Table10s2!X16,IFERROR(Table10s3!X16*28,0),IFERROR(Table10s4!X16*265,0)))</f>
        <v>833.7261428070434</v>
      </c>
      <c r="Y17" s="4108">
        <f>IF(SUM(Table10s2!Y16,IFERROR(Table10s3!Y16*28,0),IFERROR(Table10s4!Y16*265,0))=0,"NO",SUM(Table10s2!Y16,IFERROR(Table10s3!Y16*28,0),IFERROR(Table10s4!Y16*265,0)))</f>
        <v>888.6047711948919</v>
      </c>
      <c r="Z17" s="4108">
        <f>IF(SUM(Table10s2!Z16,IFERROR(Table10s3!Z16*28,0),IFERROR(Table10s4!Z16*265,0))=0,"NO",SUM(Table10s2!Z16,IFERROR(Table10s3!Z16*28,0),IFERROR(Table10s4!Z16*265,0)))</f>
        <v>897.97118693913785</v>
      </c>
      <c r="AA17" s="4108">
        <f>IF(SUM(Table10s2!AA16,IFERROR(Table10s3!AA16*28,0),IFERROR(Table10s4!AA16*265,0))=0,"NO",SUM(Table10s2!AA16,IFERROR(Table10s3!AA16*28,0),IFERROR(Table10s4!AA16*265,0)))</f>
        <v>871.53276793755754</v>
      </c>
      <c r="AB17" s="4108">
        <f>IF(SUM(Table10s2!AB16,IFERROR(Table10s3!AB16*28,0),IFERROR(Table10s4!AB16*265,0))=0,"NO",SUM(Table10s2!AB16,IFERROR(Table10s3!AB16*28,0),IFERROR(Table10s4!AB16*265,0)))</f>
        <v>911.06627343572325</v>
      </c>
      <c r="AC17" s="4108">
        <f>IF(SUM(Table10s2!AC16,IFERROR(Table10s3!AC16*28,0),IFERROR(Table10s4!AC16*265,0))=0,"NO",SUM(Table10s2!AC16,IFERROR(Table10s3!AC16*28,0),IFERROR(Table10s4!AC16*265,0)))</f>
        <v>1025.5663549757403</v>
      </c>
      <c r="AD17" s="4108">
        <f>IF(SUM(Table10s2!AD16,IFERROR(Table10s3!AD16*28,0),IFERROR(Table10s4!AD16*265,0))=0,"NO",SUM(Table10s2!AD16,IFERROR(Table10s3!AD16*28,0),IFERROR(Table10s4!AD16*265,0)))</f>
        <v>944.98811133090692</v>
      </c>
      <c r="AE17" s="4108">
        <f>IF(SUM(Table10s2!AE16,IFERROR(Table10s3!AE16*28,0),IFERROR(Table10s4!AE16*265,0))=0,"NO",SUM(Table10s2!AE16,IFERROR(Table10s3!AE16*28,0),IFERROR(Table10s4!AE16*265,0)))</f>
        <v>1107.5348785911601</v>
      </c>
      <c r="AF17" s="4108">
        <f>IF(SUM(Table10s2!AF16,IFERROR(Table10s3!AF16*28,0),IFERROR(Table10s4!AF16*265,0))=0,"NO",SUM(Table10s2!AF16,IFERROR(Table10s3!AF16*28,0),IFERROR(Table10s4!AF16*265,0)))</f>
        <v>923.78965167534693</v>
      </c>
      <c r="AG17" s="4108">
        <f>IF(SUM(Table10s2!AG16,IFERROR(Table10s3!AG16*28,0),IFERROR(Table10s4!AG16*265,0))=0,"NO",SUM(Table10s2!AG16,IFERROR(Table10s3!AG16*28,0),IFERROR(Table10s4!AG16*265,0)))</f>
        <v>928.39921735207804</v>
      </c>
      <c r="AH17" s="4108">
        <f>IF(SUM(Table10s2!AH16,IFERROR(Table10s3!AH16*28,0),IFERROR(Table10s4!AH16*265,0))=0,"NO",SUM(Table10s2!AH16,IFERROR(Table10s3!AH16*28,0),IFERROR(Table10s4!AH16*265,0)))</f>
        <v>791.72951963470325</v>
      </c>
      <c r="AI17" s="4108">
        <f>IF(SUM(Table10s2!AI16,IFERROR(Table10s3!AI16*28,0),IFERROR(Table10s4!AI16*265,0))=0,"NO",SUM(Table10s2!AI16,IFERROR(Table10s3!AI16*28,0),IFERROR(Table10s4!AI16*265,0)))</f>
        <v>947.09689464116263</v>
      </c>
      <c r="AJ17" s="4108">
        <f>IF(SUM(Table10s2!AJ16,IFERROR(Table10s3!AJ16*28,0),IFERROR(Table10s4!AJ16*265,0))=0,"NO",SUM(Table10s2!AJ16,IFERROR(Table10s3!AJ16*28,0),IFERROR(Table10s4!AJ16*265,0)))</f>
        <v>816.16439598786906</v>
      </c>
      <c r="AK17" s="4101">
        <f t="shared" si="1"/>
        <v>93.085556438446446</v>
      </c>
    </row>
    <row r="18" spans="2:37" ht="18" customHeight="1" x14ac:dyDescent="0.2">
      <c r="B18" s="1370" t="s">
        <v>99</v>
      </c>
      <c r="C18" s="1995"/>
      <c r="D18" s="1995"/>
      <c r="E18" s="4094">
        <f>IF(SUM(Table10s2!E17,IFERROR(Table10s3!E17*28,0),IFERROR(Table10s4!E17*265,0))=0,"NO",SUM(Table10s2!E17,IFERROR(Table10s3!E17*28,0),IFERROR(Table10s4!E17*265,0)))</f>
        <v>40311.477233242018</v>
      </c>
      <c r="F18" s="4094">
        <f>IF(SUM(Table10s2!F17,IFERROR(Table10s3!F17*28,0),IFERROR(Table10s4!F17*265,0))=0,"NO",SUM(Table10s2!F17,IFERROR(Table10s3!F17*28,0),IFERROR(Table10s4!F17*265,0)))</f>
        <v>39660.163606017952</v>
      </c>
      <c r="G18" s="4108">
        <f>IF(SUM(Table10s2!G17,IFERROR(Table10s3!G17*28,0),IFERROR(Table10s4!G17*265,0))=0,"NO",SUM(Table10s2!G17,IFERROR(Table10s3!G17*28,0),IFERROR(Table10s4!G17*265,0)))</f>
        <v>41601.805706139057</v>
      </c>
      <c r="H18" s="4108">
        <f>IF(SUM(Table10s2!H17,IFERROR(Table10s3!H17*28,0),IFERROR(Table10s4!H17*265,0))=0,"NO",SUM(Table10s2!H17,IFERROR(Table10s3!H17*28,0),IFERROR(Table10s4!H17*265,0)))</f>
        <v>40425.32322470568</v>
      </c>
      <c r="I18" s="4108">
        <f>IF(SUM(Table10s2!I17,IFERROR(Table10s3!I17*28,0),IFERROR(Table10s4!I17*265,0))=0,"NO",SUM(Table10s2!I17,IFERROR(Table10s3!I17*28,0),IFERROR(Table10s4!I17*265,0)))</f>
        <v>38254.264062747265</v>
      </c>
      <c r="J18" s="4108">
        <f>IF(SUM(Table10s2!J17,IFERROR(Table10s3!J17*28,0),IFERROR(Table10s4!J17*265,0))=0,"NO",SUM(Table10s2!J17,IFERROR(Table10s3!J17*28,0),IFERROR(Table10s4!J17*265,0)))</f>
        <v>39930.259790901961</v>
      </c>
      <c r="K18" s="4108">
        <f>IF(SUM(Table10s2!K17,IFERROR(Table10s3!K17*28,0),IFERROR(Table10s4!K17*265,0))=0,"NO",SUM(Table10s2!K17,IFERROR(Table10s3!K17*28,0),IFERROR(Table10s4!K17*265,0)))</f>
        <v>39478.445690848799</v>
      </c>
      <c r="L18" s="4108">
        <f>IF(SUM(Table10s2!L17,IFERROR(Table10s3!L17*28,0),IFERROR(Table10s4!L17*265,0))=0,"NO",SUM(Table10s2!L17,IFERROR(Table10s3!L17*28,0),IFERROR(Table10s4!L17*265,0)))</f>
        <v>42489.267414522452</v>
      </c>
      <c r="M18" s="4108">
        <f>IF(SUM(Table10s2!M17,IFERROR(Table10s3!M17*28,0),IFERROR(Table10s4!M17*265,0))=0,"NO",SUM(Table10s2!M17,IFERROR(Table10s3!M17*28,0),IFERROR(Table10s4!M17*265,0)))</f>
        <v>43733.609028214247</v>
      </c>
      <c r="N18" s="4108">
        <f>IF(SUM(Table10s2!N17,IFERROR(Table10s3!N17*28,0),IFERROR(Table10s4!N17*265,0))=0,"NO",SUM(Table10s2!N17,IFERROR(Table10s3!N17*28,0),IFERROR(Table10s4!N17*265,0)))</f>
        <v>40552.637060408757</v>
      </c>
      <c r="O18" s="4108">
        <f>IF(SUM(Table10s2!O17,IFERROR(Table10s3!O17*28,0),IFERROR(Table10s4!O17*265,0))=0,"NO",SUM(Table10s2!O17,IFERROR(Table10s3!O17*28,0),IFERROR(Table10s4!O17*265,0)))</f>
        <v>44012.037711550038</v>
      </c>
      <c r="P18" s="4108">
        <f>IF(SUM(Table10s2!P17,IFERROR(Table10s3!P17*28,0),IFERROR(Table10s4!P17*265,0))=0,"NO",SUM(Table10s2!P17,IFERROR(Table10s3!P17*28,0),IFERROR(Table10s4!P17*265,0)))</f>
        <v>44004.856190508865</v>
      </c>
      <c r="Q18" s="4108">
        <f>IF(SUM(Table10s2!Q17,IFERROR(Table10s3!Q17*28,0),IFERROR(Table10s4!Q17*265,0))=0,"NO",SUM(Table10s2!Q17,IFERROR(Table10s3!Q17*28,0),IFERROR(Table10s4!Q17*265,0)))</f>
        <v>42716.504308210133</v>
      </c>
      <c r="R18" s="4108">
        <f>IF(SUM(Table10s2!R17,IFERROR(Table10s3!R17*28,0),IFERROR(Table10s4!R17*265,0))=0,"NO",SUM(Table10s2!R17,IFERROR(Table10s3!R17*28,0),IFERROR(Table10s4!R17*265,0)))</f>
        <v>40968.212904086264</v>
      </c>
      <c r="S18" s="4108">
        <f>IF(SUM(Table10s2!S17,IFERROR(Table10s3!S17*28,0),IFERROR(Table10s4!S17*265,0))=0,"NO",SUM(Table10s2!S17,IFERROR(Table10s3!S17*28,0),IFERROR(Table10s4!S17*265,0)))</f>
        <v>40804.657341696467</v>
      </c>
      <c r="T18" s="4108">
        <f>IF(SUM(Table10s2!T17,IFERROR(Table10s3!T17*28,0),IFERROR(Table10s4!T17*265,0))=0,"NO",SUM(Table10s2!T17,IFERROR(Table10s3!T17*28,0),IFERROR(Table10s4!T17*265,0)))</f>
        <v>42791.506491135275</v>
      </c>
      <c r="U18" s="4108">
        <f>IF(SUM(Table10s2!U17,IFERROR(Table10s3!U17*28,0),IFERROR(Table10s4!U17*265,0))=0,"NO",SUM(Table10s2!U17,IFERROR(Table10s3!U17*28,0),IFERROR(Table10s4!U17*265,0)))</f>
        <v>43643.359965002703</v>
      </c>
      <c r="V18" s="4108">
        <f>IF(SUM(Table10s2!V17,IFERROR(Table10s3!V17*28,0),IFERROR(Table10s4!V17*265,0))=0,"NO",SUM(Table10s2!V17,IFERROR(Table10s3!V17*28,0),IFERROR(Table10s4!V17*265,0)))</f>
        <v>46626.051058777572</v>
      </c>
      <c r="W18" s="4108">
        <f>IF(SUM(Table10s2!W17,IFERROR(Table10s3!W17*28,0),IFERROR(Table10s4!W17*265,0))=0,"NO",SUM(Table10s2!W17,IFERROR(Table10s3!W17*28,0),IFERROR(Table10s4!W17*265,0)))</f>
        <v>45924.899956618261</v>
      </c>
      <c r="X18" s="4108">
        <f>IF(SUM(Table10s2!X17,IFERROR(Table10s3!X17*28,0),IFERROR(Table10s4!X17*265,0))=0,"NO",SUM(Table10s2!X17,IFERROR(Table10s3!X17*28,0),IFERROR(Table10s4!X17*265,0)))</f>
        <v>45592.50717214308</v>
      </c>
      <c r="Y18" s="4108">
        <f>IF(SUM(Table10s2!Y17,IFERROR(Table10s3!Y17*28,0),IFERROR(Table10s4!Y17*265,0))=0,"NO",SUM(Table10s2!Y17,IFERROR(Table10s3!Y17*28,0),IFERROR(Table10s4!Y17*265,0)))</f>
        <v>45327.61045150632</v>
      </c>
      <c r="Z18" s="4108">
        <f>IF(SUM(Table10s2!Z17,IFERROR(Table10s3!Z17*28,0),IFERROR(Table10s4!Z17*265,0))=0,"NO",SUM(Table10s2!Z17,IFERROR(Table10s3!Z17*28,0),IFERROR(Table10s4!Z17*265,0)))</f>
        <v>43726.216153870839</v>
      </c>
      <c r="AA18" s="4108">
        <f>IF(SUM(Table10s2!AA17,IFERROR(Table10s3!AA17*28,0),IFERROR(Table10s4!AA17*265,0))=0,"NO",SUM(Table10s2!AA17,IFERROR(Table10s3!AA17*28,0),IFERROR(Table10s4!AA17*265,0)))</f>
        <v>44480.732997699532</v>
      </c>
      <c r="AB18" s="4108">
        <f>IF(SUM(Table10s2!AB17,IFERROR(Table10s3!AB17*28,0),IFERROR(Table10s4!AB17*265,0))=0,"NO",SUM(Table10s2!AB17,IFERROR(Table10s3!AB17*28,0),IFERROR(Table10s4!AB17*265,0)))</f>
        <v>45156.718504120858</v>
      </c>
      <c r="AC18" s="4108">
        <f>IF(SUM(Table10s2!AC17,IFERROR(Table10s3!AC17*28,0),IFERROR(Table10s4!AC17*265,0))=0,"NO",SUM(Table10s2!AC17,IFERROR(Table10s3!AC17*28,0),IFERROR(Table10s4!AC17*265,0)))</f>
        <v>43100.852685368816</v>
      </c>
      <c r="AD18" s="4108">
        <f>IF(SUM(Table10s2!AD17,IFERROR(Table10s3!AD17*28,0),IFERROR(Table10s4!AD17*265,0))=0,"NO",SUM(Table10s2!AD17,IFERROR(Table10s3!AD17*28,0),IFERROR(Table10s4!AD17*265,0)))</f>
        <v>48273.311099958599</v>
      </c>
      <c r="AE18" s="4108">
        <f>IF(SUM(Table10s2!AE17,IFERROR(Table10s3!AE17*28,0),IFERROR(Table10s4!AE17*265,0))=0,"NO",SUM(Table10s2!AE17,IFERROR(Table10s3!AE17*28,0),IFERROR(Table10s4!AE17*265,0)))</f>
        <v>49534.506129236477</v>
      </c>
      <c r="AF18" s="4108">
        <f>IF(SUM(Table10s2!AF17,IFERROR(Table10s3!AF17*28,0),IFERROR(Table10s4!AF17*265,0))=0,"NO",SUM(Table10s2!AF17,IFERROR(Table10s3!AF17*28,0),IFERROR(Table10s4!AF17*265,0)))</f>
        <v>51546.599295316948</v>
      </c>
      <c r="AG18" s="4108">
        <f>IF(SUM(Table10s2!AG17,IFERROR(Table10s3!AG17*28,0),IFERROR(Table10s4!AG17*265,0))=0,"NO",SUM(Table10s2!AG17,IFERROR(Table10s3!AG17*28,0),IFERROR(Table10s4!AG17*265,0)))</f>
        <v>54514.367788515716</v>
      </c>
      <c r="AH18" s="4108">
        <f>IF(SUM(Table10s2!AH17,IFERROR(Table10s3!AH17*28,0),IFERROR(Table10s4!AH17*265,0))=0,"NO",SUM(Table10s2!AH17,IFERROR(Table10s3!AH17*28,0),IFERROR(Table10s4!AH17*265,0)))</f>
        <v>55845.662167660485</v>
      </c>
      <c r="AI18" s="4108">
        <f>IF(SUM(Table10s2!AI17,IFERROR(Table10s3!AI17*28,0),IFERROR(Table10s4!AI17*265,0))=0,"NO",SUM(Table10s2!AI17,IFERROR(Table10s3!AI17*28,0),IFERROR(Table10s4!AI17*265,0)))</f>
        <v>53569.817613377592</v>
      </c>
      <c r="AJ18" s="4108">
        <f>IF(SUM(Table10s2!AJ17,IFERROR(Table10s3!AJ17*28,0),IFERROR(Table10s4!AJ17*265,0))=0,"NO",SUM(Table10s2!AJ17,IFERROR(Table10s3!AJ17*28,0),IFERROR(Table10s4!AJ17*265,0)))</f>
        <v>48802.020933896332</v>
      </c>
      <c r="AK18" s="4101">
        <f t="shared" si="1"/>
        <v>21.062348203039221</v>
      </c>
    </row>
    <row r="19" spans="2:37" ht="18" customHeight="1" x14ac:dyDescent="0.2">
      <c r="B19" s="1371" t="s">
        <v>1483</v>
      </c>
      <c r="C19" s="1995"/>
      <c r="D19" s="1995"/>
      <c r="E19" s="4094">
        <f>IF(SUM(Table10s2!E18,IFERROR(Table10s3!E18*28,0),IFERROR(Table10s4!E18*265,0))=0,"NO",SUM(Table10s2!E18,IFERROR(Table10s3!E18*28,0),IFERROR(Table10s4!E18*265,0)))</f>
        <v>25577.861460533182</v>
      </c>
      <c r="F19" s="4094">
        <f>IF(SUM(Table10s2!F18,IFERROR(Table10s3!F18*28,0),IFERROR(Table10s4!F18*265,0))=0,"NO",SUM(Table10s2!F18,IFERROR(Table10s3!F18*28,0),IFERROR(Table10s4!F18*265,0)))</f>
        <v>25970.574800007678</v>
      </c>
      <c r="G19" s="4108">
        <f>IF(SUM(Table10s2!G18,IFERROR(Table10s3!G18*28,0),IFERROR(Table10s4!G18*265,0))=0,"NO",SUM(Table10s2!G18,IFERROR(Table10s3!G18*28,0),IFERROR(Table10s4!G18*265,0)))</f>
        <v>27156.602289266892</v>
      </c>
      <c r="H19" s="4108">
        <f>IF(SUM(Table10s2!H18,IFERROR(Table10s3!H18*28,0),IFERROR(Table10s4!H18*265,0))=0,"NO",SUM(Table10s2!H18,IFERROR(Table10s3!H18*28,0),IFERROR(Table10s4!H18*265,0)))</f>
        <v>27238.228983135716</v>
      </c>
      <c r="I19" s="4108">
        <f>IF(SUM(Table10s2!I18,IFERROR(Table10s3!I18*28,0),IFERROR(Table10s4!I18*265,0))=0,"NO",SUM(Table10s2!I18,IFERROR(Table10s3!I18*28,0),IFERROR(Table10s4!I18*265,0)))</f>
        <v>25093.684723679948</v>
      </c>
      <c r="J19" s="4108">
        <f>IF(SUM(Table10s2!J18,IFERROR(Table10s3!J18*28,0),IFERROR(Table10s4!J18*265,0))=0,"NO",SUM(Table10s2!J18,IFERROR(Table10s3!J18*28,0),IFERROR(Table10s4!J18*265,0)))</f>
        <v>25111.245932576112</v>
      </c>
      <c r="K19" s="4108">
        <f>IF(SUM(Table10s2!K18,IFERROR(Table10s3!K18*28,0),IFERROR(Table10s4!K18*265,0))=0,"NO",SUM(Table10s2!K18,IFERROR(Table10s3!K18*28,0),IFERROR(Table10s4!K18*265,0)))</f>
        <v>25764.438517840652</v>
      </c>
      <c r="L19" s="4108">
        <f>IF(SUM(Table10s2!L18,IFERROR(Table10s3!L18*28,0),IFERROR(Table10s4!L18*265,0))=0,"NO",SUM(Table10s2!L18,IFERROR(Table10s3!L18*28,0),IFERROR(Table10s4!L18*265,0)))</f>
        <v>28595.457967032446</v>
      </c>
      <c r="M19" s="4108">
        <f>IF(SUM(Table10s2!M18,IFERROR(Table10s3!M18*28,0),IFERROR(Table10s4!M18*265,0))=0,"NO",SUM(Table10s2!M18,IFERROR(Table10s3!M18*28,0),IFERROR(Table10s4!M18*265,0)))</f>
        <v>29710.520529653728</v>
      </c>
      <c r="N19" s="4108">
        <f>IF(SUM(Table10s2!N18,IFERROR(Table10s3!N18*28,0),IFERROR(Table10s4!N18*265,0))=0,"NO",SUM(Table10s2!N18,IFERROR(Table10s3!N18*28,0),IFERROR(Table10s4!N18*265,0)))</f>
        <v>27560.00158183563</v>
      </c>
      <c r="O19" s="4108">
        <f>IF(SUM(Table10s2!O18,IFERROR(Table10s3!O18*28,0),IFERROR(Table10s4!O18*265,0))=0,"NO",SUM(Table10s2!O18,IFERROR(Table10s3!O18*28,0),IFERROR(Table10s4!O18*265,0)))</f>
        <v>29612.709835332036</v>
      </c>
      <c r="P19" s="4108">
        <f>IF(SUM(Table10s2!P18,IFERROR(Table10s3!P18*28,0),IFERROR(Table10s4!P18*265,0))=0,"NO",SUM(Table10s2!P18,IFERROR(Table10s3!P18*28,0),IFERROR(Table10s4!P18*265,0)))</f>
        <v>29403.828996435848</v>
      </c>
      <c r="Q19" s="4108">
        <f>IF(SUM(Table10s2!Q18,IFERROR(Table10s3!Q18*28,0),IFERROR(Table10s4!Q18*265,0))=0,"NO",SUM(Table10s2!Q18,IFERROR(Table10s3!Q18*28,0),IFERROR(Table10s4!Q18*265,0)))</f>
        <v>28759.505394276388</v>
      </c>
      <c r="R19" s="4108">
        <f>IF(SUM(Table10s2!R18,IFERROR(Table10s3!R18*28,0),IFERROR(Table10s4!R18*265,0))=0,"NO",SUM(Table10s2!R18,IFERROR(Table10s3!R18*28,0),IFERROR(Table10s4!R18*265,0)))</f>
        <v>28278.689839196235</v>
      </c>
      <c r="S19" s="4108">
        <f>IF(SUM(Table10s2!S18,IFERROR(Table10s3!S18*28,0),IFERROR(Table10s4!S18*265,0))=0,"NO",SUM(Table10s2!S18,IFERROR(Table10s3!S18*28,0),IFERROR(Table10s4!S18*265,0)))</f>
        <v>28784.061714598047</v>
      </c>
      <c r="T19" s="4108">
        <f>IF(SUM(Table10s2!T18,IFERROR(Table10s3!T18*28,0),IFERROR(Table10s4!T18*265,0))=0,"NO",SUM(Table10s2!T18,IFERROR(Table10s3!T18*28,0),IFERROR(Table10s4!T18*265,0)))</f>
        <v>31209.919603999642</v>
      </c>
      <c r="U19" s="4108">
        <f>IF(SUM(Table10s2!U18,IFERROR(Table10s3!U18*28,0),IFERROR(Table10s4!U18*265,0))=0,"NO",SUM(Table10s2!U18,IFERROR(Table10s3!U18*28,0),IFERROR(Table10s4!U18*265,0)))</f>
        <v>32015.447743664012</v>
      </c>
      <c r="V19" s="4108">
        <f>IF(SUM(Table10s2!V18,IFERROR(Table10s3!V18*28,0),IFERROR(Table10s4!V18*265,0))=0,"NO",SUM(Table10s2!V18,IFERROR(Table10s3!V18*28,0),IFERROR(Table10s4!V18*265,0)))</f>
        <v>34683.810542555708</v>
      </c>
      <c r="W19" s="4108">
        <f>IF(SUM(Table10s2!W18,IFERROR(Table10s3!W18*28,0),IFERROR(Table10s4!W18*265,0))=0,"NO",SUM(Table10s2!W18,IFERROR(Table10s3!W18*28,0),IFERROR(Table10s4!W18*265,0)))</f>
        <v>33739.006970840477</v>
      </c>
      <c r="X19" s="4108">
        <f>IF(SUM(Table10s2!X18,IFERROR(Table10s3!X18*28,0),IFERROR(Table10s4!X18*265,0))=0,"NO",SUM(Table10s2!X18,IFERROR(Table10s3!X18*28,0),IFERROR(Table10s4!X18*265,0)))</f>
        <v>33206.556679142515</v>
      </c>
      <c r="Y19" s="4108">
        <f>IF(SUM(Table10s2!Y18,IFERROR(Table10s3!Y18*28,0),IFERROR(Table10s4!Y18*265,0))=0,"NO",SUM(Table10s2!Y18,IFERROR(Table10s3!Y18*28,0),IFERROR(Table10s4!Y18*265,0)))</f>
        <v>32146.925164819644</v>
      </c>
      <c r="Z19" s="4108">
        <f>IF(SUM(Table10s2!Z18,IFERROR(Table10s3!Z18*28,0),IFERROR(Table10s4!Z18*265,0))=0,"NO",SUM(Table10s2!Z18,IFERROR(Table10s3!Z18*28,0),IFERROR(Table10s4!Z18*265,0)))</f>
        <v>31516.392179329763</v>
      </c>
      <c r="AA19" s="4108">
        <f>IF(SUM(Table10s2!AA18,IFERROR(Table10s3!AA18*28,0),IFERROR(Table10s4!AA18*265,0))=0,"NO",SUM(Table10s2!AA18,IFERROR(Table10s3!AA18*28,0),IFERROR(Table10s4!AA18*265,0)))</f>
        <v>31579.397913979585</v>
      </c>
      <c r="AB19" s="4108">
        <f>IF(SUM(Table10s2!AB18,IFERROR(Table10s3!AB18*28,0),IFERROR(Table10s4!AB18*265,0))=0,"NO",SUM(Table10s2!AB18,IFERROR(Table10s3!AB18*28,0),IFERROR(Table10s4!AB18*265,0)))</f>
        <v>31726.654450953632</v>
      </c>
      <c r="AC19" s="4108">
        <f>IF(SUM(Table10s2!AC18,IFERROR(Table10s3!AC18*28,0),IFERROR(Table10s4!AC18*265,0))=0,"NO",SUM(Table10s2!AC18,IFERROR(Table10s3!AC18*28,0),IFERROR(Table10s4!AC18*265,0)))</f>
        <v>29673.044542551615</v>
      </c>
      <c r="AD19" s="4108">
        <f>IF(SUM(Table10s2!AD18,IFERROR(Table10s3!AD18*28,0),IFERROR(Table10s4!AD18*265,0))=0,"NO",SUM(Table10s2!AD18,IFERROR(Table10s3!AD18*28,0),IFERROR(Table10s4!AD18*265,0)))</f>
        <v>32681.765659711207</v>
      </c>
      <c r="AE19" s="4108">
        <f>IF(SUM(Table10s2!AE18,IFERROR(Table10s3!AE18*28,0),IFERROR(Table10s4!AE18*265,0))=0,"NO",SUM(Table10s2!AE18,IFERROR(Table10s3!AE18*28,0),IFERROR(Table10s4!AE18*265,0)))</f>
        <v>32567.069655298397</v>
      </c>
      <c r="AF19" s="4108">
        <f>IF(SUM(Table10s2!AF18,IFERROR(Table10s3!AF18*28,0),IFERROR(Table10s4!AF18*265,0))=0,"NO",SUM(Table10s2!AF18,IFERROR(Table10s3!AF18*28,0),IFERROR(Table10s4!AF18*265,0)))</f>
        <v>31387.2215846256</v>
      </c>
      <c r="AG19" s="4108">
        <f>IF(SUM(Table10s2!AG18,IFERROR(Table10s3!AG18*28,0),IFERROR(Table10s4!AG18*265,0))=0,"NO",SUM(Table10s2!AG18,IFERROR(Table10s3!AG18*28,0),IFERROR(Table10s4!AG18*265,0)))</f>
        <v>32212.33662379779</v>
      </c>
      <c r="AH19" s="4108">
        <f>IF(SUM(Table10s2!AH18,IFERROR(Table10s3!AH18*28,0),IFERROR(Table10s4!AH18*265,0))=0,"NO",SUM(Table10s2!AH18,IFERROR(Table10s3!AH18*28,0),IFERROR(Table10s4!AH18*265,0)))</f>
        <v>29392.718602503046</v>
      </c>
      <c r="AI19" s="4108">
        <f>IF(SUM(Table10s2!AI18,IFERROR(Table10s3!AI18*28,0),IFERROR(Table10s4!AI18*265,0))=0,"NO",SUM(Table10s2!AI18,IFERROR(Table10s3!AI18*28,0),IFERROR(Table10s4!AI18*265,0)))</f>
        <v>30666.121153355682</v>
      </c>
      <c r="AJ19" s="4108">
        <f>IF(SUM(Table10s2!AJ18,IFERROR(Table10s3!AJ18*28,0),IFERROR(Table10s4!AJ18*265,0))=0,"NO",SUM(Table10s2!AJ18,IFERROR(Table10s3!AJ18*28,0),IFERROR(Table10s4!AJ18*265,0)))</f>
        <v>27837.621307866157</v>
      </c>
      <c r="AK19" s="4101">
        <f t="shared" si="1"/>
        <v>8.8348271446375719</v>
      </c>
    </row>
    <row r="20" spans="2:37" ht="18" customHeight="1" x14ac:dyDescent="0.2">
      <c r="B20" s="1415" t="s">
        <v>1484</v>
      </c>
      <c r="C20" s="1995"/>
      <c r="D20" s="1995"/>
      <c r="E20" s="4094">
        <f>IF(SUM(Table10s2!E19,IFERROR(Table10s3!E19*28,0),IFERROR(Table10s4!E19*265,0))=0,"NO",SUM(Table10s2!E19,IFERROR(Table10s3!E19*28,0),IFERROR(Table10s4!E19*265,0)))</f>
        <v>14733.615772708838</v>
      </c>
      <c r="F20" s="4094">
        <f>IF(SUM(Table10s2!F19,IFERROR(Table10s3!F19*28,0),IFERROR(Table10s4!F19*265,0))=0,"NO",SUM(Table10s2!F19,IFERROR(Table10s3!F19*28,0),IFERROR(Table10s4!F19*265,0)))</f>
        <v>13689.588806010275</v>
      </c>
      <c r="G20" s="4108">
        <f>IF(SUM(Table10s2!G19,IFERROR(Table10s3!G19*28,0),IFERROR(Table10s4!G19*265,0))=0,"NO",SUM(Table10s2!G19,IFERROR(Table10s3!G19*28,0),IFERROR(Table10s4!G19*265,0)))</f>
        <v>14445.203416872157</v>
      </c>
      <c r="H20" s="4108">
        <f>IF(SUM(Table10s2!H19,IFERROR(Table10s3!H19*28,0),IFERROR(Table10s4!H19*265,0))=0,"NO",SUM(Table10s2!H19,IFERROR(Table10s3!H19*28,0),IFERROR(Table10s4!H19*265,0)))</f>
        <v>13187.094241569965</v>
      </c>
      <c r="I20" s="4108">
        <f>IF(SUM(Table10s2!I19,IFERROR(Table10s3!I19*28,0),IFERROR(Table10s4!I19*265,0))=0,"NO",SUM(Table10s2!I19,IFERROR(Table10s3!I19*28,0),IFERROR(Table10s4!I19*265,0)))</f>
        <v>13160.579339067317</v>
      </c>
      <c r="J20" s="4108">
        <f>IF(SUM(Table10s2!J19,IFERROR(Table10s3!J19*28,0),IFERROR(Table10s4!J19*265,0))=0,"NO",SUM(Table10s2!J19,IFERROR(Table10s3!J19*28,0),IFERROR(Table10s4!J19*265,0)))</f>
        <v>14819.01385832585</v>
      </c>
      <c r="K20" s="4108">
        <f>IF(SUM(Table10s2!K19,IFERROR(Table10s3!K19*28,0),IFERROR(Table10s4!K19*265,0))=0,"NO",SUM(Table10s2!K19,IFERROR(Table10s3!K19*28,0),IFERROR(Table10s4!K19*265,0)))</f>
        <v>13714.007173008154</v>
      </c>
      <c r="L20" s="4108">
        <f>IF(SUM(Table10s2!L19,IFERROR(Table10s3!L19*28,0),IFERROR(Table10s4!L19*265,0))=0,"NO",SUM(Table10s2!L19,IFERROR(Table10s3!L19*28,0),IFERROR(Table10s4!L19*265,0)))</f>
        <v>13893.809447490003</v>
      </c>
      <c r="M20" s="4108">
        <f>IF(SUM(Table10s2!M19,IFERROR(Table10s3!M19*28,0),IFERROR(Table10s4!M19*265,0))=0,"NO",SUM(Table10s2!M19,IFERROR(Table10s3!M19*28,0),IFERROR(Table10s4!M19*265,0)))</f>
        <v>14023.088498560519</v>
      </c>
      <c r="N20" s="4108">
        <f>IF(SUM(Table10s2!N19,IFERROR(Table10s3!N19*28,0),IFERROR(Table10s4!N19*265,0))=0,"NO",SUM(Table10s2!N19,IFERROR(Table10s3!N19*28,0),IFERROR(Table10s4!N19*265,0)))</f>
        <v>12992.635478573126</v>
      </c>
      <c r="O20" s="4108">
        <f>IF(SUM(Table10s2!O19,IFERROR(Table10s3!O19*28,0),IFERROR(Table10s4!O19*265,0))=0,"NO",SUM(Table10s2!O19,IFERROR(Table10s3!O19*28,0),IFERROR(Table10s4!O19*265,0)))</f>
        <v>14399.327876218002</v>
      </c>
      <c r="P20" s="4108">
        <f>IF(SUM(Table10s2!P19,IFERROR(Table10s3!P19*28,0),IFERROR(Table10s4!P19*265,0))=0,"NO",SUM(Table10s2!P19,IFERROR(Table10s3!P19*28,0),IFERROR(Table10s4!P19*265,0)))</f>
        <v>14601.027194073005</v>
      </c>
      <c r="Q20" s="4108">
        <f>IF(SUM(Table10s2!Q19,IFERROR(Table10s3!Q19*28,0),IFERROR(Table10s4!Q19*265,0))=0,"NO",SUM(Table10s2!Q19,IFERROR(Table10s3!Q19*28,0),IFERROR(Table10s4!Q19*265,0)))</f>
        <v>13956.998913933745</v>
      </c>
      <c r="R20" s="4108">
        <f>IF(SUM(Table10s2!R19,IFERROR(Table10s3!R19*28,0),IFERROR(Table10s4!R19*265,0))=0,"NO",SUM(Table10s2!R19,IFERROR(Table10s3!R19*28,0),IFERROR(Table10s4!R19*265,0)))</f>
        <v>12689.523064890031</v>
      </c>
      <c r="S20" s="4108">
        <f>IF(SUM(Table10s2!S19,IFERROR(Table10s3!S19*28,0),IFERROR(Table10s4!S19*265,0))=0,"NO",SUM(Table10s2!S19,IFERROR(Table10s3!S19*28,0),IFERROR(Table10s4!S19*265,0)))</f>
        <v>12020.595627098428</v>
      </c>
      <c r="T20" s="4108">
        <f>IF(SUM(Table10s2!T19,IFERROR(Table10s3!T19*28,0),IFERROR(Table10s4!T19*265,0))=0,"NO",SUM(Table10s2!T19,IFERROR(Table10s3!T19*28,0),IFERROR(Table10s4!T19*265,0)))</f>
        <v>11581.586887135634</v>
      </c>
      <c r="U20" s="4108">
        <f>IF(SUM(Table10s2!U19,IFERROR(Table10s3!U19*28,0),IFERROR(Table10s4!U19*265,0))=0,"NO",SUM(Table10s2!U19,IFERROR(Table10s3!U19*28,0),IFERROR(Table10s4!U19*265,0)))</f>
        <v>11627.912221338693</v>
      </c>
      <c r="V20" s="4108">
        <f>IF(SUM(Table10s2!V19,IFERROR(Table10s3!V19*28,0),IFERROR(Table10s4!V19*265,0))=0,"NO",SUM(Table10s2!V19,IFERROR(Table10s3!V19*28,0),IFERROR(Table10s4!V19*265,0)))</f>
        <v>11942.24051622186</v>
      </c>
      <c r="W20" s="4108">
        <f>IF(SUM(Table10s2!W19,IFERROR(Table10s3!W19*28,0),IFERROR(Table10s4!W19*265,0))=0,"NO",SUM(Table10s2!W19,IFERROR(Table10s3!W19*28,0),IFERROR(Table10s4!W19*265,0)))</f>
        <v>12185.892985777786</v>
      </c>
      <c r="X20" s="4108">
        <f>IF(SUM(Table10s2!X19,IFERROR(Table10s3!X19*28,0),IFERROR(Table10s4!X19*265,0))=0,"NO",SUM(Table10s2!X19,IFERROR(Table10s3!X19*28,0),IFERROR(Table10s4!X19*265,0)))</f>
        <v>12385.950493000566</v>
      </c>
      <c r="Y20" s="4108">
        <f>IF(SUM(Table10s2!Y19,IFERROR(Table10s3!Y19*28,0),IFERROR(Table10s4!Y19*265,0))=0,"NO",SUM(Table10s2!Y19,IFERROR(Table10s3!Y19*28,0),IFERROR(Table10s4!Y19*265,0)))</f>
        <v>13180.685286686687</v>
      </c>
      <c r="Z20" s="4108">
        <f>IF(SUM(Table10s2!Z19,IFERROR(Table10s3!Z19*28,0),IFERROR(Table10s4!Z19*265,0))=0,"NO",SUM(Table10s2!Z19,IFERROR(Table10s3!Z19*28,0),IFERROR(Table10s4!Z19*265,0)))</f>
        <v>12209.823974541079</v>
      </c>
      <c r="AA20" s="4108">
        <f>IF(SUM(Table10s2!AA19,IFERROR(Table10s3!AA19*28,0),IFERROR(Table10s4!AA19*265,0))=0,"NO",SUM(Table10s2!AA19,IFERROR(Table10s3!AA19*28,0),IFERROR(Table10s4!AA19*265,0)))</f>
        <v>12901.335083719952</v>
      </c>
      <c r="AB20" s="4108">
        <f>IF(SUM(Table10s2!AB19,IFERROR(Table10s3!AB19*28,0),IFERROR(Table10s4!AB19*265,0))=0,"NO",SUM(Table10s2!AB19,IFERROR(Table10s3!AB19*28,0),IFERROR(Table10s4!AB19*265,0)))</f>
        <v>13430.064053167231</v>
      </c>
      <c r="AC20" s="4108">
        <f>IF(SUM(Table10s2!AC19,IFERROR(Table10s3!AC19*28,0),IFERROR(Table10s4!AC19*265,0))=0,"NO",SUM(Table10s2!AC19,IFERROR(Table10s3!AC19*28,0),IFERROR(Table10s4!AC19*265,0)))</f>
        <v>13427.808142817204</v>
      </c>
      <c r="AD20" s="4108">
        <f>IF(SUM(Table10s2!AD19,IFERROR(Table10s3!AD19*28,0),IFERROR(Table10s4!AD19*265,0))=0,"NO",SUM(Table10s2!AD19,IFERROR(Table10s3!AD19*28,0),IFERROR(Table10s4!AD19*265,0)))</f>
        <v>15591.545440247381</v>
      </c>
      <c r="AE20" s="4108">
        <f>IF(SUM(Table10s2!AE19,IFERROR(Table10s3!AE19*28,0),IFERROR(Table10s4!AE19*265,0))=0,"NO",SUM(Table10s2!AE19,IFERROR(Table10s3!AE19*28,0),IFERROR(Table10s4!AE19*265,0)))</f>
        <v>16967.43647393808</v>
      </c>
      <c r="AF20" s="4108">
        <f>IF(SUM(Table10s2!AF19,IFERROR(Table10s3!AF19*28,0),IFERROR(Table10s4!AF19*265,0))=0,"NO",SUM(Table10s2!AF19,IFERROR(Table10s3!AF19*28,0),IFERROR(Table10s4!AF19*265,0)))</f>
        <v>20159.377710691351</v>
      </c>
      <c r="AG20" s="4108">
        <f>IF(SUM(Table10s2!AG19,IFERROR(Table10s3!AG19*28,0),IFERROR(Table10s4!AG19*265,0))=0,"NO",SUM(Table10s2!AG19,IFERROR(Table10s3!AG19*28,0),IFERROR(Table10s4!AG19*265,0)))</f>
        <v>22302.031164717922</v>
      </c>
      <c r="AH20" s="4108">
        <f>IF(SUM(Table10s2!AH19,IFERROR(Table10s3!AH19*28,0),IFERROR(Table10s4!AH19*265,0))=0,"NO",SUM(Table10s2!AH19,IFERROR(Table10s3!AH19*28,0),IFERROR(Table10s4!AH19*265,0)))</f>
        <v>26452.943565157442</v>
      </c>
      <c r="AI20" s="4108">
        <f>IF(SUM(Table10s2!AI19,IFERROR(Table10s3!AI19*28,0),IFERROR(Table10s4!AI19*265,0))=0,"NO",SUM(Table10s2!AI19,IFERROR(Table10s3!AI19*28,0),IFERROR(Table10s4!AI19*265,0)))</f>
        <v>22903.696460021911</v>
      </c>
      <c r="AJ20" s="4108">
        <f>IF(SUM(Table10s2!AJ19,IFERROR(Table10s3!AJ19*28,0),IFERROR(Table10s4!AJ19*265,0))=0,"NO",SUM(Table10s2!AJ19,IFERROR(Table10s3!AJ19*28,0),IFERROR(Table10s4!AJ19*265,0)))</f>
        <v>20964.399626030168</v>
      </c>
      <c r="AK20" s="4101">
        <f t="shared" si="1"/>
        <v>42.289577449567048</v>
      </c>
    </row>
    <row r="21" spans="2:37" ht="18" customHeight="1" thickBot="1" x14ac:dyDescent="0.25">
      <c r="B21" s="1416" t="s">
        <v>1485</v>
      </c>
      <c r="C21" s="2229"/>
      <c r="D21" s="2229"/>
      <c r="E21" s="4109" t="str">
        <f>IF(SUM(Table10s2!E20,IFERROR(Table10s3!E20*28,0),IFERROR(Table10s4!E20*265,0))=0,"NO",SUM(Table10s2!E20,IFERROR(Table10s3!E20*28,0),IFERROR(Table10s4!E20*265,0)))</f>
        <v>NO</v>
      </c>
      <c r="F21" s="4109" t="str">
        <f>IF(SUM(Table10s2!F20,IFERROR(Table10s3!F20*28,0),IFERROR(Table10s4!F20*265,0))=0,"NO",SUM(Table10s2!F20,IFERROR(Table10s3!F20*28,0),IFERROR(Table10s4!F20*265,0)))</f>
        <v>NO</v>
      </c>
      <c r="G21" s="4110" t="str">
        <f>IF(SUM(Table10s2!G20,IFERROR(Table10s3!G20*28,0),IFERROR(Table10s4!G20*265,0))=0,"NO",SUM(Table10s2!G20,IFERROR(Table10s3!G20*28,0),IFERROR(Table10s4!G20*265,0)))</f>
        <v>NO</v>
      </c>
      <c r="H21" s="4110" t="str">
        <f>IF(SUM(Table10s2!H20,IFERROR(Table10s3!H20*28,0),IFERROR(Table10s4!H20*265,0))=0,"NO",SUM(Table10s2!H20,IFERROR(Table10s3!H20*28,0),IFERROR(Table10s4!H20*265,0)))</f>
        <v>NO</v>
      </c>
      <c r="I21" s="4110" t="str">
        <f>IF(SUM(Table10s2!I20,IFERROR(Table10s3!I20*28,0),IFERROR(Table10s4!I20*265,0))=0,"NO",SUM(Table10s2!I20,IFERROR(Table10s3!I20*28,0),IFERROR(Table10s4!I20*265,0)))</f>
        <v>NO</v>
      </c>
      <c r="J21" s="4110" t="str">
        <f>IF(SUM(Table10s2!J20,IFERROR(Table10s3!J20*28,0),IFERROR(Table10s4!J20*265,0))=0,"NO",SUM(Table10s2!J20,IFERROR(Table10s3!J20*28,0),IFERROR(Table10s4!J20*265,0)))</f>
        <v>NO</v>
      </c>
      <c r="K21" s="4110" t="str">
        <f>IF(SUM(Table10s2!K20,IFERROR(Table10s3!K20*28,0),IFERROR(Table10s4!K20*265,0))=0,"NO",SUM(Table10s2!K20,IFERROR(Table10s3!K20*28,0),IFERROR(Table10s4!K20*265,0)))</f>
        <v>NO</v>
      </c>
      <c r="L21" s="4110" t="str">
        <f>IF(SUM(Table10s2!L20,IFERROR(Table10s3!L20*28,0),IFERROR(Table10s4!L20*265,0))=0,"NO",SUM(Table10s2!L20,IFERROR(Table10s3!L20*28,0),IFERROR(Table10s4!L20*265,0)))</f>
        <v>NO</v>
      </c>
      <c r="M21" s="4110" t="str">
        <f>IF(SUM(Table10s2!M20,IFERROR(Table10s3!M20*28,0),IFERROR(Table10s4!M20*265,0))=0,"NO",SUM(Table10s2!M20,IFERROR(Table10s3!M20*28,0),IFERROR(Table10s4!M20*265,0)))</f>
        <v>NO</v>
      </c>
      <c r="N21" s="4110" t="str">
        <f>IF(SUM(Table10s2!N20,IFERROR(Table10s3!N20*28,0),IFERROR(Table10s4!N20*265,0))=0,"NO",SUM(Table10s2!N20,IFERROR(Table10s3!N20*28,0),IFERROR(Table10s4!N20*265,0)))</f>
        <v>NO</v>
      </c>
      <c r="O21" s="4110" t="str">
        <f>IF(SUM(Table10s2!O20,IFERROR(Table10s3!O20*28,0),IFERROR(Table10s4!O20*265,0))=0,"NO",SUM(Table10s2!O20,IFERROR(Table10s3!O20*28,0),IFERROR(Table10s4!O20*265,0)))</f>
        <v>NO</v>
      </c>
      <c r="P21" s="4110" t="str">
        <f>IF(SUM(Table10s2!P20,IFERROR(Table10s3!P20*28,0),IFERROR(Table10s4!P20*265,0))=0,"NO",SUM(Table10s2!P20,IFERROR(Table10s3!P20*28,0),IFERROR(Table10s4!P20*265,0)))</f>
        <v>NO</v>
      </c>
      <c r="Q21" s="4110" t="str">
        <f>IF(SUM(Table10s2!Q20,IFERROR(Table10s3!Q20*28,0),IFERROR(Table10s4!Q20*265,0))=0,"NO",SUM(Table10s2!Q20,IFERROR(Table10s3!Q20*28,0),IFERROR(Table10s4!Q20*265,0)))</f>
        <v>NO</v>
      </c>
      <c r="R21" s="4110" t="str">
        <f>IF(SUM(Table10s2!R20,IFERROR(Table10s3!R20*28,0),IFERROR(Table10s4!R20*265,0))=0,"NO",SUM(Table10s2!R20,IFERROR(Table10s3!R20*28,0),IFERROR(Table10s4!R20*265,0)))</f>
        <v>NO</v>
      </c>
      <c r="S21" s="4110" t="str">
        <f>IF(SUM(Table10s2!S20,IFERROR(Table10s3!S20*28,0),IFERROR(Table10s4!S20*265,0))=0,"NO",SUM(Table10s2!S20,IFERROR(Table10s3!S20*28,0),IFERROR(Table10s4!S20*265,0)))</f>
        <v>NO</v>
      </c>
      <c r="T21" s="4110" t="str">
        <f>IF(SUM(Table10s2!T20,IFERROR(Table10s3!T20*28,0),IFERROR(Table10s4!T20*265,0))=0,"NO",SUM(Table10s2!T20,IFERROR(Table10s3!T20*28,0),IFERROR(Table10s4!T20*265,0)))</f>
        <v>NO</v>
      </c>
      <c r="U21" s="4110" t="str">
        <f>IF(SUM(Table10s2!U20,IFERROR(Table10s3!U20*28,0),IFERROR(Table10s4!U20*265,0))=0,"NO",SUM(Table10s2!U20,IFERROR(Table10s3!U20*28,0),IFERROR(Table10s4!U20*265,0)))</f>
        <v>NO</v>
      </c>
      <c r="V21" s="4110" t="str">
        <f>IF(SUM(Table10s2!V20,IFERROR(Table10s3!V20*28,0),IFERROR(Table10s4!V20*265,0))=0,"NO",SUM(Table10s2!V20,IFERROR(Table10s3!V20*28,0),IFERROR(Table10s4!V20*265,0)))</f>
        <v>NO</v>
      </c>
      <c r="W21" s="4110" t="str">
        <f>IF(SUM(Table10s2!W20,IFERROR(Table10s3!W20*28,0),IFERROR(Table10s4!W20*265,0))=0,"NO",SUM(Table10s2!W20,IFERROR(Table10s3!W20*28,0),IFERROR(Table10s4!W20*265,0)))</f>
        <v>NO</v>
      </c>
      <c r="X21" s="4110" t="str">
        <f>IF(SUM(Table10s2!X20,IFERROR(Table10s3!X20*28,0),IFERROR(Table10s4!X20*265,0))=0,"NO",SUM(Table10s2!X20,IFERROR(Table10s3!X20*28,0),IFERROR(Table10s4!X20*265,0)))</f>
        <v>NO</v>
      </c>
      <c r="Y21" s="4110" t="str">
        <f>IF(SUM(Table10s2!Y20,IFERROR(Table10s3!Y20*28,0),IFERROR(Table10s4!Y20*265,0))=0,"NO",SUM(Table10s2!Y20,IFERROR(Table10s3!Y20*28,0),IFERROR(Table10s4!Y20*265,0)))</f>
        <v>NO</v>
      </c>
      <c r="Z21" s="4110" t="str">
        <f>IF(SUM(Table10s2!Z20,IFERROR(Table10s3!Z20*28,0),IFERROR(Table10s4!Z20*265,0))=0,"NO",SUM(Table10s2!Z20,IFERROR(Table10s3!Z20*28,0),IFERROR(Table10s4!Z20*265,0)))</f>
        <v>NO</v>
      </c>
      <c r="AA21" s="4110" t="str">
        <f>IF(SUM(Table10s2!AA20,IFERROR(Table10s3!AA20*28,0),IFERROR(Table10s4!AA20*265,0))=0,"NO",SUM(Table10s2!AA20,IFERROR(Table10s3!AA20*28,0),IFERROR(Table10s4!AA20*265,0)))</f>
        <v>NO</v>
      </c>
      <c r="AB21" s="4110" t="str">
        <f>IF(SUM(Table10s2!AB20,IFERROR(Table10s3!AB20*28,0),IFERROR(Table10s4!AB20*265,0))=0,"NO",SUM(Table10s2!AB20,IFERROR(Table10s3!AB20*28,0),IFERROR(Table10s4!AB20*265,0)))</f>
        <v>NO</v>
      </c>
      <c r="AC21" s="4110" t="str">
        <f>IF(SUM(Table10s2!AC20,IFERROR(Table10s3!AC20*28,0),IFERROR(Table10s4!AC20*265,0))=0,"NO",SUM(Table10s2!AC20,IFERROR(Table10s3!AC20*28,0),IFERROR(Table10s4!AC20*265,0)))</f>
        <v>NO</v>
      </c>
      <c r="AD21" s="4110" t="str">
        <f>IF(SUM(Table10s2!AD20,IFERROR(Table10s3!AD20*28,0),IFERROR(Table10s4!AD20*265,0))=0,"NO",SUM(Table10s2!AD20,IFERROR(Table10s3!AD20*28,0),IFERROR(Table10s4!AD20*265,0)))</f>
        <v>NO</v>
      </c>
      <c r="AE21" s="4110" t="str">
        <f>IF(SUM(Table10s2!AE20,IFERROR(Table10s3!AE20*28,0),IFERROR(Table10s4!AE20*265,0))=0,"NO",SUM(Table10s2!AE20,IFERROR(Table10s3!AE20*28,0),IFERROR(Table10s4!AE20*265,0)))</f>
        <v>NO</v>
      </c>
      <c r="AF21" s="4110" t="str">
        <f>IF(SUM(Table10s2!AF20,IFERROR(Table10s3!AF20*28,0),IFERROR(Table10s4!AF20*265,0))=0,"NO",SUM(Table10s2!AF20,IFERROR(Table10s3!AF20*28,0),IFERROR(Table10s4!AF20*265,0)))</f>
        <v>NO</v>
      </c>
      <c r="AG21" s="4110" t="str">
        <f>IF(SUM(Table10s2!AG20,IFERROR(Table10s3!AG20*28,0),IFERROR(Table10s4!AG20*265,0))=0,"NO",SUM(Table10s2!AG20,IFERROR(Table10s3!AG20*28,0),IFERROR(Table10s4!AG20*265,0)))</f>
        <v>NO</v>
      </c>
      <c r="AH21" s="4110" t="str">
        <f>IF(SUM(Table10s2!AH20,IFERROR(Table10s3!AH20*28,0),IFERROR(Table10s4!AH20*265,0))=0,"NO",SUM(Table10s2!AH20,IFERROR(Table10s3!AH20*28,0),IFERROR(Table10s4!AH20*265,0)))</f>
        <v>NO</v>
      </c>
      <c r="AI21" s="4110">
        <f>IF(SUM(Table10s2!AI20,IFERROR(Table10s3!AI20*28,0),IFERROR(Table10s4!AI20*265,0))=0,"NO",SUM(Table10s2!AI20,IFERROR(Table10s3!AI20*28,0),IFERROR(Table10s4!AI20*265,0)))</f>
        <v>12.417</v>
      </c>
      <c r="AJ21" s="4110">
        <f>IF(SUM(Table10s2!AJ20,IFERROR(Table10s3!AJ20*28,0),IFERROR(Table10s4!AJ20*265,0))=0,"NO",SUM(Table10s2!AJ20,IFERROR(Table10s3!AJ20*28,0),IFERROR(Table10s4!AJ20*265,0)))</f>
        <v>2.2450000000000001</v>
      </c>
      <c r="AK21" s="4121">
        <f t="shared" si="1"/>
        <v>100</v>
      </c>
    </row>
    <row r="22" spans="2:37" ht="18" customHeight="1" x14ac:dyDescent="0.2">
      <c r="B22" s="770" t="s">
        <v>1486</v>
      </c>
      <c r="C22" s="1998"/>
      <c r="D22" s="1998"/>
      <c r="E22" s="4114">
        <f>IF(SUM(Table10s2!E21,IFERROR(Table10s3!E21*28,0),IFERROR(Table10s4!E21*265,0),Table10s5!E10,Table10s5!E32,Table10s5!E46)=0,"NO",SUM(Table10s2!E21,IFERROR(Table10s3!E21*28,0),IFERROR(Table10s4!E21*265,0),Table10s5!E10,Table10s5!E32,Table10s5!E46))</f>
        <v>25113.212932040737</v>
      </c>
      <c r="F22" s="4114">
        <f>IF(SUM(Table10s2!F21,IFERROR(Table10s3!F21*28,0),IFERROR(Table10s4!F21*265,0),Table10s5!F10,Table10s5!F32,Table10s5!F46)=0,"NO",SUM(Table10s2!F21,IFERROR(Table10s3!F21*28,0),IFERROR(Table10s4!F21*265,0),Table10s5!F10,Table10s5!F32,Table10s5!F46))</f>
        <v>24310.425837712566</v>
      </c>
      <c r="G22" s="4114">
        <f>IF(SUM(Table10s2!G21,IFERROR(Table10s3!G21*28,0),IFERROR(Table10s4!G21*265,0),Table10s5!G10,Table10s5!G32,Table10s5!G46)=0,"NO",SUM(Table10s2!G21,IFERROR(Table10s3!G21*28,0),IFERROR(Table10s4!G21*265,0),Table10s5!G10,Table10s5!G32,Table10s5!G46))</f>
        <v>24888.973088353901</v>
      </c>
      <c r="H22" s="4114">
        <f>IF(SUM(Table10s2!H21,IFERROR(Table10s3!H21*28,0),IFERROR(Table10s4!H21*265,0),Table10s5!H10,Table10s5!H32,Table10s5!H46)=0,"NO",SUM(Table10s2!H21,IFERROR(Table10s3!H21*28,0),IFERROR(Table10s4!H21*265,0),Table10s5!H10,Table10s5!H32,Table10s5!H46))</f>
        <v>24635.149239859689</v>
      </c>
      <c r="I22" s="4114">
        <f>IF(SUM(Table10s2!I21,IFERROR(Table10s3!I21*28,0),IFERROR(Table10s4!I21*265,0),Table10s5!I10,Table10s5!I32,Table10s5!I46)=0,"NO",SUM(Table10s2!I21,IFERROR(Table10s3!I21*28,0),IFERROR(Table10s4!I21*265,0),Table10s5!I10,Table10s5!I32,Table10s5!I46))</f>
        <v>24886.776809699521</v>
      </c>
      <c r="J22" s="4114">
        <f>IF(SUM(Table10s2!J21,IFERROR(Table10s3!J21*28,0),IFERROR(Table10s4!J21*265,0),Table10s5!J10,Table10s5!J32,Table10s5!J46)=0,"NO",SUM(Table10s2!J21,IFERROR(Table10s3!J21*28,0),IFERROR(Table10s4!J21*265,0),Table10s5!J10,Table10s5!J32,Table10s5!J46))</f>
        <v>24654.423476591419</v>
      </c>
      <c r="K22" s="4114">
        <f>IF(SUM(Table10s2!K21,IFERROR(Table10s3!K21*28,0),IFERROR(Table10s4!K21*265,0),Table10s5!K10,Table10s5!K32,Table10s5!K46)=0,"NO",SUM(Table10s2!K21,IFERROR(Table10s3!K21*28,0),IFERROR(Table10s4!K21*265,0),Table10s5!K10,Table10s5!K32,Table10s5!K46))</f>
        <v>24342.833010078666</v>
      </c>
      <c r="L22" s="4114">
        <f>IF(SUM(Table10s2!L21,IFERROR(Table10s3!L21*28,0),IFERROR(Table10s4!L21*265,0),Table10s5!L10,Table10s5!L32,Table10s5!L46)=0,"NO",SUM(Table10s2!L21,IFERROR(Table10s3!L21*28,0),IFERROR(Table10s4!L21*265,0),Table10s5!L10,Table10s5!L32,Table10s5!L46))</f>
        <v>24415.692723731678</v>
      </c>
      <c r="M22" s="4114">
        <f>IF(SUM(Table10s2!M21,IFERROR(Table10s3!M21*28,0),IFERROR(Table10s4!M21*265,0),Table10s5!M10,Table10s5!M32,Table10s5!M46)=0,"NO",SUM(Table10s2!M21,IFERROR(Table10s3!M21*28,0),IFERROR(Table10s4!M21*265,0),Table10s5!M10,Table10s5!M32,Table10s5!M46))</f>
        <v>25468.697414458627</v>
      </c>
      <c r="N22" s="4114">
        <f>IF(SUM(Table10s2!N21,IFERROR(Table10s3!N21*28,0),IFERROR(Table10s4!N21*265,0),Table10s5!N10,Table10s5!N32,Table10s5!N46)=0,"NO",SUM(Table10s2!N21,IFERROR(Table10s3!N21*28,0),IFERROR(Table10s4!N21*265,0),Table10s5!N10,Table10s5!N32,Table10s5!N46))</f>
        <v>25914.848602962462</v>
      </c>
      <c r="O22" s="4114">
        <f>IF(SUM(Table10s2!O21,IFERROR(Table10s3!O21*28,0),IFERROR(Table10s4!O21*265,0),Table10s5!O10,Table10s5!O32,Table10s5!O46)=0,"NO",SUM(Table10s2!O21,IFERROR(Table10s3!O21*28,0),IFERROR(Table10s4!O21*265,0),Table10s5!O10,Table10s5!O32,Table10s5!O46))</f>
        <v>25766.612252688898</v>
      </c>
      <c r="P22" s="4114">
        <f>IF(SUM(Table10s2!P21,IFERROR(Table10s3!P21*28,0),IFERROR(Table10s4!P21*265,0),Table10s5!P10,Table10s5!P32,Table10s5!P46)=0,"NO",SUM(Table10s2!P21,IFERROR(Table10s3!P21*28,0),IFERROR(Table10s4!P21*265,0),Table10s5!P10,Table10s5!P32,Table10s5!P46))</f>
        <v>26598.981588761144</v>
      </c>
      <c r="Q22" s="4114">
        <f>IF(SUM(Table10s2!Q21,IFERROR(Table10s3!Q21*28,0),IFERROR(Table10s4!Q21*265,0),Table10s5!Q10,Table10s5!Q32,Table10s5!Q46)=0,"NO",SUM(Table10s2!Q21,IFERROR(Table10s3!Q21*28,0),IFERROR(Table10s4!Q21*265,0),Table10s5!Q10,Table10s5!Q32,Table10s5!Q46))</f>
        <v>27059.847689280607</v>
      </c>
      <c r="R22" s="4114">
        <f>IF(SUM(Table10s2!R21,IFERROR(Table10s3!R21*28,0),IFERROR(Table10s4!R21*265,0),Table10s5!R10,Table10s5!R32,Table10s5!R46)=0,"NO",SUM(Table10s2!R21,IFERROR(Table10s3!R21*28,0),IFERROR(Table10s4!R21*265,0),Table10s5!R10,Table10s5!R32,Table10s5!R46))</f>
        <v>29531.120331734404</v>
      </c>
      <c r="S22" s="4114">
        <f>IF(SUM(Table10s2!S21,IFERROR(Table10s3!S21*28,0),IFERROR(Table10s4!S21*265,0),Table10s5!S10,Table10s5!S32,Table10s5!S46)=0,"NO",SUM(Table10s2!S21,IFERROR(Table10s3!S21*28,0),IFERROR(Table10s4!S21*265,0),Table10s5!S10,Table10s5!S32,Table10s5!S46))</f>
        <v>30831.065374623351</v>
      </c>
      <c r="T22" s="4114">
        <f>IF(SUM(Table10s2!T21,IFERROR(Table10s3!T21*28,0),IFERROR(Table10s4!T21*265,0),Table10s5!T10,Table10s5!T32,Table10s5!T46)=0,"NO",SUM(Table10s2!T21,IFERROR(Table10s3!T21*28,0),IFERROR(Table10s4!T21*265,0),Table10s5!T10,Table10s5!T32,Table10s5!T46))</f>
        <v>30130.272355562909</v>
      </c>
      <c r="U22" s="4114">
        <f>IF(SUM(Table10s2!U21,IFERROR(Table10s3!U21*28,0),IFERROR(Table10s4!U21*265,0),Table10s5!U10,Table10s5!U32,Table10s5!U46)=0,"NO",SUM(Table10s2!U21,IFERROR(Table10s3!U21*28,0),IFERROR(Table10s4!U21*265,0),Table10s5!U10,Table10s5!U32,Table10s5!U46))</f>
        <v>30615.933277017375</v>
      </c>
      <c r="V22" s="4114">
        <f>IF(SUM(Table10s2!V21,IFERROR(Table10s3!V21*28,0),IFERROR(Table10s4!V21*265,0),Table10s5!V10,Table10s5!V32,Table10s5!V46)=0,"NO",SUM(Table10s2!V21,IFERROR(Table10s3!V21*28,0),IFERROR(Table10s4!V21*265,0),Table10s5!V10,Table10s5!V32,Table10s5!V46))</f>
        <v>32659.406821376433</v>
      </c>
      <c r="W22" s="4114">
        <f>IF(SUM(Table10s2!W21,IFERROR(Table10s3!W21*28,0),IFERROR(Table10s4!W21*265,0),Table10s5!W10,Table10s5!W32,Table10s5!W46)=0,"NO",SUM(Table10s2!W21,IFERROR(Table10s3!W21*28,0),IFERROR(Table10s4!W21*265,0),Table10s5!W10,Table10s5!W32,Table10s5!W46))</f>
        <v>32673.882166442574</v>
      </c>
      <c r="X22" s="4114">
        <f>IF(SUM(Table10s2!X21,IFERROR(Table10s3!X21*28,0),IFERROR(Table10s4!X21*265,0),Table10s5!X10,Table10s5!X32,Table10s5!X46)=0,"NO",SUM(Table10s2!X21,IFERROR(Table10s3!X21*28,0),IFERROR(Table10s4!X21*265,0),Table10s5!X10,Table10s5!X32,Table10s5!X46))</f>
        <v>30504.544328139807</v>
      </c>
      <c r="Y22" s="4114">
        <f>IF(SUM(Table10s2!Y21,IFERROR(Table10s3!Y21*28,0),IFERROR(Table10s4!Y21*265,0),Table10s5!Y10,Table10s5!Y32,Table10s5!Y46)=0,"NO",SUM(Table10s2!Y21,IFERROR(Table10s3!Y21*28,0),IFERROR(Table10s4!Y21*265,0),Table10s5!Y10,Table10s5!Y32,Table10s5!Y46))</f>
        <v>33438.996659318756</v>
      </c>
      <c r="Z22" s="4114">
        <f>IF(SUM(Table10s2!Z21,IFERROR(Table10s3!Z21*28,0),IFERROR(Table10s4!Z21*265,0),Table10s5!Z10,Table10s5!Z32,Table10s5!Z46)=0,"NO",SUM(Table10s2!Z21,IFERROR(Table10s3!Z21*28,0),IFERROR(Table10s4!Z21*265,0),Table10s5!Z10,Table10s5!Z32,Table10s5!Z46))</f>
        <v>34249.143818524732</v>
      </c>
      <c r="AA22" s="4114">
        <f>IF(SUM(Table10s2!AA21,IFERROR(Table10s3!AA21*28,0),IFERROR(Table10s4!AA21*265,0),Table10s5!AA10,Table10s5!AA32,Table10s5!AA46)=0,"NO",SUM(Table10s2!AA21,IFERROR(Table10s3!AA21*28,0),IFERROR(Table10s4!AA21*265,0),Table10s5!AA10,Table10s5!AA32,Table10s5!AA46))</f>
        <v>31896.009077256589</v>
      </c>
      <c r="AB22" s="4114">
        <f>IF(SUM(Table10s2!AB21,IFERROR(Table10s3!AB21*28,0),IFERROR(Table10s4!AB21*265,0),Table10s5!AB10,Table10s5!AB32,Table10s5!AB46)=0,"NO",SUM(Table10s2!AB21,IFERROR(Table10s3!AB21*28,0),IFERROR(Table10s4!AB21*265,0),Table10s5!AB10,Table10s5!AB32,Table10s5!AB46))</f>
        <v>29689.140328031055</v>
      </c>
      <c r="AC22" s="4114">
        <f>IF(SUM(Table10s2!AC21,IFERROR(Table10s3!AC21*28,0),IFERROR(Table10s4!AC21*265,0),Table10s5!AC10,Table10s5!AC32,Table10s5!AC46)=0,"NO",SUM(Table10s2!AC21,IFERROR(Table10s3!AC21*28,0),IFERROR(Table10s4!AC21*265,0),Table10s5!AC10,Table10s5!AC32,Table10s5!AC46))</f>
        <v>29619.148297540662</v>
      </c>
      <c r="AD22" s="4114">
        <f>IF(SUM(Table10s2!AD21,IFERROR(Table10s3!AD21*28,0),IFERROR(Table10s4!AD21*265,0),Table10s5!AD10,Table10s5!AD32,Table10s5!AD46)=0,"NO",SUM(Table10s2!AD21,IFERROR(Table10s3!AD21*28,0),IFERROR(Table10s4!AD21*265,0),Table10s5!AD10,Table10s5!AD32,Table10s5!AD46))</f>
        <v>30478.203783182529</v>
      </c>
      <c r="AE22" s="4114">
        <f>IF(SUM(Table10s2!AE21,IFERROR(Table10s3!AE21*28,0),IFERROR(Table10s4!AE21*265,0),Table10s5!AE10,Table10s5!AE32,Table10s5!AE46)=0,"NO",SUM(Table10s2!AE21,IFERROR(Table10s3!AE21*28,0),IFERROR(Table10s4!AE21*265,0),Table10s5!AE10,Table10s5!AE32,Table10s5!AE46))</f>
        <v>30556.664925587531</v>
      </c>
      <c r="AF22" s="4114">
        <f>IF(SUM(Table10s2!AF21,IFERROR(Table10s3!AF21*28,0),IFERROR(Table10s4!AF21*265,0),Table10s5!AF10,Table10s5!AF32,Table10s5!AF46)=0,"NO",SUM(Table10s2!AF21,IFERROR(Table10s3!AF21*28,0),IFERROR(Table10s4!AF21*265,0),Table10s5!AF10,Table10s5!AF32,Table10s5!AF46))</f>
        <v>31153.183093127434</v>
      </c>
      <c r="AG22" s="4114">
        <f>IF(SUM(Table10s2!AG21,IFERROR(Table10s3!AG21*28,0),IFERROR(Table10s4!AG21*265,0),Table10s5!AG10,Table10s5!AG32,Table10s5!AG46)=0,"NO",SUM(Table10s2!AG21,IFERROR(Table10s3!AG21*28,0),IFERROR(Table10s4!AG21*265,0),Table10s5!AG10,Table10s5!AG32,Table10s5!AG46))</f>
        <v>31810.677785357522</v>
      </c>
      <c r="AH22" s="4114">
        <f>IF(SUM(Table10s2!AH21,IFERROR(Table10s3!AH21*28,0),IFERROR(Table10s4!AH21*265,0),Table10s5!AH10,Table10s5!AH32,Table10s5!AH46)=0,"NO",SUM(Table10s2!AH21,IFERROR(Table10s3!AH21*28,0),IFERROR(Table10s4!AH21*265,0),Table10s5!AH10,Table10s5!AH32,Table10s5!AH46))</f>
        <v>32549.671290285936</v>
      </c>
      <c r="AI22" s="4114">
        <f>IF(SUM(Table10s2!AI21,IFERROR(Table10s3!AI21*28,0),IFERROR(Table10s4!AI21*265,0),Table10s5!AI10,Table10s5!AI32,Table10s5!AI46)=0,"NO",SUM(Table10s2!AI21,IFERROR(Table10s3!AI21*28,0),IFERROR(Table10s4!AI21*265,0),Table10s5!AI10,Table10s5!AI32,Table10s5!AI46))</f>
        <v>31898.602874836299</v>
      </c>
      <c r="AJ22" s="4114">
        <f>IF(SUM(Table10s2!AJ21,IFERROR(Table10s3!AJ21*28,0),IFERROR(Table10s4!AJ21*265,0),Table10s5!AJ10,Table10s5!AJ32,Table10s5!AJ46)=0,"NO",SUM(Table10s2!AJ21,IFERROR(Table10s3!AJ21*28,0),IFERROR(Table10s4!AJ21*265,0),Table10s5!AJ10,Table10s5!AJ32,Table10s5!AJ46))</f>
        <v>32992.298931418416</v>
      </c>
      <c r="AK22" s="4087">
        <f t="shared" si="1"/>
        <v>31.374265095825848</v>
      </c>
    </row>
    <row r="23" spans="2:37" ht="18" customHeight="1" x14ac:dyDescent="0.2">
      <c r="B23" s="1133" t="s">
        <v>1487</v>
      </c>
      <c r="C23" s="1995"/>
      <c r="D23" s="1995"/>
      <c r="E23" s="4094">
        <f>IF(SUM(Table10s2!E22,IFERROR(Table10s3!E22*28,0),IFERROR(Table10s4!E22*265,0))=0,"NO",SUM(Table10s2!E22,IFERROR(Table10s3!E22*28,0),IFERROR(Table10s4!E22*265,0)))</f>
        <v>5489.5881371538135</v>
      </c>
      <c r="F23" s="4094">
        <f>IF(SUM(Table10s2!F22,IFERROR(Table10s3!F22*28,0),IFERROR(Table10s4!F22*265,0))=0,"NO",SUM(Table10s2!F22,IFERROR(Table10s3!F22*28,0),IFERROR(Table10s4!F22*265,0)))</f>
        <v>5152.3958590686525</v>
      </c>
      <c r="G23" s="4108">
        <f>IF(SUM(Table10s2!G22,IFERROR(Table10s3!G22*28,0),IFERROR(Table10s4!G22*265,0))=0,"NO",SUM(Table10s2!G22,IFERROR(Table10s3!G22*28,0),IFERROR(Table10s4!G22*265,0)))</f>
        <v>4966.195058905646</v>
      </c>
      <c r="H23" s="4108">
        <f>IF(SUM(Table10s2!H22,IFERROR(Table10s3!H22*28,0),IFERROR(Table10s4!H22*265,0))=0,"NO",SUM(Table10s2!H22,IFERROR(Table10s3!H22*28,0),IFERROR(Table10s4!H22*265,0)))</f>
        <v>5195.8065521548606</v>
      </c>
      <c r="I23" s="4108">
        <f>IF(SUM(Table10s2!I22,IFERROR(Table10s3!I22*28,0),IFERROR(Table10s4!I22*265,0))=0,"NO",SUM(Table10s2!I22,IFERROR(Table10s3!I22*28,0),IFERROR(Table10s4!I22*265,0)))</f>
        <v>5996.3007606972551</v>
      </c>
      <c r="J23" s="4108">
        <f>IF(SUM(Table10s2!J22,IFERROR(Table10s3!J22*28,0),IFERROR(Table10s4!J22*265,0))=0,"NO",SUM(Table10s2!J22,IFERROR(Table10s3!J22*28,0),IFERROR(Table10s4!J22*265,0)))</f>
        <v>5826.2709371596793</v>
      </c>
      <c r="K23" s="4108">
        <f>IF(SUM(Table10s2!K22,IFERROR(Table10s3!K22*28,0),IFERROR(Table10s4!K22*265,0))=0,"NO",SUM(Table10s2!K22,IFERROR(Table10s3!K22*28,0),IFERROR(Table10s4!K22*265,0)))</f>
        <v>5901.636801490803</v>
      </c>
      <c r="L23" s="4108">
        <f>IF(SUM(Table10s2!L22,IFERROR(Table10s3!L22*28,0),IFERROR(Table10s4!L22*265,0))=0,"NO",SUM(Table10s2!L22,IFERROR(Table10s3!L22*28,0),IFERROR(Table10s4!L22*265,0)))</f>
        <v>5977.0239216720511</v>
      </c>
      <c r="M23" s="4108">
        <f>IF(SUM(Table10s2!M22,IFERROR(Table10s3!M22*28,0),IFERROR(Table10s4!M22*265,0))=0,"NO",SUM(Table10s2!M22,IFERROR(Table10s3!M22*28,0),IFERROR(Table10s4!M22*265,0)))</f>
        <v>6357.0664970637499</v>
      </c>
      <c r="N23" s="4108">
        <f>IF(SUM(Table10s2!N22,IFERROR(Table10s3!N22*28,0),IFERROR(Table10s4!N22*265,0))=0,"NO",SUM(Table10s2!N22,IFERROR(Table10s3!N22*28,0),IFERROR(Table10s4!N22*265,0)))</f>
        <v>6439.3317149694594</v>
      </c>
      <c r="O23" s="4108">
        <f>IF(SUM(Table10s2!O22,IFERROR(Table10s3!O22*28,0),IFERROR(Table10s4!O22*265,0))=0,"NO",SUM(Table10s2!O22,IFERROR(Table10s3!O22*28,0),IFERROR(Table10s4!O22*265,0)))</f>
        <v>6231.9337366516957</v>
      </c>
      <c r="P23" s="4108">
        <f>IF(SUM(Table10s2!P22,IFERROR(Table10s3!P22*28,0),IFERROR(Table10s4!P22*265,0))=0,"NO",SUM(Table10s2!P22,IFERROR(Table10s3!P22*28,0),IFERROR(Table10s4!P22*265,0)))</f>
        <v>6238.6898869835759</v>
      </c>
      <c r="Q23" s="4108">
        <f>IF(SUM(Table10s2!Q22,IFERROR(Table10s3!Q22*28,0),IFERROR(Table10s4!Q22*265,0))=0,"NO",SUM(Table10s2!Q22,IFERROR(Table10s3!Q22*28,0),IFERROR(Table10s4!Q22*265,0)))</f>
        <v>6291.2170628710073</v>
      </c>
      <c r="R23" s="4108">
        <f>IF(SUM(Table10s2!R22,IFERROR(Table10s3!R22*28,0),IFERROR(Table10s4!R22*265,0))=0,"NO",SUM(Table10s2!R22,IFERROR(Table10s3!R22*28,0),IFERROR(Table10s4!R22*265,0)))</f>
        <v>6429.0336414871217</v>
      </c>
      <c r="S23" s="4108">
        <f>IF(SUM(Table10s2!S22,IFERROR(Table10s3!S22*28,0),IFERROR(Table10s4!S22*265,0))=0,"NO",SUM(Table10s2!S22,IFERROR(Table10s3!S22*28,0),IFERROR(Table10s4!S22*265,0)))</f>
        <v>6389.4246039360687</v>
      </c>
      <c r="T23" s="4108">
        <f>IF(SUM(Table10s2!T22,IFERROR(Table10s3!T22*28,0),IFERROR(Table10s4!T22*265,0))=0,"NO",SUM(Table10s2!T22,IFERROR(Table10s3!T22*28,0),IFERROR(Table10s4!T22*265,0)))</f>
        <v>6478.7569533611777</v>
      </c>
      <c r="U23" s="4108">
        <f>IF(SUM(Table10s2!U22,IFERROR(Table10s3!U22*28,0),IFERROR(Table10s4!U22*265,0))=0,"NO",SUM(Table10s2!U22,IFERROR(Table10s3!U22*28,0),IFERROR(Table10s4!U22*265,0)))</f>
        <v>6668.9977667490348</v>
      </c>
      <c r="V23" s="4108">
        <f>IF(SUM(Table10s2!V22,IFERROR(Table10s3!V22*28,0),IFERROR(Table10s4!V22*265,0))=0,"NO",SUM(Table10s2!V22,IFERROR(Table10s3!V22*28,0),IFERROR(Table10s4!V22*265,0)))</f>
        <v>6985.4738057376526</v>
      </c>
      <c r="W23" s="4108">
        <f>IF(SUM(Table10s2!W22,IFERROR(Table10s3!W22*28,0),IFERROR(Table10s4!W22*265,0))=0,"NO",SUM(Table10s2!W22,IFERROR(Table10s3!W22*28,0),IFERROR(Table10s4!W22*265,0)))</f>
        <v>6898.3975325174652</v>
      </c>
      <c r="X23" s="4108">
        <f>IF(SUM(Table10s2!X22,IFERROR(Table10s3!X22*28,0),IFERROR(Table10s4!X22*265,0))=0,"NO",SUM(Table10s2!X22,IFERROR(Table10s3!X22*28,0),IFERROR(Table10s4!X22*265,0)))</f>
        <v>6408.1365207979152</v>
      </c>
      <c r="Y23" s="4108">
        <f>IF(SUM(Table10s2!Y22,IFERROR(Table10s3!Y22*28,0),IFERROR(Table10s4!Y22*265,0))=0,"NO",SUM(Table10s2!Y22,IFERROR(Table10s3!Y22*28,0),IFERROR(Table10s4!Y22*265,0)))</f>
        <v>6303.975122199774</v>
      </c>
      <c r="Z23" s="4108">
        <f>IF(SUM(Table10s2!Z22,IFERROR(Table10s3!Z22*28,0),IFERROR(Table10s4!Z22*265,0))=0,"NO",SUM(Table10s2!Z22,IFERROR(Table10s3!Z22*28,0),IFERROR(Table10s4!Z22*265,0)))</f>
        <v>6453.9565708100208</v>
      </c>
      <c r="AA23" s="4108">
        <f>IF(SUM(Table10s2!AA22,IFERROR(Table10s3!AA22*28,0),IFERROR(Table10s4!AA22*265,0))=0,"NO",SUM(Table10s2!AA22,IFERROR(Table10s3!AA22*28,0),IFERROR(Table10s4!AA22*265,0)))</f>
        <v>6411.4761811194585</v>
      </c>
      <c r="AB23" s="4108">
        <f>IF(SUM(Table10s2!AB22,IFERROR(Table10s3!AB22*28,0),IFERROR(Table10s4!AB22*265,0))=0,"NO",SUM(Table10s2!AB22,IFERROR(Table10s3!AB22*28,0),IFERROR(Table10s4!AB22*265,0)))</f>
        <v>6105.3304912396552</v>
      </c>
      <c r="AC23" s="4108">
        <f>IF(SUM(Table10s2!AC22,IFERROR(Table10s3!AC22*28,0),IFERROR(Table10s4!AC22*265,0))=0,"NO",SUM(Table10s2!AC22,IFERROR(Table10s3!AC22*28,0),IFERROR(Table10s4!AC22*265,0)))</f>
        <v>6004.4700119044583</v>
      </c>
      <c r="AD23" s="4108">
        <f>IF(SUM(Table10s2!AD22,IFERROR(Table10s3!AD22*28,0),IFERROR(Table10s4!AD22*265,0))=0,"NO",SUM(Table10s2!AD22,IFERROR(Table10s3!AD22*28,0),IFERROR(Table10s4!AD22*265,0)))</f>
        <v>5878.5662145273827</v>
      </c>
      <c r="AE23" s="4108">
        <f>IF(SUM(Table10s2!AE22,IFERROR(Table10s3!AE22*28,0),IFERROR(Table10s4!AE22*265,0))=0,"NO",SUM(Table10s2!AE22,IFERROR(Table10s3!AE22*28,0),IFERROR(Table10s4!AE22*265,0)))</f>
        <v>5691.6739853939707</v>
      </c>
      <c r="AF23" s="4108">
        <f>IF(SUM(Table10s2!AF22,IFERROR(Table10s3!AF22*28,0),IFERROR(Table10s4!AF22*265,0))=0,"NO",SUM(Table10s2!AF22,IFERROR(Table10s3!AF22*28,0),IFERROR(Table10s4!AF22*265,0)))</f>
        <v>5599.592005604869</v>
      </c>
      <c r="AG23" s="4108">
        <f>IF(SUM(Table10s2!AG22,IFERROR(Table10s3!AG22*28,0),IFERROR(Table10s4!AG22*265,0))=0,"NO",SUM(Table10s2!AG22,IFERROR(Table10s3!AG22*28,0),IFERROR(Table10s4!AG22*265,0)))</f>
        <v>5522.079449308284</v>
      </c>
      <c r="AH23" s="4108">
        <f>IF(SUM(Table10s2!AH22,IFERROR(Table10s3!AH22*28,0),IFERROR(Table10s4!AH22*265,0))=0,"NO",SUM(Table10s2!AH22,IFERROR(Table10s3!AH22*28,0),IFERROR(Table10s4!AH22*265,0)))</f>
        <v>5589.1561490136146</v>
      </c>
      <c r="AI23" s="4108">
        <f>IF(SUM(Table10s2!AI22,IFERROR(Table10s3!AI22*28,0),IFERROR(Table10s4!AI22*265,0))=0,"NO",SUM(Table10s2!AI22,IFERROR(Table10s3!AI22*28,0),IFERROR(Table10s4!AI22*265,0)))</f>
        <v>5230.7196830967323</v>
      </c>
      <c r="AJ23" s="4108">
        <f>IF(SUM(Table10s2!AJ22,IFERROR(Table10s3!AJ22*28,0),IFERROR(Table10s4!AJ22*265,0))=0,"NO",SUM(Table10s2!AJ22,IFERROR(Table10s3!AJ22*28,0),IFERROR(Table10s4!AJ22*265,0)))</f>
        <v>5584.8756679698126</v>
      </c>
      <c r="AK23" s="4101">
        <f t="shared" si="1"/>
        <v>1.7357865186841366</v>
      </c>
    </row>
    <row r="24" spans="2:37" ht="18" customHeight="1" x14ac:dyDescent="0.2">
      <c r="B24" s="1133" t="s">
        <v>621</v>
      </c>
      <c r="C24" s="1995"/>
      <c r="D24" s="1995"/>
      <c r="E24" s="4094">
        <v>3145.4487039529477</v>
      </c>
      <c r="F24" s="4094">
        <v>2997.9889777396638</v>
      </c>
      <c r="G24" s="4094">
        <v>3211.217990526372</v>
      </c>
      <c r="H24" s="4094">
        <v>3953.7772952506593</v>
      </c>
      <c r="I24" s="4094">
        <v>3298.4113707182237</v>
      </c>
      <c r="J24" s="4094">
        <v>3417.9299531858132</v>
      </c>
      <c r="K24" s="4094">
        <v>2820.8604723727121</v>
      </c>
      <c r="L24" s="4094">
        <v>2839.3758371199328</v>
      </c>
      <c r="M24" s="4094">
        <v>3110.4487086567246</v>
      </c>
      <c r="N24" s="4094">
        <v>3053.5468215886772</v>
      </c>
      <c r="O24" s="4094">
        <v>3301.5151315856783</v>
      </c>
      <c r="P24" s="4094">
        <v>3870.3989525058992</v>
      </c>
      <c r="Q24" s="4094">
        <v>4019.1314086317661</v>
      </c>
      <c r="R24" s="4094">
        <v>4624.1484205421793</v>
      </c>
      <c r="S24" s="4094">
        <v>4777.8060193420597</v>
      </c>
      <c r="T24" s="4094">
        <v>5109.251867508583</v>
      </c>
      <c r="U24" s="4094">
        <v>5791.3972145867901</v>
      </c>
      <c r="V24" s="4094">
        <v>6468.2358868033589</v>
      </c>
      <c r="W24" s="4094">
        <v>6225.2064216930412</v>
      </c>
      <c r="X24" s="4094">
        <v>5868.0331767803673</v>
      </c>
      <c r="Y24" s="4094">
        <v>6389.3268354806642</v>
      </c>
      <c r="Z24" s="4094">
        <v>5820.8199338175873</v>
      </c>
      <c r="AA24" s="4094">
        <v>5389.7966133549235</v>
      </c>
      <c r="AB24" s="4094">
        <v>4463.533844091332</v>
      </c>
      <c r="AC24" s="4094">
        <v>4387.3854858595405</v>
      </c>
      <c r="AD24" s="4094">
        <v>4609.615857737459</v>
      </c>
      <c r="AE24" s="4094">
        <v>4371.0922452923969</v>
      </c>
      <c r="AF24" s="4094">
        <v>4434.4775960661145</v>
      </c>
      <c r="AG24" s="4094">
        <v>4897.4911955485441</v>
      </c>
      <c r="AH24" s="4094">
        <v>4813.8921606214026</v>
      </c>
      <c r="AI24" s="4094">
        <v>4730.6701780854146</v>
      </c>
      <c r="AJ24" s="4094">
        <v>4575.3393131807161</v>
      </c>
      <c r="AK24" s="4101">
        <f t="shared" si="1"/>
        <v>45.459034427450575</v>
      </c>
    </row>
    <row r="25" spans="2:37" ht="18" customHeight="1" x14ac:dyDescent="0.2">
      <c r="B25" s="1133" t="s">
        <v>459</v>
      </c>
      <c r="C25" s="1995"/>
      <c r="D25" s="1995"/>
      <c r="E25" s="4094">
        <v>15886.96728286994</v>
      </c>
      <c r="F25" s="4094">
        <v>15570.535653892883</v>
      </c>
      <c r="G25" s="4094">
        <v>16101.599053807467</v>
      </c>
      <c r="H25" s="4094">
        <v>14845.462742240126</v>
      </c>
      <c r="I25" s="4094">
        <v>14924.748977361181</v>
      </c>
      <c r="J25" s="4094">
        <v>14577.579024212959</v>
      </c>
      <c r="K25" s="4094">
        <v>14654.997585026911</v>
      </c>
      <c r="L25" s="4094">
        <v>14482.259636171344</v>
      </c>
      <c r="M25" s="4094">
        <v>14731.18387413026</v>
      </c>
      <c r="N25" s="4094">
        <v>14889.789928709863</v>
      </c>
      <c r="O25" s="4094">
        <v>14436.871284822324</v>
      </c>
      <c r="P25" s="4094">
        <v>14278.200345415902</v>
      </c>
      <c r="Q25" s="4094">
        <v>14129.888000825713</v>
      </c>
      <c r="R25" s="4094">
        <v>15353.627260450776</v>
      </c>
      <c r="S25" s="4094">
        <v>16004.562299109652</v>
      </c>
      <c r="T25" s="4094">
        <v>14220.836946977002</v>
      </c>
      <c r="U25" s="4094">
        <v>13452.044267403966</v>
      </c>
      <c r="V25" s="4094">
        <v>13944.655341390831</v>
      </c>
      <c r="W25" s="4094">
        <v>13695.281782482105</v>
      </c>
      <c r="X25" s="4094">
        <v>11535.151156034002</v>
      </c>
      <c r="Y25" s="4094">
        <v>13397.580964893867</v>
      </c>
      <c r="Z25" s="4094">
        <v>13949.012133689472</v>
      </c>
      <c r="AA25" s="4094">
        <v>11749.155857750873</v>
      </c>
      <c r="AB25" s="4094">
        <v>10371.828546301706</v>
      </c>
      <c r="AC25" s="4094">
        <v>9851.2954453819348</v>
      </c>
      <c r="AD25" s="4094">
        <v>10091.961248433736</v>
      </c>
      <c r="AE25" s="4094">
        <v>10183.91361100205</v>
      </c>
      <c r="AF25" s="4094">
        <v>10638.091937819951</v>
      </c>
      <c r="AG25" s="4094">
        <v>10957.434063017763</v>
      </c>
      <c r="AH25" s="4094">
        <v>10915.486617810544</v>
      </c>
      <c r="AI25" s="4094">
        <v>10487.245460694756</v>
      </c>
      <c r="AJ25" s="4094">
        <v>10875.819958276377</v>
      </c>
      <c r="AK25" s="4101">
        <f t="shared" si="1"/>
        <v>-31.542504213480768</v>
      </c>
    </row>
    <row r="26" spans="2:37" ht="18" customHeight="1" x14ac:dyDescent="0.2">
      <c r="B26" s="1133" t="s">
        <v>1488</v>
      </c>
      <c r="C26" s="1995"/>
      <c r="D26" s="1995"/>
      <c r="E26" s="4094">
        <f>IF(SUM(Table10s2!E25,IFERROR(Table10s3!E25*28,0),IFERROR(Table10s4!E25*265,0))=0,"NO",SUM(Table10s2!E25,IFERROR(Table10s3!E25*28,0),IFERROR(Table10s4!E25*265,0)))</f>
        <v>281.30450949999999</v>
      </c>
      <c r="F26" s="4094">
        <f>IF(SUM(Table10s2!F25,IFERROR(Table10s3!F25*28,0),IFERROR(Table10s4!F25*265,0))=0,"NO",SUM(Table10s2!F25,IFERROR(Table10s3!F25*28,0),IFERROR(Table10s4!F25*265,0)))</f>
        <v>257.74698899999999</v>
      </c>
      <c r="G26" s="4108">
        <f>IF(SUM(Table10s2!G25,IFERROR(Table10s3!G25*28,0),IFERROR(Table10s4!G25*265,0))=0,"NO",SUM(Table10s2!G25,IFERROR(Table10s3!G25*28,0),IFERROR(Table10s4!G25*265,0)))</f>
        <v>256.36125249999992</v>
      </c>
      <c r="H26" s="4108">
        <f>IF(SUM(Table10s2!H25,IFERROR(Table10s3!H25*28,0),IFERROR(Table10s4!H25*265,0))=0,"NO",SUM(Table10s2!H25,IFERROR(Table10s3!H25*28,0),IFERROR(Table10s4!H25*265,0)))</f>
        <v>264.67567150000002</v>
      </c>
      <c r="I26" s="4108">
        <f>IF(SUM(Table10s2!I25,IFERROR(Table10s3!I25*28,0),IFERROR(Table10s4!I25*265,0))=0,"NO",SUM(Table10s2!I25,IFERROR(Table10s3!I25*28,0),IFERROR(Table10s4!I25*265,0)))</f>
        <v>268.83288099999999</v>
      </c>
      <c r="J26" s="4108">
        <f>IF(SUM(Table10s2!J25,IFERROR(Table10s3!J25*28,0),IFERROR(Table10s4!J25*265,0))=0,"NO",SUM(Table10s2!J25,IFERROR(Table10s3!J25*28,0),IFERROR(Table10s4!J25*265,0)))</f>
        <v>267.44714449999998</v>
      </c>
      <c r="K26" s="4108">
        <f>IF(SUM(Table10s2!K25,IFERROR(Table10s3!K25*28,0),IFERROR(Table10s4!K25*265,0))=0,"NO",SUM(Table10s2!K25,IFERROR(Table10s3!K25*28,0),IFERROR(Table10s4!K25*265,0)))</f>
        <v>281.30450949999994</v>
      </c>
      <c r="L26" s="4108">
        <f>IF(SUM(Table10s2!L25,IFERROR(Table10s3!L25*28,0),IFERROR(Table10s4!L25*265,0))=0,"NO",SUM(Table10s2!L25,IFERROR(Table10s3!L25*28,0),IFERROR(Table10s4!L25*265,0)))</f>
        <v>278.53303649999992</v>
      </c>
      <c r="M26" s="4108">
        <f>IF(SUM(Table10s2!M25,IFERROR(Table10s3!M25*28,0),IFERROR(Table10s4!M25*265,0))=0,"NO",SUM(Table10s2!M25,IFERROR(Table10s3!M25*28,0),IFERROR(Table10s4!M25*265,0)))</f>
        <v>278.53303649999992</v>
      </c>
      <c r="N26" s="4108">
        <f>IF(SUM(Table10s2!N25,IFERROR(Table10s3!N25*28,0),IFERROR(Table10s4!N25*265,0))=0,"NO",SUM(Table10s2!N25,IFERROR(Table10s3!N25*28,0),IFERROR(Table10s4!N25*265,0)))</f>
        <v>270.21861749999999</v>
      </c>
      <c r="O26" s="4108">
        <f>IF(SUM(Table10s2!O25,IFERROR(Table10s3!O25*28,0),IFERROR(Table10s4!O25*265,0))=0,"NO",SUM(Table10s2!O25,IFERROR(Table10s3!O25*28,0),IFERROR(Table10s4!O25*265,0)))</f>
        <v>284.07598249999995</v>
      </c>
      <c r="P26" s="4108">
        <f>IF(SUM(Table10s2!P25,IFERROR(Table10s3!P25*28,0),IFERROR(Table10s4!P25*265,0))=0,"NO",SUM(Table10s2!P25,IFERROR(Table10s3!P25*28,0),IFERROR(Table10s4!P25*265,0)))</f>
        <v>291.00466500000005</v>
      </c>
      <c r="Q26" s="4108">
        <f>IF(SUM(Table10s2!Q25,IFERROR(Table10s3!Q25*28,0),IFERROR(Table10s4!Q25*265,0))=0,"NO",SUM(Table10s2!Q25,IFERROR(Table10s3!Q25*28,0),IFERROR(Table10s4!Q25*265,0)))</f>
        <v>297.93334749999997</v>
      </c>
      <c r="R26" s="4108">
        <f>IF(SUM(Table10s2!R25,IFERROR(Table10s3!R25*28,0),IFERROR(Table10s4!R25*265,0))=0,"NO",SUM(Table10s2!R25,IFERROR(Table10s3!R25*28,0),IFERROR(Table10s4!R25*265,0)))</f>
        <v>304.86202999999995</v>
      </c>
      <c r="S26" s="4108">
        <f>IF(SUM(Table10s2!S25,IFERROR(Table10s3!S25*28,0),IFERROR(Table10s4!S25*265,0))=0,"NO",SUM(Table10s2!S25,IFERROR(Table10s3!S25*28,0),IFERROR(Table10s4!S25*265,0)))</f>
        <v>331.19102349999997</v>
      </c>
      <c r="T26" s="4108">
        <f>IF(SUM(Table10s2!T25,IFERROR(Table10s3!T25*28,0),IFERROR(Table10s4!T25*265,0))=0,"NO",SUM(Table10s2!T25,IFERROR(Table10s3!T25*28,0),IFERROR(Table10s4!T25*265,0)))</f>
        <v>252.20404299999996</v>
      </c>
      <c r="U26" s="4108">
        <f>IF(SUM(Table10s2!U25,IFERROR(Table10s3!U25*28,0),IFERROR(Table10s4!U25*265,0))=0,"NO",SUM(Table10s2!U25,IFERROR(Table10s3!U25*28,0),IFERROR(Table10s4!U25*265,0)))</f>
        <v>242.50388749999999</v>
      </c>
      <c r="V26" s="4108">
        <f>IF(SUM(Table10s2!V25,IFERROR(Table10s3!V25*28,0),IFERROR(Table10s4!V25*265,0))=0,"NO",SUM(Table10s2!V25,IFERROR(Table10s3!V25*28,0),IFERROR(Table10s4!V25*265,0)))</f>
        <v>225.87504949999993</v>
      </c>
      <c r="W26" s="4108">
        <f>IF(SUM(Table10s2!W25,IFERROR(Table10s3!W25*28,0),IFERROR(Table10s4!W25*265,0))=0,"NO",SUM(Table10s2!W25,IFERROR(Table10s3!W25*28,0),IFERROR(Table10s4!W25*265,0)))</f>
        <v>236.96094149999999</v>
      </c>
      <c r="X26" s="4108">
        <f>IF(SUM(Table10s2!X25,IFERROR(Table10s3!X25*28,0),IFERROR(Table10s4!X25*265,0))=0,"NO",SUM(Table10s2!X25,IFERROR(Table10s3!X25*28,0),IFERROR(Table10s4!X25*265,0)))</f>
        <v>238.76239894999998</v>
      </c>
      <c r="Y26" s="4108">
        <f>IF(SUM(Table10s2!Y25,IFERROR(Table10s3!Y25*28,0),IFERROR(Table10s4!Y25*265,0))=0,"NO",SUM(Table10s2!Y25,IFERROR(Table10s3!Y25*28,0),IFERROR(Table10s4!Y25*265,0)))</f>
        <v>247.53411099499993</v>
      </c>
      <c r="Z26" s="4108">
        <f>IF(SUM(Table10s2!Z25,IFERROR(Table10s3!Z25*28,0),IFERROR(Table10s4!Z25*265,0))=0,"NO",SUM(Table10s2!Z25,IFERROR(Table10s3!Z25*28,0),IFERROR(Table10s4!Z25*265,0)))</f>
        <v>232.16629320999999</v>
      </c>
      <c r="AA26" s="4108">
        <f>IF(SUM(Table10s2!AA25,IFERROR(Table10s3!AA25*28,0),IFERROR(Table10s4!AA25*265,0))=0,"NO",SUM(Table10s2!AA25,IFERROR(Table10s3!AA25*28,0),IFERROR(Table10s4!AA25*265,0)))</f>
        <v>192.64508823</v>
      </c>
      <c r="AB26" s="4108">
        <f>IF(SUM(Table10s2!AB25,IFERROR(Table10s3!AB25*28,0),IFERROR(Table10s4!AB25*265,0))=0,"NO",SUM(Table10s2!AB25,IFERROR(Table10s3!AB25*28,0),IFERROR(Table10s4!AB25*265,0)))</f>
        <v>209.32935569</v>
      </c>
      <c r="AC26" s="4108">
        <f>IF(SUM(Table10s2!AC25,IFERROR(Table10s3!AC25*28,0),IFERROR(Table10s4!AC25*265,0))=0,"NO",SUM(Table10s2!AC25,IFERROR(Table10s3!AC25*28,0),IFERROR(Table10s4!AC25*265,0)))</f>
        <v>228.05065580499999</v>
      </c>
      <c r="AD26" s="4108">
        <f>IF(SUM(Table10s2!AD25,IFERROR(Table10s3!AD25*28,0),IFERROR(Table10s4!AD25*265,0))=0,"NO",SUM(Table10s2!AD25,IFERROR(Table10s3!AD25*28,0),IFERROR(Table10s4!AD25*265,0)))</f>
        <v>219.12651274499999</v>
      </c>
      <c r="AE26" s="4108">
        <f>IF(SUM(Table10s2!AE25,IFERROR(Table10s3!AE25*28,0),IFERROR(Table10s4!AE25*265,0))=0,"NO",SUM(Table10s2!AE25,IFERROR(Table10s3!AE25*28,0),IFERROR(Table10s4!AE25*265,0)))</f>
        <v>211.18624259999996</v>
      </c>
      <c r="AF26" s="4108">
        <f>IF(SUM(Table10s2!AF25,IFERROR(Table10s3!AF25*28,0),IFERROR(Table10s4!AF25*265,0))=0,"NO",SUM(Table10s2!AF25,IFERROR(Table10s3!AF25*28,0),IFERROR(Table10s4!AF25*265,0)))</f>
        <v>226.526345655</v>
      </c>
      <c r="AG26" s="4108">
        <f>IF(SUM(Table10s2!AG25,IFERROR(Table10s3!AG25*28,0),IFERROR(Table10s4!AG25*265,0))=0,"NO",SUM(Table10s2!AG25,IFERROR(Table10s3!AG25*28,0),IFERROR(Table10s4!AG25*265,0)))</f>
        <v>173.43878034000002</v>
      </c>
      <c r="AH26" s="4108">
        <f>IF(SUM(Table10s2!AH25,IFERROR(Table10s3!AH25*28,0),IFERROR(Table10s4!AH25*265,0))=0,"NO",SUM(Table10s2!AH25,IFERROR(Table10s3!AH25*28,0),IFERROR(Table10s4!AH25*265,0)))</f>
        <v>182.598498605</v>
      </c>
      <c r="AI26" s="4108">
        <f>IF(SUM(Table10s2!AI25,IFERROR(Table10s3!AI25*28,0),IFERROR(Table10s4!AI25*265,0))=0,"NO",SUM(Table10s2!AI25,IFERROR(Table10s3!AI25*28,0),IFERROR(Table10s4!AI25*265,0)))</f>
        <v>178.35814491500003</v>
      </c>
      <c r="AJ26" s="4108">
        <f>IF(SUM(Table10s2!AJ25,IFERROR(Table10s3!AJ25*28,0),IFERROR(Table10s4!AJ25*265,0))=0,"NO",SUM(Table10s2!AJ25,IFERROR(Table10s3!AJ25*28,0),IFERROR(Table10s4!AJ25*265,0)))</f>
        <v>162.71317983</v>
      </c>
      <c r="AK26" s="4101">
        <f t="shared" si="1"/>
        <v>-42.157635467980292</v>
      </c>
    </row>
    <row r="27" spans="2:37" ht="18" customHeight="1" x14ac:dyDescent="0.2">
      <c r="B27" s="1133" t="s">
        <v>1489</v>
      </c>
      <c r="C27" s="1995"/>
      <c r="D27" s="1995"/>
      <c r="E27" s="4094" t="str">
        <f>IF(SUM(Table10s2!E26,IFERROR(Table10s3!E26*28,0),IFERROR(Table10s4!E26*265,0))=0,"NO",SUM(Table10s2!E26,IFERROR(Table10s3!E26*28,0),IFERROR(Table10s4!E26*265,0)))</f>
        <v>NO</v>
      </c>
      <c r="F27" s="4094" t="str">
        <f>IF(SUM(Table10s2!F26,IFERROR(Table10s3!F26*28,0),IFERROR(Table10s4!F26*265,0))=0,"NO",SUM(Table10s2!F26,IFERROR(Table10s3!F26*28,0),IFERROR(Table10s4!F26*265,0)))</f>
        <v>NO</v>
      </c>
      <c r="G27" s="4108" t="str">
        <f>IF(SUM(Table10s2!G26,IFERROR(Table10s3!G26*28,0),IFERROR(Table10s4!G26*265,0))=0,"NO",SUM(Table10s2!G26,IFERROR(Table10s3!G26*28,0),IFERROR(Table10s4!G26*265,0)))</f>
        <v>NO</v>
      </c>
      <c r="H27" s="4108" t="str">
        <f>IF(SUM(Table10s2!H26,IFERROR(Table10s3!H26*28,0),IFERROR(Table10s4!H26*265,0))=0,"NO",SUM(Table10s2!H26,IFERROR(Table10s3!H26*28,0),IFERROR(Table10s4!H26*265,0)))</f>
        <v>NO</v>
      </c>
      <c r="I27" s="4108" t="str">
        <f>IF(SUM(Table10s2!I26,IFERROR(Table10s3!I26*28,0),IFERROR(Table10s4!I26*265,0))=0,"NO",SUM(Table10s2!I26,IFERROR(Table10s3!I26*28,0),IFERROR(Table10s4!I26*265,0)))</f>
        <v>NO</v>
      </c>
      <c r="J27" s="4108" t="str">
        <f>IF(SUM(Table10s2!J26,IFERROR(Table10s3!J26*28,0),IFERROR(Table10s4!J26*265,0))=0,"NO",SUM(Table10s2!J26,IFERROR(Table10s3!J26*28,0),IFERROR(Table10s4!J26*265,0)))</f>
        <v>NO</v>
      </c>
      <c r="K27" s="4108" t="str">
        <f>IF(SUM(Table10s2!K26,IFERROR(Table10s3!K26*28,0),IFERROR(Table10s4!K26*265,0))=0,"NO",SUM(Table10s2!K26,IFERROR(Table10s3!K26*28,0),IFERROR(Table10s4!K26*265,0)))</f>
        <v>NO</v>
      </c>
      <c r="L27" s="4108" t="str">
        <f>IF(SUM(Table10s2!L26,IFERROR(Table10s3!L26*28,0),IFERROR(Table10s4!L26*265,0))=0,"NO",SUM(Table10s2!L26,IFERROR(Table10s3!L26*28,0),IFERROR(Table10s4!L26*265,0)))</f>
        <v>NO</v>
      </c>
      <c r="M27" s="4108" t="str">
        <f>IF(SUM(Table10s2!M26,IFERROR(Table10s3!M26*28,0),IFERROR(Table10s4!M26*265,0))=0,"NO",SUM(Table10s2!M26,IFERROR(Table10s3!M26*28,0),IFERROR(Table10s4!M26*265,0)))</f>
        <v>NO</v>
      </c>
      <c r="N27" s="4108" t="str">
        <f>IF(SUM(Table10s2!N26,IFERROR(Table10s3!N26*28,0),IFERROR(Table10s4!N26*265,0))=0,"NO",SUM(Table10s2!N26,IFERROR(Table10s3!N26*28,0),IFERROR(Table10s4!N26*265,0)))</f>
        <v>NO</v>
      </c>
      <c r="O27" s="4108" t="str">
        <f>IF(SUM(Table10s2!O26,IFERROR(Table10s3!O26*28,0),IFERROR(Table10s4!O26*265,0))=0,"NO",SUM(Table10s2!O26,IFERROR(Table10s3!O26*28,0),IFERROR(Table10s4!O26*265,0)))</f>
        <v>NO</v>
      </c>
      <c r="P27" s="4108" t="str">
        <f>IF(SUM(Table10s2!P26,IFERROR(Table10s3!P26*28,0),IFERROR(Table10s4!P26*265,0))=0,"NO",SUM(Table10s2!P26,IFERROR(Table10s3!P26*28,0),IFERROR(Table10s4!P26*265,0)))</f>
        <v>NO</v>
      </c>
      <c r="Q27" s="4108" t="str">
        <f>IF(SUM(Table10s2!Q26,IFERROR(Table10s3!Q26*28,0),IFERROR(Table10s4!Q26*265,0))=0,"NO",SUM(Table10s2!Q26,IFERROR(Table10s3!Q26*28,0),IFERROR(Table10s4!Q26*265,0)))</f>
        <v>NO</v>
      </c>
      <c r="R27" s="4108" t="str">
        <f>IF(SUM(Table10s2!R26,IFERROR(Table10s3!R26*28,0),IFERROR(Table10s4!R26*265,0))=0,"NO",SUM(Table10s2!R26,IFERROR(Table10s3!R26*28,0),IFERROR(Table10s4!R26*265,0)))</f>
        <v>NO</v>
      </c>
      <c r="S27" s="4108" t="str">
        <f>IF(SUM(Table10s2!S26,IFERROR(Table10s3!S26*28,0),IFERROR(Table10s4!S26*265,0))=0,"NO",SUM(Table10s2!S26,IFERROR(Table10s3!S26*28,0),IFERROR(Table10s4!S26*265,0)))</f>
        <v>NO</v>
      </c>
      <c r="T27" s="4108" t="str">
        <f>IF(SUM(Table10s2!T26,IFERROR(Table10s3!T26*28,0),IFERROR(Table10s4!T26*265,0))=0,"NO",SUM(Table10s2!T26,IFERROR(Table10s3!T26*28,0),IFERROR(Table10s4!T26*265,0)))</f>
        <v>NO</v>
      </c>
      <c r="U27" s="4108" t="str">
        <f>IF(SUM(Table10s2!U26,IFERROR(Table10s3!U26*28,0),IFERROR(Table10s4!U26*265,0))=0,"NO",SUM(Table10s2!U26,IFERROR(Table10s3!U26*28,0),IFERROR(Table10s4!U26*265,0)))</f>
        <v>NO</v>
      </c>
      <c r="V27" s="4108" t="str">
        <f>IF(SUM(Table10s2!V26,IFERROR(Table10s3!V26*28,0),IFERROR(Table10s4!V26*265,0))=0,"NO",SUM(Table10s2!V26,IFERROR(Table10s3!V26*28,0),IFERROR(Table10s4!V26*265,0)))</f>
        <v>NO</v>
      </c>
      <c r="W27" s="4108" t="str">
        <f>IF(SUM(Table10s2!W26,IFERROR(Table10s3!W26*28,0),IFERROR(Table10s4!W26*265,0))=0,"NO",SUM(Table10s2!W26,IFERROR(Table10s3!W26*28,0),IFERROR(Table10s4!W26*265,0)))</f>
        <v>NO</v>
      </c>
      <c r="X27" s="4108" t="str">
        <f>IF(SUM(Table10s2!X26,IFERROR(Table10s3!X26*28,0),IFERROR(Table10s4!X26*265,0))=0,"NO",SUM(Table10s2!X26,IFERROR(Table10s3!X26*28,0),IFERROR(Table10s4!X26*265,0)))</f>
        <v>NO</v>
      </c>
      <c r="Y27" s="4108" t="str">
        <f>IF(SUM(Table10s2!Y26,IFERROR(Table10s3!Y26*28,0),IFERROR(Table10s4!Y26*265,0))=0,"NO",SUM(Table10s2!Y26,IFERROR(Table10s3!Y26*28,0),IFERROR(Table10s4!Y26*265,0)))</f>
        <v>NO</v>
      </c>
      <c r="Z27" s="4108" t="str">
        <f>IF(SUM(Table10s2!Z26,IFERROR(Table10s3!Z26*28,0),IFERROR(Table10s4!Z26*265,0))=0,"NO",SUM(Table10s2!Z26,IFERROR(Table10s3!Z26*28,0),IFERROR(Table10s4!Z26*265,0)))</f>
        <v>NO</v>
      </c>
      <c r="AA27" s="4108" t="str">
        <f>IF(SUM(Table10s2!AA26,IFERROR(Table10s3!AA26*28,0),IFERROR(Table10s4!AA26*265,0))=0,"NO",SUM(Table10s2!AA26,IFERROR(Table10s3!AA26*28,0),IFERROR(Table10s4!AA26*265,0)))</f>
        <v>NO</v>
      </c>
      <c r="AB27" s="4108" t="str">
        <f>IF(SUM(Table10s2!AB26,IFERROR(Table10s3!AB26*28,0),IFERROR(Table10s4!AB26*265,0))=0,"NO",SUM(Table10s2!AB26,IFERROR(Table10s3!AB26*28,0),IFERROR(Table10s4!AB26*265,0)))</f>
        <v>NO</v>
      </c>
      <c r="AC27" s="4108" t="str">
        <f>IF(SUM(Table10s2!AC26,IFERROR(Table10s3!AC26*28,0),IFERROR(Table10s4!AC26*265,0))=0,"NO",SUM(Table10s2!AC26,IFERROR(Table10s3!AC26*28,0),IFERROR(Table10s4!AC26*265,0)))</f>
        <v>NO</v>
      </c>
      <c r="AD27" s="4108" t="str">
        <f>IF(SUM(Table10s2!AD26,IFERROR(Table10s3!AD26*28,0),IFERROR(Table10s4!AD26*265,0))=0,"NO",SUM(Table10s2!AD26,IFERROR(Table10s3!AD26*28,0),IFERROR(Table10s4!AD26*265,0)))</f>
        <v>NO</v>
      </c>
      <c r="AE27" s="4108" t="str">
        <f>IF(SUM(Table10s2!AE26,IFERROR(Table10s3!AE26*28,0),IFERROR(Table10s4!AE26*265,0))=0,"NO",SUM(Table10s2!AE26,IFERROR(Table10s3!AE26*28,0),IFERROR(Table10s4!AE26*265,0)))</f>
        <v>NO</v>
      </c>
      <c r="AF27" s="4108" t="str">
        <f>IF(SUM(Table10s2!AF26,IFERROR(Table10s3!AF26*28,0),IFERROR(Table10s4!AF26*265,0))=0,"NO",SUM(Table10s2!AF26,IFERROR(Table10s3!AF26*28,0),IFERROR(Table10s4!AF26*265,0)))</f>
        <v>NO</v>
      </c>
      <c r="AG27" s="4108" t="str">
        <f>IF(SUM(Table10s2!AG26,IFERROR(Table10s3!AG26*28,0),IFERROR(Table10s4!AG26*265,0))=0,"NO",SUM(Table10s2!AG26,IFERROR(Table10s3!AG26*28,0),IFERROR(Table10s4!AG26*265,0)))</f>
        <v>NO</v>
      </c>
      <c r="AH27" s="4108" t="str">
        <f>IF(SUM(Table10s2!AH26,IFERROR(Table10s3!AH26*28,0),IFERROR(Table10s4!AH26*265,0))=0,"NO",SUM(Table10s2!AH26,IFERROR(Table10s3!AH26*28,0),IFERROR(Table10s4!AH26*265,0)))</f>
        <v>NO</v>
      </c>
      <c r="AI27" s="4108" t="str">
        <f>IF(SUM(Table10s2!AI26,IFERROR(Table10s3!AI26*28,0),IFERROR(Table10s4!AI26*265,0))=0,"NO",SUM(Table10s2!AI26,IFERROR(Table10s3!AI26*28,0),IFERROR(Table10s4!AI26*265,0)))</f>
        <v>NO</v>
      </c>
      <c r="AJ27" s="4108" t="str">
        <f>IF(SUM(Table10s2!AJ26,IFERROR(Table10s3!AJ26*28,0),IFERROR(Table10s4!AJ26*265,0))=0,"NO",SUM(Table10s2!AJ26,IFERROR(Table10s3!AJ26*28,0),IFERROR(Table10s4!AJ26*265,0)))</f>
        <v>NO</v>
      </c>
      <c r="AK27" s="4101" t="str">
        <f t="shared" si="1"/>
        <v>NA</v>
      </c>
    </row>
    <row r="28" spans="2:37" ht="18" customHeight="1" x14ac:dyDescent="0.2">
      <c r="B28" s="1133" t="s">
        <v>1490</v>
      </c>
      <c r="C28" s="1995"/>
      <c r="D28" s="1995"/>
      <c r="E28" s="4094" t="s">
        <v>2146</v>
      </c>
      <c r="F28" s="4094" t="s">
        <v>2146</v>
      </c>
      <c r="G28" s="4094" t="s">
        <v>2146</v>
      </c>
      <c r="H28" s="4094" t="s">
        <v>2146</v>
      </c>
      <c r="I28" s="4094">
        <v>1.247732867952545</v>
      </c>
      <c r="J28" s="4094">
        <v>100.42499757385144</v>
      </c>
      <c r="K28" s="4094">
        <v>255.36317863094848</v>
      </c>
      <c r="L28" s="4094">
        <v>426.82299941723329</v>
      </c>
      <c r="M28" s="4094">
        <v>607.0172347661329</v>
      </c>
      <c r="N28" s="4094">
        <v>904.91759376843322</v>
      </c>
      <c r="O28" s="4094">
        <v>1150.492881143128</v>
      </c>
      <c r="P28" s="4094">
        <v>1547.7184967079174</v>
      </c>
      <c r="Q28" s="4094">
        <v>1939.8840539305438</v>
      </c>
      <c r="R28" s="4094">
        <v>2431.4413681307888</v>
      </c>
      <c r="S28" s="4094">
        <v>2925.3286647757277</v>
      </c>
      <c r="T28" s="4094">
        <v>3699.5141646572242</v>
      </c>
      <c r="U28" s="4094">
        <v>4108.7147366727786</v>
      </c>
      <c r="V28" s="4094">
        <v>4706.3765189513424</v>
      </c>
      <c r="W28" s="4094">
        <v>5286.3167534213244</v>
      </c>
      <c r="X28" s="4094">
        <v>6141.5462216641918</v>
      </c>
      <c r="Y28" s="4094">
        <v>6735.3322595752779</v>
      </c>
      <c r="Z28" s="4094">
        <v>7409.828679370049</v>
      </c>
      <c r="AA28" s="4094">
        <v>7816.4186628708076</v>
      </c>
      <c r="AB28" s="4094">
        <v>8187.2588327414187</v>
      </c>
      <c r="AC28" s="4094">
        <v>8837.371668775806</v>
      </c>
      <c r="AD28" s="4094">
        <v>9343.4630293335176</v>
      </c>
      <c r="AE28" s="4094">
        <v>9705.243412908605</v>
      </c>
      <c r="AF28" s="4094">
        <v>9922.2936700768223</v>
      </c>
      <c r="AG28" s="4094">
        <v>9891.6117285115197</v>
      </c>
      <c r="AH28" s="4094">
        <v>10688.47961393749</v>
      </c>
      <c r="AI28" s="4094">
        <v>10949.191718307844</v>
      </c>
      <c r="AJ28" s="4094">
        <v>11405.410872526385</v>
      </c>
      <c r="AK28" s="4101">
        <f t="shared" si="1"/>
        <v>100</v>
      </c>
    </row>
    <row r="29" spans="2:37" ht="18" customHeight="1" x14ac:dyDescent="0.2">
      <c r="B29" s="1133" t="s">
        <v>480</v>
      </c>
      <c r="C29" s="1995"/>
      <c r="D29" s="1995"/>
      <c r="E29" s="4094">
        <v>227.33126391232889</v>
      </c>
      <c r="F29" s="4094">
        <v>246.69030699012214</v>
      </c>
      <c r="G29" s="4094">
        <v>266.03666522364358</v>
      </c>
      <c r="H29" s="4094">
        <v>285.3688949537343</v>
      </c>
      <c r="I29" s="4094">
        <v>304.68198692506843</v>
      </c>
      <c r="J29" s="4094">
        <v>325.92330345973716</v>
      </c>
      <c r="K29" s="4094">
        <v>289.51363341418613</v>
      </c>
      <c r="L29" s="4094">
        <v>269.08845974170822</v>
      </c>
      <c r="M29" s="4094">
        <v>243.98668354023923</v>
      </c>
      <c r="N29" s="4094">
        <v>214.25096856722661</v>
      </c>
      <c r="O29" s="4094">
        <v>216.59870006999836</v>
      </c>
      <c r="P29" s="4094">
        <v>225.51312817449531</v>
      </c>
      <c r="Q29" s="4094">
        <v>232.00612349094484</v>
      </c>
      <c r="R29" s="4094">
        <v>236.14843822233468</v>
      </c>
      <c r="S29" s="4094">
        <v>237.74641315441517</v>
      </c>
      <c r="T29" s="4094">
        <v>202.23967297118685</v>
      </c>
      <c r="U29" s="4094">
        <v>191.78131355969191</v>
      </c>
      <c r="V29" s="4094">
        <v>180.50437484164183</v>
      </c>
      <c r="W29" s="4094">
        <v>168.33889499727522</v>
      </c>
      <c r="X29" s="4094">
        <v>151.50594481761419</v>
      </c>
      <c r="Y29" s="4094">
        <v>133.79449716413717</v>
      </c>
      <c r="Z29" s="4094">
        <v>121.78268935599188</v>
      </c>
      <c r="AA29" s="4094">
        <v>118.51069108917444</v>
      </c>
      <c r="AB29" s="4094">
        <v>111.49092341544214</v>
      </c>
      <c r="AC29" s="4094">
        <v>108.87625703363453</v>
      </c>
      <c r="AD29" s="4094">
        <v>119.73884475683391</v>
      </c>
      <c r="AE29" s="4094">
        <v>120.72109384232132</v>
      </c>
      <c r="AF29" s="4094">
        <v>118.8988343564875</v>
      </c>
      <c r="AG29" s="4094">
        <v>149.72530244911653</v>
      </c>
      <c r="AH29" s="4094">
        <v>141.06361511560291</v>
      </c>
      <c r="AI29" s="4094">
        <v>108.87118016121181</v>
      </c>
      <c r="AJ29" s="4094">
        <v>162.36139181563749</v>
      </c>
      <c r="AK29" s="4101">
        <f t="shared" si="1"/>
        <v>-28.579382782012459</v>
      </c>
    </row>
    <row r="30" spans="2:37" ht="18" customHeight="1" thickBot="1" x14ac:dyDescent="0.25">
      <c r="B30" s="1375" t="s">
        <v>1715</v>
      </c>
      <c r="C30" s="2013"/>
      <c r="D30" s="2013"/>
      <c r="E30" s="4093">
        <f>IF(SUM(Table10s2!E29,IFERROR(Table10s3!E29*28,0),IFERROR(Table10s4!E29*265,0))=0,"NO",SUM(Table10s2!E29,IFERROR(Table10s3!E29*28,0),IFERROR(Table10s4!E29*265,0)))</f>
        <v>82.573034651705768</v>
      </c>
      <c r="F30" s="4093">
        <f>IF(SUM(Table10s2!F29,IFERROR(Table10s3!F29*28,0),IFERROR(Table10s4!F29*265,0))=0,"NO",SUM(Table10s2!F29,IFERROR(Table10s3!F29*28,0),IFERROR(Table10s4!F29*265,0)))</f>
        <v>85.06805102123964</v>
      </c>
      <c r="G30" s="4111">
        <f>IF(SUM(Table10s2!G29,IFERROR(Table10s3!G29*28,0),IFERROR(Table10s4!G29*265,0))=0,"NO",SUM(Table10s2!G29,IFERROR(Table10s3!G29*28,0),IFERROR(Table10s4!G29*265,0)))</f>
        <v>87.563067390773512</v>
      </c>
      <c r="H30" s="4111">
        <f>IF(SUM(Table10s2!H29,IFERROR(Table10s3!H29*28,0),IFERROR(Table10s4!H29*265,0))=0,"NO",SUM(Table10s2!H29,IFERROR(Table10s3!H29*28,0),IFERROR(Table10s4!H29*265,0)))</f>
        <v>90.058083760307383</v>
      </c>
      <c r="I30" s="4111">
        <f>IF(SUM(Table10s2!I29,IFERROR(Table10s3!I29*28,0),IFERROR(Table10s4!I29*265,0))=0,"NO",SUM(Table10s2!I29,IFERROR(Table10s3!I29*28,0),IFERROR(Table10s4!I29*265,0)))</f>
        <v>92.553100129841269</v>
      </c>
      <c r="J30" s="4111">
        <f>IF(SUM(Table10s2!J29,IFERROR(Table10s3!J29*28,0),IFERROR(Table10s4!J29*265,0))=0,"NO",SUM(Table10s2!J29,IFERROR(Table10s3!J29*28,0),IFERROR(Table10s4!J29*265,0)))</f>
        <v>138.84811649937512</v>
      </c>
      <c r="K30" s="4111">
        <f>IF(SUM(Table10s2!K29,IFERROR(Table10s3!K29*28,0),IFERROR(Table10s4!K29*265,0))=0,"NO",SUM(Table10s2!K29,IFERROR(Table10s3!K29*28,0),IFERROR(Table10s4!K29*265,0)))</f>
        <v>139.15682964310255</v>
      </c>
      <c r="L30" s="4111">
        <f>IF(SUM(Table10s2!L29,IFERROR(Table10s3!L29*28,0),IFERROR(Table10s4!L29*265,0))=0,"NO",SUM(Table10s2!L29,IFERROR(Table10s3!L29*28,0),IFERROR(Table10s4!L29*265,0)))</f>
        <v>142.58883310941064</v>
      </c>
      <c r="M30" s="4111">
        <f>IF(SUM(Table10s2!M29,IFERROR(Table10s3!M29*28,0),IFERROR(Table10s4!M29*265,0))=0,"NO",SUM(Table10s2!M29,IFERROR(Table10s3!M29*28,0),IFERROR(Table10s4!M29*265,0)))</f>
        <v>140.46137980152514</v>
      </c>
      <c r="N30" s="4111">
        <f>IF(SUM(Table10s2!N29,IFERROR(Table10s3!N29*28,0),IFERROR(Table10s4!N29*265,0))=0,"NO",SUM(Table10s2!N29,IFERROR(Table10s3!N29*28,0),IFERROR(Table10s4!N29*265,0)))</f>
        <v>142.79295785880095</v>
      </c>
      <c r="O30" s="4111">
        <f>IF(SUM(Table10s2!O29,IFERROR(Table10s3!O29*28,0),IFERROR(Table10s4!O29*265,0))=0,"NO",SUM(Table10s2!O29,IFERROR(Table10s3!O29*28,0),IFERROR(Table10s4!O29*265,0)))</f>
        <v>145.12453591607675</v>
      </c>
      <c r="P30" s="4111">
        <f>IF(SUM(Table10s2!P29,IFERROR(Table10s3!P29*28,0),IFERROR(Table10s4!P29*265,0))=0,"NO",SUM(Table10s2!P29,IFERROR(Table10s3!P29*28,0),IFERROR(Table10s4!P29*265,0)))</f>
        <v>147.45611397335256</v>
      </c>
      <c r="Q30" s="4111">
        <f>IF(SUM(Table10s2!Q29,IFERROR(Table10s3!Q29*28,0),IFERROR(Table10s4!Q29*265,0))=0,"NO",SUM(Table10s2!Q29,IFERROR(Table10s3!Q29*28,0),IFERROR(Table10s4!Q29*265,0)))</f>
        <v>149.78769203062836</v>
      </c>
      <c r="R30" s="4111">
        <f>IF(SUM(Table10s2!R29,IFERROR(Table10s3!R29*28,0),IFERROR(Table10s4!R29*265,0))=0,"NO",SUM(Table10s2!R29,IFERROR(Table10s3!R29*28,0),IFERROR(Table10s4!R29*265,0)))</f>
        <v>151.85917290120341</v>
      </c>
      <c r="S30" s="4111">
        <f>IF(SUM(Table10s2!S29,IFERROR(Table10s3!S29*28,0),IFERROR(Table10s4!S29*265,0))=0,"NO",SUM(Table10s2!S29,IFERROR(Table10s3!S29*28,0),IFERROR(Table10s4!S29*265,0)))</f>
        <v>165.00635080543125</v>
      </c>
      <c r="T30" s="4111">
        <f>IF(SUM(Table10s2!T29,IFERROR(Table10s3!T29*28,0),IFERROR(Table10s4!T29*265,0))=0,"NO",SUM(Table10s2!T29,IFERROR(Table10s3!T29*28,0),IFERROR(Table10s4!T29*265,0)))</f>
        <v>167.46870708773244</v>
      </c>
      <c r="U30" s="4111">
        <f>IF(SUM(Table10s2!U29,IFERROR(Table10s3!U29*28,0),IFERROR(Table10s4!U29*265,0))=0,"NO",SUM(Table10s2!U29,IFERROR(Table10s3!U29*28,0),IFERROR(Table10s4!U29*265,0)))</f>
        <v>160.49409054511213</v>
      </c>
      <c r="V30" s="4111">
        <f>IF(SUM(Table10s2!V29,IFERROR(Table10s3!V29*28,0),IFERROR(Table10s4!V29*265,0))=0,"NO",SUM(Table10s2!V29,IFERROR(Table10s3!V29*28,0),IFERROR(Table10s4!V29*265,0)))</f>
        <v>148.28584415160208</v>
      </c>
      <c r="W30" s="4111">
        <f>IF(SUM(Table10s2!W29,IFERROR(Table10s3!W29*28,0),IFERROR(Table10s4!W29*265,0))=0,"NO",SUM(Table10s2!W29,IFERROR(Table10s3!W29*28,0),IFERROR(Table10s4!W29*265,0)))</f>
        <v>163.37983983135788</v>
      </c>
      <c r="X30" s="4111">
        <f>IF(SUM(Table10s2!X29,IFERROR(Table10s3!X29*28,0),IFERROR(Table10s4!X29*265,0))=0,"NO",SUM(Table10s2!X29,IFERROR(Table10s3!X29*28,0),IFERROR(Table10s4!X29*265,0)))</f>
        <v>161.40890909572053</v>
      </c>
      <c r="Y30" s="4111">
        <f>IF(SUM(Table10s2!Y29,IFERROR(Table10s3!Y29*28,0),IFERROR(Table10s4!Y29*265,0))=0,"NO",SUM(Table10s2!Y29,IFERROR(Table10s3!Y29*28,0),IFERROR(Table10s4!Y29*265,0)))</f>
        <v>231.45286901003672</v>
      </c>
      <c r="Z30" s="4111">
        <f>IF(SUM(Table10s2!Z29,IFERROR(Table10s3!Z29*28,0),IFERROR(Table10s4!Z29*265,0))=0,"NO",SUM(Table10s2!Z29,IFERROR(Table10s3!Z29*28,0),IFERROR(Table10s4!Z29*265,0)))</f>
        <v>261.5775182716128</v>
      </c>
      <c r="AA30" s="4111">
        <f>IF(SUM(Table10s2!AA29,IFERROR(Table10s3!AA29*28,0),IFERROR(Table10s4!AA29*265,0))=0,"NO",SUM(Table10s2!AA29,IFERROR(Table10s3!AA29*28,0),IFERROR(Table10s4!AA29*265,0)))</f>
        <v>218.00598284134924</v>
      </c>
      <c r="AB30" s="4111">
        <f>IF(SUM(Table10s2!AB29,IFERROR(Table10s3!AB29*28,0),IFERROR(Table10s4!AB29*265,0))=0,"NO",SUM(Table10s2!AB29,IFERROR(Table10s3!AB29*28,0),IFERROR(Table10s4!AB29*265,0)))</f>
        <v>240.36833455150557</v>
      </c>
      <c r="AC30" s="4111">
        <f>IF(SUM(Table10s2!AC29,IFERROR(Table10s3!AC29*28,0),IFERROR(Table10s4!AC29*265,0))=0,"NO",SUM(Table10s2!AC29,IFERROR(Table10s3!AC29*28,0),IFERROR(Table10s4!AC29*265,0)))</f>
        <v>201.69877278028781</v>
      </c>
      <c r="AD30" s="4111">
        <f>IF(SUM(Table10s2!AD29,IFERROR(Table10s3!AD29*28,0),IFERROR(Table10s4!AD29*265,0))=0,"NO",SUM(Table10s2!AD29,IFERROR(Table10s3!AD29*28,0),IFERROR(Table10s4!AD29*265,0)))</f>
        <v>215.73207564860138</v>
      </c>
      <c r="AE30" s="4111">
        <f>IF(SUM(Table10s2!AE29,IFERROR(Table10s3!AE29*28,0),IFERROR(Table10s4!AE29*265,0))=0,"NO",SUM(Table10s2!AE29,IFERROR(Table10s3!AE29*28,0),IFERROR(Table10s4!AE29*265,0)))</f>
        <v>272.83433454819283</v>
      </c>
      <c r="AF30" s="4111">
        <f>IF(SUM(Table10s2!AF29,IFERROR(Table10s3!AF29*28,0),IFERROR(Table10s4!AF29*265,0))=0,"NO",SUM(Table10s2!AF29,IFERROR(Table10s3!AF29*28,0),IFERROR(Table10s4!AF29*265,0)))</f>
        <v>213.3027035481928</v>
      </c>
      <c r="AG30" s="4111">
        <f>IF(SUM(Table10s2!AG29,IFERROR(Table10s3!AG29*28,0),IFERROR(Table10s4!AG29*265,0))=0,"NO",SUM(Table10s2!AG29,IFERROR(Table10s3!AG29*28,0),IFERROR(Table10s4!AG29*265,0)))</f>
        <v>218.8972661822873</v>
      </c>
      <c r="AH30" s="4111">
        <f>IF(SUM(Table10s2!AH29,IFERROR(Table10s3!AH29*28,0),IFERROR(Table10s4!AH29*265,0))=0,"NO",SUM(Table10s2!AH29,IFERROR(Table10s3!AH29*28,0),IFERROR(Table10s4!AH29*265,0)))</f>
        <v>218.99463518228731</v>
      </c>
      <c r="AI30" s="4111">
        <f>IF(SUM(Table10s2!AI29,IFERROR(Table10s3!AI29*28,0),IFERROR(Table10s4!AI29*265,0))=0,"NO",SUM(Table10s2!AI29,IFERROR(Table10s3!AI29*28,0),IFERROR(Table10s4!AI29*265,0)))</f>
        <v>213.54650957533741</v>
      </c>
      <c r="AJ30" s="4111">
        <f>IF(SUM(Table10s2!AJ29,IFERROR(Table10s3!AJ29*28,0),IFERROR(Table10s4!AJ29*265,0))=0,"NO",SUM(Table10s2!AJ29,IFERROR(Table10s3!AJ29*28,0),IFERROR(Table10s4!AJ29*265,0)))</f>
        <v>225.77854781948912</v>
      </c>
      <c r="AK30" s="4092">
        <f t="shared" si="1"/>
        <v>173.42890905224232</v>
      </c>
    </row>
    <row r="31" spans="2:37" ht="18" customHeight="1" x14ac:dyDescent="0.2">
      <c r="B31" s="766" t="s">
        <v>1491</v>
      </c>
      <c r="C31" s="1994"/>
      <c r="D31" s="1994"/>
      <c r="E31" s="4113">
        <f>IF(SUM(Table10s2!E30,IFERROR(Table10s3!E30*28,0),IFERROR(Table10s4!E30*265,0))=0,"NO",SUM(Table10s2!E30,IFERROR(Table10s3!E30*28,0),IFERROR(Table10s4!E30*265,0)))</f>
        <v>92095.804147061557</v>
      </c>
      <c r="F31" s="4113">
        <f>IF(SUM(Table10s2!F30,IFERROR(Table10s3!F30*28,0),IFERROR(Table10s4!F30*265,0))=0,"NO",SUM(Table10s2!F30,IFERROR(Table10s3!F30*28,0),IFERROR(Table10s4!F30*265,0)))</f>
        <v>91260.931035067275</v>
      </c>
      <c r="G31" s="4116">
        <f>IF(SUM(Table10s2!G30,IFERROR(Table10s3!G30*28,0),IFERROR(Table10s4!G30*265,0))=0,"NO",SUM(Table10s2!G30,IFERROR(Table10s3!G30*28,0),IFERROR(Table10s4!G30*265,0)))</f>
        <v>88317.426632831659</v>
      </c>
      <c r="H31" s="4116">
        <f>IF(SUM(Table10s2!H30,IFERROR(Table10s3!H30*28,0),IFERROR(Table10s4!H30*265,0))=0,"NO",SUM(Table10s2!H30,IFERROR(Table10s3!H30*28,0),IFERROR(Table10s4!H30*265,0)))</f>
        <v>86069.359285803599</v>
      </c>
      <c r="I31" s="4116">
        <f>IF(SUM(Table10s2!I30,IFERROR(Table10s3!I30*28,0),IFERROR(Table10s4!I30*265,0))=0,"NO",SUM(Table10s2!I30,IFERROR(Table10s3!I30*28,0),IFERROR(Table10s4!I30*265,0)))</f>
        <v>86039.101699400533</v>
      </c>
      <c r="J31" s="4116">
        <f>IF(SUM(Table10s2!J30,IFERROR(Table10s3!J30*28,0),IFERROR(Table10s4!J30*265,0))=0,"NO",SUM(Table10s2!J30,IFERROR(Table10s3!J30*28,0),IFERROR(Table10s4!J30*265,0)))</f>
        <v>82278.653222943642</v>
      </c>
      <c r="K31" s="4116">
        <f>IF(SUM(Table10s2!K30,IFERROR(Table10s3!K30*28,0),IFERROR(Table10s4!K30*265,0))=0,"NO",SUM(Table10s2!K30,IFERROR(Table10s3!K30*28,0),IFERROR(Table10s4!K30*265,0)))</f>
        <v>84494.533106321687</v>
      </c>
      <c r="L31" s="4116">
        <f>IF(SUM(Table10s2!L30,IFERROR(Table10s3!L30*28,0),IFERROR(Table10s4!L30*265,0))=0,"NO",SUM(Table10s2!L30,IFERROR(Table10s3!L30*28,0),IFERROR(Table10s4!L30*265,0)))</f>
        <v>85697.551413499634</v>
      </c>
      <c r="M31" s="4116">
        <f>IF(SUM(Table10s2!M30,IFERROR(Table10s3!M30*28,0),IFERROR(Table10s4!M30*265,0))=0,"NO",SUM(Table10s2!M30,IFERROR(Table10s3!M30*28,0),IFERROR(Table10s4!M30*265,0)))</f>
        <v>85442.196799366357</v>
      </c>
      <c r="N31" s="4116">
        <f>IF(SUM(Table10s2!N30,IFERROR(Table10s3!N30*28,0),IFERROR(Table10s4!N30*265,0))=0,"NO",SUM(Table10s2!N30,IFERROR(Table10s3!N30*28,0),IFERROR(Table10s4!N30*265,0)))</f>
        <v>85399.78777881217</v>
      </c>
      <c r="O31" s="4116">
        <f>IF(SUM(Table10s2!O30,IFERROR(Table10s3!O30*28,0),IFERROR(Table10s4!O30*265,0))=0,"NO",SUM(Table10s2!O30,IFERROR(Table10s3!O30*28,0),IFERROR(Table10s4!O30*265,0)))</f>
        <v>88716.219560668018</v>
      </c>
      <c r="P31" s="4116">
        <f>IF(SUM(Table10s2!P30,IFERROR(Table10s3!P30*28,0),IFERROR(Table10s4!P30*265,0))=0,"NO",SUM(Table10s2!P30,IFERROR(Table10s3!P30*28,0),IFERROR(Table10s4!P30*265,0)))</f>
        <v>87630.110994635266</v>
      </c>
      <c r="Q31" s="4116">
        <f>IF(SUM(Table10s2!Q30,IFERROR(Table10s3!Q30*28,0),IFERROR(Table10s4!Q30*265,0))=0,"NO",SUM(Table10s2!Q30,IFERROR(Table10s3!Q30*28,0),IFERROR(Table10s4!Q30*265,0)))</f>
        <v>87436.175833379355</v>
      </c>
      <c r="R31" s="4116">
        <f>IF(SUM(Table10s2!R30,IFERROR(Table10s3!R30*28,0),IFERROR(Table10s4!R30*265,0))=0,"NO",SUM(Table10s2!R30,IFERROR(Table10s3!R30*28,0),IFERROR(Table10s4!R30*265,0)))</f>
        <v>81706.553095220734</v>
      </c>
      <c r="S31" s="4116">
        <f>IF(SUM(Table10s2!S30,IFERROR(Table10s3!S30*28,0),IFERROR(Table10s4!S30*265,0))=0,"NO",SUM(Table10s2!S30,IFERROR(Table10s3!S30*28,0),IFERROR(Table10s4!S30*265,0)))</f>
        <v>85250.7584112724</v>
      </c>
      <c r="T31" s="4116">
        <f>IF(SUM(Table10s2!T30,IFERROR(Table10s3!T30*28,0),IFERROR(Table10s4!T30*265,0))=0,"NO",SUM(Table10s2!T30,IFERROR(Table10s3!T30*28,0),IFERROR(Table10s4!T30*265,0)))</f>
        <v>85972.448816698699</v>
      </c>
      <c r="U31" s="4116">
        <f>IF(SUM(Table10s2!U30,IFERROR(Table10s3!U30*28,0),IFERROR(Table10s4!U30*265,0))=0,"NO",SUM(Table10s2!U30,IFERROR(Table10s3!U30*28,0),IFERROR(Table10s4!U30*265,0)))</f>
        <v>84279.979283064458</v>
      </c>
      <c r="V31" s="4116">
        <f>IF(SUM(Table10s2!V30,IFERROR(Table10s3!V30*28,0),IFERROR(Table10s4!V30*265,0))=0,"NO",SUM(Table10s2!V30,IFERROR(Table10s3!V30*28,0),IFERROR(Table10s4!V30*265,0)))</f>
        <v>80288.282016111873</v>
      </c>
      <c r="W31" s="4116">
        <f>IF(SUM(Table10s2!W30,IFERROR(Table10s3!W30*28,0),IFERROR(Table10s4!W30*265,0))=0,"NO",SUM(Table10s2!W30,IFERROR(Table10s3!W30*28,0),IFERROR(Table10s4!W30*265,0)))</f>
        <v>77553.224284943964</v>
      </c>
      <c r="X31" s="4116">
        <f>IF(SUM(Table10s2!X30,IFERROR(Table10s3!X30*28,0),IFERROR(Table10s4!X30*265,0))=0,"NO",SUM(Table10s2!X30,IFERROR(Table10s3!X30*28,0),IFERROR(Table10s4!X30*265,0)))</f>
        <v>77745.964005901857</v>
      </c>
      <c r="Y31" s="4116">
        <f>IF(SUM(Table10s2!Y30,IFERROR(Table10s3!Y30*28,0),IFERROR(Table10s4!Y30*265,0))=0,"NO",SUM(Table10s2!Y30,IFERROR(Table10s3!Y30*28,0),IFERROR(Table10s4!Y30*265,0)))</f>
        <v>75100.435050210945</v>
      </c>
      <c r="Z31" s="4116">
        <f>IF(SUM(Table10s2!Z30,IFERROR(Table10s3!Z30*28,0),IFERROR(Table10s4!Z30*265,0))=0,"NO",SUM(Table10s2!Z30,IFERROR(Table10s3!Z30*28,0),IFERROR(Table10s4!Z30*265,0)))</f>
        <v>79931.896680644873</v>
      </c>
      <c r="AA31" s="4116">
        <f>IF(SUM(Table10s2!AA30,IFERROR(Table10s3!AA30*28,0),IFERROR(Table10s4!AA30*265,0))=0,"NO",SUM(Table10s2!AA30,IFERROR(Table10s3!AA30*28,0),IFERROR(Table10s4!AA30*265,0)))</f>
        <v>81442.774613845759</v>
      </c>
      <c r="AB31" s="4116">
        <f>IF(SUM(Table10s2!AB30,IFERROR(Table10s3!AB30*28,0),IFERROR(Table10s4!AB30*265,0))=0,"NO",SUM(Table10s2!AB30,IFERROR(Table10s3!AB30*28,0),IFERROR(Table10s4!AB30*265,0)))</f>
        <v>81700.263287677226</v>
      </c>
      <c r="AC31" s="4116">
        <f>IF(SUM(Table10s2!AC30,IFERROR(Table10s3!AC30*28,0),IFERROR(Table10s4!AC30*265,0))=0,"NO",SUM(Table10s2!AC30,IFERROR(Table10s3!AC30*28,0),IFERROR(Table10s4!AC30*265,0)))</f>
        <v>82028.017413753856</v>
      </c>
      <c r="AD31" s="4116">
        <f>IF(SUM(Table10s2!AD30,IFERROR(Table10s3!AD30*28,0),IFERROR(Table10s4!AD30*265,0))=0,"NO",SUM(Table10s2!AD30,IFERROR(Table10s3!AD30*28,0),IFERROR(Table10s4!AD30*265,0)))</f>
        <v>78940.405254769008</v>
      </c>
      <c r="AE31" s="4116">
        <f>IF(SUM(Table10s2!AE30,IFERROR(Table10s3!AE30*28,0),IFERROR(Table10s4!AE30*265,0))=0,"NO",SUM(Table10s2!AE30,IFERROR(Table10s3!AE30*28,0),IFERROR(Table10s4!AE30*265,0)))</f>
        <v>77867.407749464794</v>
      </c>
      <c r="AF31" s="4116">
        <f>IF(SUM(Table10s2!AF30,IFERROR(Table10s3!AF30*28,0),IFERROR(Table10s4!AF30*265,0))=0,"NO",SUM(Table10s2!AF30,IFERROR(Table10s3!AF30*28,0),IFERROR(Table10s4!AF30*265,0)))</f>
        <v>81857.281094811449</v>
      </c>
      <c r="AG31" s="4116">
        <f>IF(SUM(Table10s2!AG30,IFERROR(Table10s3!AG30*28,0),IFERROR(Table10s4!AG30*265,0))=0,"NO",SUM(Table10s2!AG30,IFERROR(Table10s3!AG30*28,0),IFERROR(Table10s4!AG30*265,0)))</f>
        <v>80580.478242490601</v>
      </c>
      <c r="AH31" s="4116">
        <f>IF(SUM(Table10s2!AH30,IFERROR(Table10s3!AH30*28,0),IFERROR(Table10s4!AH30*265,0))=0,"NO",SUM(Table10s2!AH30,IFERROR(Table10s3!AH30*28,0),IFERROR(Table10s4!AH30*265,0)))</f>
        <v>75065.863604061029</v>
      </c>
      <c r="AI31" s="4116">
        <f>IF(SUM(Table10s2!AI30,IFERROR(Table10s3!AI30*28,0),IFERROR(Table10s4!AI30*265,0))=0,"NO",SUM(Table10s2!AI30,IFERROR(Table10s3!AI30*28,0),IFERROR(Table10s4!AI30*265,0)))</f>
        <v>72642.234949386388</v>
      </c>
      <c r="AJ31" s="4116">
        <f>IF(SUM(Table10s2!AJ30,IFERROR(Table10s3!AJ30*28,0),IFERROR(Table10s4!AJ30*265,0))=0,"NO",SUM(Table10s2!AJ30,IFERROR(Table10s3!AJ30*28,0),IFERROR(Table10s4!AJ30*265,0)))</f>
        <v>78254.24393992807</v>
      </c>
      <c r="AK31" s="4082">
        <f t="shared" si="1"/>
        <v>-15.029523152901561</v>
      </c>
    </row>
    <row r="32" spans="2:37" ht="18" customHeight="1" x14ac:dyDescent="0.2">
      <c r="B32" s="1135" t="s">
        <v>1492</v>
      </c>
      <c r="C32" s="1995"/>
      <c r="D32" s="1995"/>
      <c r="E32" s="4094">
        <f>IF(SUM(Table10s2!E31,IFERROR(Table10s3!E31*28,0),IFERROR(Table10s4!E31*265,0))=0,"NO",SUM(Table10s2!E31,IFERROR(Table10s3!E31*28,0),IFERROR(Table10s4!E31*265,0)))</f>
        <v>72388.855630241276</v>
      </c>
      <c r="F32" s="4094">
        <f>IF(SUM(Table10s2!F31,IFERROR(Table10s3!F31*28,0),IFERROR(Table10s4!F31*265,0))=0,"NO",SUM(Table10s2!F31,IFERROR(Table10s3!F31*28,0),IFERROR(Table10s4!F31*265,0)))</f>
        <v>71942.905081333622</v>
      </c>
      <c r="G32" s="4108">
        <f>IF(SUM(Table10s2!G31,IFERROR(Table10s3!G31*28,0),IFERROR(Table10s4!G31*265,0))=0,"NO",SUM(Table10s2!G31,IFERROR(Table10s3!G31*28,0),IFERROR(Table10s4!G31*265,0)))</f>
        <v>69372.533398599189</v>
      </c>
      <c r="H32" s="4108">
        <f>IF(SUM(Table10s2!H31,IFERROR(Table10s3!H31*28,0),IFERROR(Table10s4!H31*265,0))=0,"NO",SUM(Table10s2!H31,IFERROR(Table10s3!H31*28,0),IFERROR(Table10s4!H31*265,0)))</f>
        <v>67083.763600577935</v>
      </c>
      <c r="I32" s="4108">
        <f>IF(SUM(Table10s2!I31,IFERROR(Table10s3!I31*28,0),IFERROR(Table10s4!I31*265,0))=0,"NO",SUM(Table10s2!I31,IFERROR(Table10s3!I31*28,0),IFERROR(Table10s4!I31*265,0)))</f>
        <v>66501.978291400708</v>
      </c>
      <c r="J32" s="4108">
        <f>IF(SUM(Table10s2!J31,IFERROR(Table10s3!J31*28,0),IFERROR(Table10s4!J31*265,0))=0,"NO",SUM(Table10s2!J31,IFERROR(Table10s3!J31*28,0),IFERROR(Table10s4!J31*265,0)))</f>
        <v>64110.095741667472</v>
      </c>
      <c r="K32" s="4108">
        <f>IF(SUM(Table10s2!K31,IFERROR(Table10s3!K31*28,0),IFERROR(Table10s4!K31*265,0))=0,"NO",SUM(Table10s2!K31,IFERROR(Table10s3!K31*28,0),IFERROR(Table10s4!K31*265,0)))</f>
        <v>65184.522540685604</v>
      </c>
      <c r="L32" s="4108">
        <f>IF(SUM(Table10s2!L31,IFERROR(Table10s3!L31*28,0),IFERROR(Table10s4!L31*265,0))=0,"NO",SUM(Table10s2!L31,IFERROR(Table10s3!L31*28,0),IFERROR(Table10s4!L31*265,0)))</f>
        <v>65448.138284692308</v>
      </c>
      <c r="M32" s="4108">
        <f>IF(SUM(Table10s2!M31,IFERROR(Table10s3!M31*28,0),IFERROR(Table10s4!M31*265,0))=0,"NO",SUM(Table10s2!M31,IFERROR(Table10s3!M31*28,0),IFERROR(Table10s4!M31*265,0)))</f>
        <v>65196.389235733659</v>
      </c>
      <c r="N32" s="4108">
        <f>IF(SUM(Table10s2!N31,IFERROR(Table10s3!N31*28,0),IFERROR(Table10s4!N31*265,0))=0,"NO",SUM(Table10s2!N31,IFERROR(Table10s3!N31*28,0),IFERROR(Table10s4!N31*265,0)))</f>
        <v>64685.154963918707</v>
      </c>
      <c r="O32" s="4108">
        <f>IF(SUM(Table10s2!O31,IFERROR(Table10s3!O31*28,0),IFERROR(Table10s4!O31*265,0))=0,"NO",SUM(Table10s2!O31,IFERROR(Table10s3!O31*28,0),IFERROR(Table10s4!O31*265,0)))</f>
        <v>67093.508119634833</v>
      </c>
      <c r="P32" s="4108">
        <f>IF(SUM(Table10s2!P31,IFERROR(Table10s3!P31*28,0),IFERROR(Table10s4!P31*265,0))=0,"NO",SUM(Table10s2!P31,IFERROR(Table10s3!P31*28,0),IFERROR(Table10s4!P31*265,0)))</f>
        <v>65555.480579126437</v>
      </c>
      <c r="Q32" s="4108">
        <f>IF(SUM(Table10s2!Q31,IFERROR(Table10s3!Q31*28,0),IFERROR(Table10s4!Q31*265,0))=0,"NO",SUM(Table10s2!Q31,IFERROR(Table10s3!Q31*28,0),IFERROR(Table10s4!Q31*265,0)))</f>
        <v>65130.183496241167</v>
      </c>
      <c r="R32" s="4108">
        <f>IF(SUM(Table10s2!R31,IFERROR(Table10s3!R31*28,0),IFERROR(Table10s4!R31*265,0))=0,"NO",SUM(Table10s2!R31,IFERROR(Table10s3!R31*28,0),IFERROR(Table10s4!R31*265,0)))</f>
        <v>62003.535671899677</v>
      </c>
      <c r="S32" s="4108">
        <f>IF(SUM(Table10s2!S31,IFERROR(Table10s3!S31*28,0),IFERROR(Table10s4!S31*265,0))=0,"NO",SUM(Table10s2!S31,IFERROR(Table10s3!S31*28,0),IFERROR(Table10s4!S31*265,0)))</f>
        <v>63611.225066302235</v>
      </c>
      <c r="T32" s="4108">
        <f>IF(SUM(Table10s2!T31,IFERROR(Table10s3!T31*28,0),IFERROR(Table10s4!T31*265,0))=0,"NO",SUM(Table10s2!T31,IFERROR(Table10s3!T31*28,0),IFERROR(Table10s4!T31*265,0)))</f>
        <v>64251.044269160098</v>
      </c>
      <c r="U32" s="4108">
        <f>IF(SUM(Table10s2!U31,IFERROR(Table10s3!U31*28,0),IFERROR(Table10s4!U31*265,0))=0,"NO",SUM(Table10s2!U31,IFERROR(Table10s3!U31*28,0),IFERROR(Table10s4!U31*265,0)))</f>
        <v>62465.227507263589</v>
      </c>
      <c r="V32" s="4108">
        <f>IF(SUM(Table10s2!V31,IFERROR(Table10s3!V31*28,0),IFERROR(Table10s4!V31*265,0))=0,"NO",SUM(Table10s2!V31,IFERROR(Table10s3!V31*28,0),IFERROR(Table10s4!V31*265,0)))</f>
        <v>60784.847687596397</v>
      </c>
      <c r="W32" s="4108">
        <f>IF(SUM(Table10s2!W31,IFERROR(Table10s3!W31*28,0),IFERROR(Table10s4!W31*265,0))=0,"NO",SUM(Table10s2!W31,IFERROR(Table10s3!W31*28,0),IFERROR(Table10s4!W31*265,0)))</f>
        <v>58417.006486717306</v>
      </c>
      <c r="X32" s="4108">
        <f>IF(SUM(Table10s2!X31,IFERROR(Table10s3!X31*28,0),IFERROR(Table10s4!X31*265,0))=0,"NO",SUM(Table10s2!X31,IFERROR(Table10s3!X31*28,0),IFERROR(Table10s4!X31*265,0)))</f>
        <v>57978.533657850538</v>
      </c>
      <c r="Y32" s="4108">
        <f>IF(SUM(Table10s2!Y31,IFERROR(Table10s3!Y31*28,0),IFERROR(Table10s4!Y31*265,0))=0,"NO",SUM(Table10s2!Y31,IFERROR(Table10s3!Y31*28,0),IFERROR(Table10s4!Y31*265,0)))</f>
        <v>55261.450143362061</v>
      </c>
      <c r="Z32" s="4108">
        <f>IF(SUM(Table10s2!Z31,IFERROR(Table10s3!Z31*28,0),IFERROR(Table10s4!Z31*265,0))=0,"NO",SUM(Table10s2!Z31,IFERROR(Table10s3!Z31*28,0),IFERROR(Table10s4!Z31*265,0)))</f>
        <v>58542.948397874294</v>
      </c>
      <c r="AA32" s="4108">
        <f>IF(SUM(Table10s2!AA31,IFERROR(Table10s3!AA31*28,0),IFERROR(Table10s4!AA31*265,0))=0,"NO",SUM(Table10s2!AA31,IFERROR(Table10s3!AA31*28,0),IFERROR(Table10s4!AA31*265,0)))</f>
        <v>59481.05033928981</v>
      </c>
      <c r="AB32" s="4108">
        <f>IF(SUM(Table10s2!AB31,IFERROR(Table10s3!AB31*28,0),IFERROR(Table10s4!AB31*265,0))=0,"NO",SUM(Table10s2!AB31,IFERROR(Table10s3!AB31*28,0),IFERROR(Table10s4!AB31*265,0)))</f>
        <v>59906.922941693978</v>
      </c>
      <c r="AC32" s="4108">
        <f>IF(SUM(Table10s2!AC31,IFERROR(Table10s3!AC31*28,0),IFERROR(Table10s4!AC31*265,0))=0,"NO",SUM(Table10s2!AC31,IFERROR(Table10s3!AC31*28,0),IFERROR(Table10s4!AC31*265,0)))</f>
        <v>59312.623537164516</v>
      </c>
      <c r="AD32" s="4108">
        <f>IF(SUM(Table10s2!AD31,IFERROR(Table10s3!AD31*28,0),IFERROR(Table10s4!AD31*265,0))=0,"NO",SUM(Table10s2!AD31,IFERROR(Table10s3!AD31*28,0),IFERROR(Table10s4!AD31*265,0)))</f>
        <v>56896.452095520726</v>
      </c>
      <c r="AE32" s="4108">
        <f>IF(SUM(Table10s2!AE31,IFERROR(Table10s3!AE31*28,0),IFERROR(Table10s4!AE31*265,0))=0,"NO",SUM(Table10s2!AE31,IFERROR(Table10s3!AE31*28,0),IFERROR(Table10s4!AE31*265,0)))</f>
        <v>55979.312209413038</v>
      </c>
      <c r="AF32" s="4108">
        <f>IF(SUM(Table10s2!AF31,IFERROR(Table10s3!AF31*28,0),IFERROR(Table10s4!AF31*265,0))=0,"NO",SUM(Table10s2!AF31,IFERROR(Table10s3!AF31*28,0),IFERROR(Table10s4!AF31*265,0)))</f>
        <v>57727.91599764055</v>
      </c>
      <c r="AG32" s="4108">
        <f>IF(SUM(Table10s2!AG31,IFERROR(Table10s3!AG31*28,0),IFERROR(Table10s4!AG31*265,0))=0,"NO",SUM(Table10s2!AG31,IFERROR(Table10s3!AG31*28,0),IFERROR(Table10s4!AG31*265,0)))</f>
        <v>57868.491608471777</v>
      </c>
      <c r="AH32" s="4108">
        <f>IF(SUM(Table10s2!AH31,IFERROR(Table10s3!AH31*28,0),IFERROR(Table10s4!AH31*265,0))=0,"NO",SUM(Table10s2!AH31,IFERROR(Table10s3!AH31*28,0),IFERROR(Table10s4!AH31*265,0)))</f>
        <v>53994.485831126454</v>
      </c>
      <c r="AI32" s="4108">
        <f>IF(SUM(Table10s2!AI31,IFERROR(Table10s3!AI31*28,0),IFERROR(Table10s4!AI31*265,0))=0,"NO",SUM(Table10s2!AI31,IFERROR(Table10s3!AI31*28,0),IFERROR(Table10s4!AI31*265,0)))</f>
        <v>51795.592178724342</v>
      </c>
      <c r="AJ32" s="4108">
        <f>IF(SUM(Table10s2!AJ31,IFERROR(Table10s3!AJ31*28,0),IFERROR(Table10s4!AJ31*265,0))=0,"NO",SUM(Table10s2!AJ31,IFERROR(Table10s3!AJ31*28,0),IFERROR(Table10s4!AJ31*265,0)))</f>
        <v>54259.669669900839</v>
      </c>
      <c r="AK32" s="4101">
        <f t="shared" si="1"/>
        <v>-25.044167092436751</v>
      </c>
    </row>
    <row r="33" spans="2:37" ht="18" customHeight="1" x14ac:dyDescent="0.2">
      <c r="B33" s="1135" t="s">
        <v>1493</v>
      </c>
      <c r="C33" s="1995"/>
      <c r="D33" s="1995"/>
      <c r="E33" s="4094">
        <f>IF(SUM(Table10s2!E32,IFERROR(Table10s3!E32*28,0),IFERROR(Table10s4!E32*265,0))=0,"NO",SUM(Table10s2!E32,IFERROR(Table10s3!E32*28,0),IFERROR(Table10s4!E32*265,0)))</f>
        <v>7092.5746086492336</v>
      </c>
      <c r="F33" s="4094">
        <f>IF(SUM(Table10s2!F32,IFERROR(Table10s3!F32*28,0),IFERROR(Table10s4!F32*265,0))=0,"NO",SUM(Table10s2!F32,IFERROR(Table10s3!F32*28,0),IFERROR(Table10s4!F32*265,0)))</f>
        <v>7002.6915630459425</v>
      </c>
      <c r="G33" s="4108">
        <f>IF(SUM(Table10s2!G32,IFERROR(Table10s3!G32*28,0),IFERROR(Table10s4!G32*265,0))=0,"NO",SUM(Table10s2!G32,IFERROR(Table10s3!G32*28,0),IFERROR(Table10s4!G32*265,0)))</f>
        <v>6912.6345092781767</v>
      </c>
      <c r="H33" s="4108">
        <f>IF(SUM(Table10s2!H32,IFERROR(Table10s3!H32*28,0),IFERROR(Table10s4!H32*265,0))=0,"NO",SUM(Table10s2!H32,IFERROR(Table10s3!H32*28,0),IFERROR(Table10s4!H32*265,0)))</f>
        <v>6808.4708015761917</v>
      </c>
      <c r="I33" s="4108">
        <f>IF(SUM(Table10s2!I32,IFERROR(Table10s3!I32*28,0),IFERROR(Table10s4!I32*265,0))=0,"NO",SUM(Table10s2!I32,IFERROR(Table10s3!I32*28,0),IFERROR(Table10s4!I32*265,0)))</f>
        <v>6865.193340732455</v>
      </c>
      <c r="J33" s="4108">
        <f>IF(SUM(Table10s2!J32,IFERROR(Table10s3!J32*28,0),IFERROR(Table10s4!J32*265,0))=0,"NO",SUM(Table10s2!J32,IFERROR(Table10s3!J32*28,0),IFERROR(Table10s4!J32*265,0)))</f>
        <v>6507.930441605763</v>
      </c>
      <c r="K33" s="4108">
        <f>IF(SUM(Table10s2!K32,IFERROR(Table10s3!K32*28,0),IFERROR(Table10s4!K32*265,0))=0,"NO",SUM(Table10s2!K32,IFERROR(Table10s3!K32*28,0),IFERROR(Table10s4!K32*265,0)))</f>
        <v>6517.7277945343585</v>
      </c>
      <c r="L33" s="4108">
        <f>IF(SUM(Table10s2!L32,IFERROR(Table10s3!L32*28,0),IFERROR(Table10s4!L32*265,0))=0,"NO",SUM(Table10s2!L32,IFERROR(Table10s3!L32*28,0),IFERROR(Table10s4!L32*265,0)))</f>
        <v>6558.6247074847561</v>
      </c>
      <c r="M33" s="4108">
        <f>IF(SUM(Table10s2!M32,IFERROR(Table10s3!M32*28,0),IFERROR(Table10s4!M32*265,0))=0,"NO",SUM(Table10s2!M32,IFERROR(Table10s3!M32*28,0),IFERROR(Table10s4!M32*265,0)))</f>
        <v>6760.1797581111123</v>
      </c>
      <c r="N33" s="4108">
        <f>IF(SUM(Table10s2!N32,IFERROR(Table10s3!N32*28,0),IFERROR(Table10s4!N32*265,0))=0,"NO",SUM(Table10s2!N32,IFERROR(Table10s3!N32*28,0),IFERROR(Table10s4!N32*265,0)))</f>
        <v>6669.9297538440887</v>
      </c>
      <c r="O33" s="4108">
        <f>IF(SUM(Table10s2!O32,IFERROR(Table10s3!O32*28,0),IFERROR(Table10s4!O32*265,0))=0,"NO",SUM(Table10s2!O32,IFERROR(Table10s3!O32*28,0),IFERROR(Table10s4!O32*265,0)))</f>
        <v>6944.2558569330631</v>
      </c>
      <c r="P33" s="4108">
        <f>IF(SUM(Table10s2!P32,IFERROR(Table10s3!P32*28,0),IFERROR(Table10s4!P32*265,0))=0,"NO",SUM(Table10s2!P32,IFERROR(Table10s3!P32*28,0),IFERROR(Table10s4!P32*265,0)))</f>
        <v>7260.6263978938787</v>
      </c>
      <c r="Q33" s="4108">
        <f>IF(SUM(Table10s2!Q32,IFERROR(Table10s3!Q32*28,0),IFERROR(Table10s4!Q32*265,0))=0,"NO",SUM(Table10s2!Q32,IFERROR(Table10s3!Q32*28,0),IFERROR(Table10s4!Q32*265,0)))</f>
        <v>7402.3299441026575</v>
      </c>
      <c r="R33" s="4108">
        <f>IF(SUM(Table10s2!R32,IFERROR(Table10s3!R32*28,0),IFERROR(Table10s4!R32*265,0))=0,"NO",SUM(Table10s2!R32,IFERROR(Table10s3!R32*28,0),IFERROR(Table10s4!R32*265,0)))</f>
        <v>6965.2101627677184</v>
      </c>
      <c r="S33" s="4108">
        <f>IF(SUM(Table10s2!S32,IFERROR(Table10s3!S32*28,0),IFERROR(Table10s4!S32*265,0))=0,"NO",SUM(Table10s2!S32,IFERROR(Table10s3!S32*28,0),IFERROR(Table10s4!S32*265,0)))</f>
        <v>7082.9113136243268</v>
      </c>
      <c r="T33" s="4108">
        <f>IF(SUM(Table10s2!T32,IFERROR(Table10s3!T32*28,0),IFERROR(Table10s4!T32*265,0))=0,"NO",SUM(Table10s2!T32,IFERROR(Table10s3!T32*28,0),IFERROR(Table10s4!T32*265,0)))</f>
        <v>7629.7473469252145</v>
      </c>
      <c r="U33" s="4108">
        <f>IF(SUM(Table10s2!U32,IFERROR(Table10s3!U32*28,0),IFERROR(Table10s4!U32*265,0))=0,"NO",SUM(Table10s2!U32,IFERROR(Table10s3!U32*28,0),IFERROR(Table10s4!U32*265,0)))</f>
        <v>7609.5789578013164</v>
      </c>
      <c r="V33" s="4108">
        <f>IF(SUM(Table10s2!V32,IFERROR(Table10s3!V32*28,0),IFERROR(Table10s4!V32*265,0))=0,"NO",SUM(Table10s2!V32,IFERROR(Table10s3!V32*28,0),IFERROR(Table10s4!V32*265,0)))</f>
        <v>7421.0540087651843</v>
      </c>
      <c r="W33" s="4108">
        <f>IF(SUM(Table10s2!W32,IFERROR(Table10s3!W32*28,0),IFERROR(Table10s4!W32*265,0))=0,"NO",SUM(Table10s2!W32,IFERROR(Table10s3!W32*28,0),IFERROR(Table10s4!W32*265,0)))</f>
        <v>7069.0371144838318</v>
      </c>
      <c r="X33" s="4108">
        <f>IF(SUM(Table10s2!X32,IFERROR(Table10s3!X32*28,0),IFERROR(Table10s4!X32*265,0))=0,"NO",SUM(Table10s2!X32,IFERROR(Table10s3!X32*28,0),IFERROR(Table10s4!X32*265,0)))</f>
        <v>7011.6335581203148</v>
      </c>
      <c r="Y33" s="4108">
        <f>IF(SUM(Table10s2!Y32,IFERROR(Table10s3!Y32*28,0),IFERROR(Table10s4!Y32*265,0))=0,"NO",SUM(Table10s2!Y32,IFERROR(Table10s3!Y32*28,0),IFERROR(Table10s4!Y32*265,0)))</f>
        <v>7008.2870586094177</v>
      </c>
      <c r="Z33" s="4108">
        <f>IF(SUM(Table10s2!Z32,IFERROR(Table10s3!Z32*28,0),IFERROR(Table10s4!Z32*265,0))=0,"NO",SUM(Table10s2!Z32,IFERROR(Table10s3!Z32*28,0),IFERROR(Table10s4!Z32*265,0)))</f>
        <v>7136.7201763315752</v>
      </c>
      <c r="AA33" s="4108">
        <f>IF(SUM(Table10s2!AA32,IFERROR(Table10s3!AA32*28,0),IFERROR(Table10s4!AA32*265,0))=0,"NO",SUM(Table10s2!AA32,IFERROR(Table10s3!AA32*28,0),IFERROR(Table10s4!AA32*265,0)))</f>
        <v>7328.3513617597209</v>
      </c>
      <c r="AB33" s="4108">
        <f>IF(SUM(Table10s2!AB32,IFERROR(Table10s3!AB32*28,0),IFERROR(Table10s4!AB32*265,0))=0,"NO",SUM(Table10s2!AB32,IFERROR(Table10s3!AB32*28,0),IFERROR(Table10s4!AB32*265,0)))</f>
        <v>7326.8047869968595</v>
      </c>
      <c r="AC33" s="4108">
        <f>IF(SUM(Table10s2!AC32,IFERROR(Table10s3!AC32*28,0),IFERROR(Table10s4!AC32*265,0))=0,"NO",SUM(Table10s2!AC32,IFERROR(Table10s3!AC32*28,0),IFERROR(Table10s4!AC32*265,0)))</f>
        <v>7468.0241181359024</v>
      </c>
      <c r="AD33" s="4108">
        <f>IF(SUM(Table10s2!AD32,IFERROR(Table10s3!AD32*28,0),IFERROR(Table10s4!AD32*265,0))=0,"NO",SUM(Table10s2!AD32,IFERROR(Table10s3!AD32*28,0),IFERROR(Table10s4!AD32*265,0)))</f>
        <v>7346.401916298013</v>
      </c>
      <c r="AE33" s="4108">
        <f>IF(SUM(Table10s2!AE32,IFERROR(Table10s3!AE32*28,0),IFERROR(Table10s4!AE32*265,0))=0,"NO",SUM(Table10s2!AE32,IFERROR(Table10s3!AE32*28,0),IFERROR(Table10s4!AE32*265,0)))</f>
        <v>7167.8400336595305</v>
      </c>
      <c r="AF33" s="4108">
        <f>IF(SUM(Table10s2!AF32,IFERROR(Table10s3!AF32*28,0),IFERROR(Table10s4!AF32*265,0))=0,"NO",SUM(Table10s2!AF32,IFERROR(Table10s3!AF32*28,0),IFERROR(Table10s4!AF32*265,0)))</f>
        <v>7408.8033213722747</v>
      </c>
      <c r="AG33" s="4108">
        <f>IF(SUM(Table10s2!AG32,IFERROR(Table10s3!AG32*28,0),IFERROR(Table10s4!AG32*265,0))=0,"NO",SUM(Table10s2!AG32,IFERROR(Table10s3!AG32*28,0),IFERROR(Table10s4!AG32*265,0)))</f>
        <v>7526.7717980958832</v>
      </c>
      <c r="AH33" s="4108">
        <f>IF(SUM(Table10s2!AH32,IFERROR(Table10s3!AH32*28,0),IFERROR(Table10s4!AH32*265,0))=0,"NO",SUM(Table10s2!AH32,IFERROR(Table10s3!AH32*28,0),IFERROR(Table10s4!AH32*265,0)))</f>
        <v>7041.6163346432395</v>
      </c>
      <c r="AI33" s="4108">
        <f>IF(SUM(Table10s2!AI32,IFERROR(Table10s3!AI32*28,0),IFERROR(Table10s4!AI32*265,0))=0,"NO",SUM(Table10s2!AI32,IFERROR(Table10s3!AI32*28,0),IFERROR(Table10s4!AI32*265,0)))</f>
        <v>6806.0639571947777</v>
      </c>
      <c r="AJ33" s="4108">
        <f>IF(SUM(Table10s2!AJ32,IFERROR(Table10s3!AJ32*28,0),IFERROR(Table10s4!AJ32*265,0))=0,"NO",SUM(Table10s2!AJ32,IFERROR(Table10s3!AJ32*28,0),IFERROR(Table10s4!AJ32*265,0)))</f>
        <v>7189.7194349526262</v>
      </c>
      <c r="AK33" s="4101">
        <f t="shared" si="1"/>
        <v>1.369669431251765</v>
      </c>
    </row>
    <row r="34" spans="2:37" ht="18" customHeight="1" x14ac:dyDescent="0.2">
      <c r="B34" s="1135" t="s">
        <v>1494</v>
      </c>
      <c r="C34" s="1995"/>
      <c r="D34" s="1995"/>
      <c r="E34" s="4094">
        <f>IF(SUM(Table10s2!E33,IFERROR(Table10s3!E33*28,0),IFERROR(Table10s4!E33*265,0))=0,"NO",SUM(Table10s2!E33,IFERROR(Table10s3!E33*28,0),IFERROR(Table10s4!E33*265,0)))</f>
        <v>532.69558007436797</v>
      </c>
      <c r="F34" s="4094">
        <f>IF(SUM(Table10s2!F33,IFERROR(Table10s3!F33*28,0),IFERROR(Table10s4!F33*265,0))=0,"NO",SUM(Table10s2!F33,IFERROR(Table10s3!F33*28,0),IFERROR(Table10s4!F33*265,0)))</f>
        <v>429.68050177907804</v>
      </c>
      <c r="G34" s="4108">
        <f>IF(SUM(Table10s2!G33,IFERROR(Table10s3!G33*28,0),IFERROR(Table10s4!G33*265,0))=0,"NO",SUM(Table10s2!G33,IFERROR(Table10s3!G33*28,0),IFERROR(Table10s4!G33*265,0)))</f>
        <v>576.2438312995539</v>
      </c>
      <c r="H34" s="4108">
        <f>IF(SUM(Table10s2!H33,IFERROR(Table10s3!H33*28,0),IFERROR(Table10s4!H33*265,0))=0,"NO",SUM(Table10s2!H33,IFERROR(Table10s3!H33*28,0),IFERROR(Table10s4!H33*265,0)))</f>
        <v>569.71758944769476</v>
      </c>
      <c r="I34" s="4108">
        <f>IF(SUM(Table10s2!I33,IFERROR(Table10s3!I33*28,0),IFERROR(Table10s4!I33*265,0))=0,"NO",SUM(Table10s2!I33,IFERROR(Table10s3!I33*28,0),IFERROR(Table10s4!I33*265,0)))</f>
        <v>614.3996830066435</v>
      </c>
      <c r="J34" s="4108">
        <f>IF(SUM(Table10s2!J33,IFERROR(Table10s3!J33*28,0),IFERROR(Table10s4!J33*265,0))=0,"NO",SUM(Table10s2!J33,IFERROR(Table10s3!J33*28,0),IFERROR(Table10s4!J33*265,0)))</f>
        <v>598.86698757917713</v>
      </c>
      <c r="K34" s="4108">
        <f>IF(SUM(Table10s2!K33,IFERROR(Table10s3!K33*28,0),IFERROR(Table10s4!K33*265,0))=0,"NO",SUM(Table10s2!K33,IFERROR(Table10s3!K33*28,0),IFERROR(Table10s4!K33*265,0)))</f>
        <v>694.67663610609816</v>
      </c>
      <c r="L34" s="4108">
        <f>IF(SUM(Table10s2!L33,IFERROR(Table10s3!L33*28,0),IFERROR(Table10s4!L33*265,0))=0,"NO",SUM(Table10s2!L33,IFERROR(Table10s3!L33*28,0),IFERROR(Table10s4!L33*265,0)))</f>
        <v>771.72499204224096</v>
      </c>
      <c r="M34" s="4108">
        <f>IF(SUM(Table10s2!M33,IFERROR(Table10s3!M33*28,0),IFERROR(Table10s4!M33*265,0))=0,"NO",SUM(Table10s2!M33,IFERROR(Table10s3!M33*28,0),IFERROR(Table10s4!M33*265,0)))</f>
        <v>656.90213400000005</v>
      </c>
      <c r="N34" s="4108">
        <f>IF(SUM(Table10s2!N33,IFERROR(Table10s3!N33*28,0),IFERROR(Table10s4!N33*265,0))=0,"NO",SUM(Table10s2!N33,IFERROR(Table10s3!N33*28,0),IFERROR(Table10s4!N33*265,0)))</f>
        <v>661.52930199999992</v>
      </c>
      <c r="O34" s="4108">
        <f>IF(SUM(Table10s2!O33,IFERROR(Table10s3!O33*28,0),IFERROR(Table10s4!O33*265,0))=0,"NO",SUM(Table10s2!O33,IFERROR(Table10s3!O33*28,0),IFERROR(Table10s4!O33*265,0)))</f>
        <v>582.84519999999998</v>
      </c>
      <c r="P34" s="4108">
        <f>IF(SUM(Table10s2!P33,IFERROR(Table10s3!P33*28,0),IFERROR(Table10s4!P33*265,0))=0,"NO",SUM(Table10s2!P33,IFERROR(Table10s3!P33*28,0),IFERROR(Table10s4!P33*265,0)))</f>
        <v>786.81837357200004</v>
      </c>
      <c r="Q34" s="4108">
        <f>IF(SUM(Table10s2!Q33,IFERROR(Table10s3!Q33*28,0),IFERROR(Table10s4!Q33*265,0))=0,"NO",SUM(Table10s2!Q33,IFERROR(Table10s3!Q33*28,0),IFERROR(Table10s4!Q33*265,0)))</f>
        <v>643.19414879999999</v>
      </c>
      <c r="R34" s="4108">
        <f>IF(SUM(Table10s2!R33,IFERROR(Table10s3!R33*28,0),IFERROR(Table10s4!R33*265,0))=0,"NO",SUM(Table10s2!R33,IFERROR(Table10s3!R33*28,0),IFERROR(Table10s4!R33*265,0)))</f>
        <v>204.12573664000001</v>
      </c>
      <c r="S34" s="4108">
        <f>IF(SUM(Table10s2!S33,IFERROR(Table10s3!S33*28,0),IFERROR(Table10s4!S33*265,0))=0,"NO",SUM(Table10s2!S33,IFERROR(Table10s3!S33*28,0),IFERROR(Table10s4!S33*265,0)))</f>
        <v>296.79589883999995</v>
      </c>
      <c r="T34" s="4108">
        <f>IF(SUM(Table10s2!T33,IFERROR(Table10s3!T33*28,0),IFERROR(Table10s4!T33*265,0))=0,"NO",SUM(Table10s2!T33,IFERROR(Table10s3!T33*28,0),IFERROR(Table10s4!T33*265,0)))</f>
        <v>230.09482720000005</v>
      </c>
      <c r="U34" s="4108">
        <f>IF(SUM(Table10s2!U33,IFERROR(Table10s3!U33*28,0),IFERROR(Table10s4!U33*265,0))=0,"NO",SUM(Table10s2!U33,IFERROR(Table10s3!U33*28,0),IFERROR(Table10s4!U33*265,0)))</f>
        <v>454.09758729999999</v>
      </c>
      <c r="V34" s="4108">
        <f>IF(SUM(Table10s2!V33,IFERROR(Table10s3!V33*28,0),IFERROR(Table10s4!V33*265,0))=0,"NO",SUM(Table10s2!V33,IFERROR(Table10s3!V33*28,0),IFERROR(Table10s4!V33*265,0)))</f>
        <v>88.47180809599999</v>
      </c>
      <c r="W34" s="4108">
        <f>IF(SUM(Table10s2!W33,IFERROR(Table10s3!W33*28,0),IFERROR(Table10s4!W33*265,0))=0,"NO",SUM(Table10s2!W33,IFERROR(Table10s3!W33*28,0),IFERROR(Table10s4!W33*265,0)))</f>
        <v>9.2187424</v>
      </c>
      <c r="X34" s="4108">
        <f>IF(SUM(Table10s2!X33,IFERROR(Table10s3!X33*28,0),IFERROR(Table10s4!X33*265,0))=0,"NO",SUM(Table10s2!X33,IFERROR(Table10s3!X33*28,0),IFERROR(Table10s4!X33*265,0)))</f>
        <v>32.007544799999998</v>
      </c>
      <c r="Y34" s="4108">
        <f>IF(SUM(Table10s2!Y33,IFERROR(Table10s3!Y33*28,0),IFERROR(Table10s4!Y33*265,0))=0,"NO",SUM(Table10s2!Y33,IFERROR(Table10s3!Y33*28,0),IFERROR(Table10s4!Y33*265,0)))</f>
        <v>84.227805200000006</v>
      </c>
      <c r="Z34" s="4108">
        <f>IF(SUM(Table10s2!Z33,IFERROR(Table10s3!Z33*28,0),IFERROR(Table10s4!Z33*265,0))=0,"NO",SUM(Table10s2!Z33,IFERROR(Table10s3!Z33*28,0),IFERROR(Table10s4!Z33*265,0)))</f>
        <v>337.17817280000003</v>
      </c>
      <c r="AA34" s="4108">
        <f>IF(SUM(Table10s2!AA33,IFERROR(Table10s3!AA33*28,0),IFERROR(Table10s4!AA33*265,0))=0,"NO",SUM(Table10s2!AA33,IFERROR(Table10s3!AA33*28,0),IFERROR(Table10s4!AA33*265,0)))</f>
        <v>458.77925800000003</v>
      </c>
      <c r="AB34" s="4108">
        <f>IF(SUM(Table10s2!AB33,IFERROR(Table10s3!AB33*28,0),IFERROR(Table10s4!AB33*265,0))=0,"NO",SUM(Table10s2!AB33,IFERROR(Table10s3!AB33*28,0),IFERROR(Table10s4!AB33*265,0)))</f>
        <v>505.59930190000011</v>
      </c>
      <c r="AC34" s="4108">
        <f>IF(SUM(Table10s2!AC33,IFERROR(Table10s3!AC33*28,0),IFERROR(Table10s4!AC33*265,0))=0,"NO",SUM(Table10s2!AC33,IFERROR(Table10s3!AC33*28,0),IFERROR(Table10s4!AC33*265,0)))</f>
        <v>341.22009303200002</v>
      </c>
      <c r="AD34" s="4108">
        <f>IF(SUM(Table10s2!AD33,IFERROR(Table10s3!AD33*28,0),IFERROR(Table10s4!AD33*265,0))=0,"NO",SUM(Table10s2!AD33,IFERROR(Table10s3!AD33*28,0),IFERROR(Table10s4!AD33*265,0)))</f>
        <v>309.94857938800004</v>
      </c>
      <c r="AE34" s="4108">
        <f>IF(SUM(Table10s2!AE33,IFERROR(Table10s3!AE33*28,0),IFERROR(Table10s4!AE33*265,0))=0,"NO",SUM(Table10s2!AE33,IFERROR(Table10s3!AE33*28,0),IFERROR(Table10s4!AE33*265,0)))</f>
        <v>123.61396064038937</v>
      </c>
      <c r="AF34" s="4108">
        <f>IF(SUM(Table10s2!AF33,IFERROR(Table10s3!AF33*28,0),IFERROR(Table10s4!AF33*265,0))=0,"NO",SUM(Table10s2!AF33,IFERROR(Table10s3!AF33*28,0),IFERROR(Table10s4!AF33*265,0)))</f>
        <v>382.73417857010435</v>
      </c>
      <c r="AG34" s="4108">
        <f>IF(SUM(Table10s2!AG33,IFERROR(Table10s3!AG33*28,0),IFERROR(Table10s4!AG33*265,0))=0,"NO",SUM(Table10s2!AG33,IFERROR(Table10s3!AG33*28,0),IFERROR(Table10s4!AG33*265,0)))</f>
        <v>284.51610894531336</v>
      </c>
      <c r="AH34" s="4108">
        <f>IF(SUM(Table10s2!AH33,IFERROR(Table10s3!AH33*28,0),IFERROR(Table10s4!AH33*265,0))=0,"NO",SUM(Table10s2!AH33,IFERROR(Table10s3!AH33*28,0),IFERROR(Table10s4!AH33*265,0)))</f>
        <v>35.301356239568591</v>
      </c>
      <c r="AI34" s="4108">
        <f>IF(SUM(Table10s2!AI33,IFERROR(Table10s3!AI33*28,0),IFERROR(Table10s4!AI33*265,0))=0,"NO",SUM(Table10s2!AI33,IFERROR(Table10s3!AI33*28,0),IFERROR(Table10s4!AI33*265,0)))</f>
        <v>23.157966502413792</v>
      </c>
      <c r="AJ34" s="4108">
        <f>IF(SUM(Table10s2!AJ33,IFERROR(Table10s3!AJ33*28,0),IFERROR(Table10s4!AJ33*265,0))=0,"NO",SUM(Table10s2!AJ33,IFERROR(Table10s3!AJ33*28,0),IFERROR(Table10s4!AJ33*265,0)))</f>
        <v>209.74990068797402</v>
      </c>
      <c r="AK34" s="4101">
        <f t="shared" si="1"/>
        <v>-60.624809265605037</v>
      </c>
    </row>
    <row r="35" spans="2:37" ht="18" customHeight="1" x14ac:dyDescent="0.2">
      <c r="B35" s="1135" t="s">
        <v>1495</v>
      </c>
      <c r="C35" s="1995"/>
      <c r="D35" s="1995"/>
      <c r="E35" s="4094">
        <f>IF(SUM(Table10s2!E34,IFERROR(Table10s3!E34*28,0),IFERROR(Table10s4!E34*265,0))=0,"NO",SUM(Table10s2!E34,IFERROR(Table10s3!E34*28,0),IFERROR(Table10s4!E34*265,0)))</f>
        <v>11049.154202591693</v>
      </c>
      <c r="F35" s="4094">
        <f>IF(SUM(Table10s2!F34,IFERROR(Table10s3!F34*28,0),IFERROR(Table10s4!F34*265,0))=0,"NO",SUM(Table10s2!F34,IFERROR(Table10s3!F34*28,0),IFERROR(Table10s4!F34*265,0)))</f>
        <v>10806.361195262343</v>
      </c>
      <c r="G35" s="4108">
        <f>IF(SUM(Table10s2!G34,IFERROR(Table10s3!G34*28,0),IFERROR(Table10s4!G34*265,0))=0,"NO",SUM(Table10s2!G34,IFERROR(Table10s3!G34*28,0),IFERROR(Table10s4!G34*265,0)))</f>
        <v>10352.71179654518</v>
      </c>
      <c r="H35" s="4108">
        <f>IF(SUM(Table10s2!H34,IFERROR(Table10s3!H34*28,0),IFERROR(Table10s4!H34*265,0))=0,"NO",SUM(Table10s2!H34,IFERROR(Table10s3!H34*28,0),IFERROR(Table10s4!H34*265,0)))</f>
        <v>10342.97395579735</v>
      </c>
      <c r="I35" s="4108">
        <f>IF(SUM(Table10s2!I34,IFERROR(Table10s3!I34*28,0),IFERROR(Table10s4!I34*265,0))=0,"NO",SUM(Table10s2!I34,IFERROR(Table10s3!I34*28,0),IFERROR(Table10s4!I34*265,0)))</f>
        <v>10619.403924760358</v>
      </c>
      <c r="J35" s="4108">
        <f>IF(SUM(Table10s2!J34,IFERROR(Table10s3!J34*28,0),IFERROR(Table10s4!J34*265,0))=0,"NO",SUM(Table10s2!J34,IFERROR(Table10s3!J34*28,0),IFERROR(Table10s4!J34*265,0)))</f>
        <v>9813.2816367661708</v>
      </c>
      <c r="K35" s="4108">
        <f>IF(SUM(Table10s2!K34,IFERROR(Table10s3!K34*28,0),IFERROR(Table10s4!K34*265,0))=0,"NO",SUM(Table10s2!K34,IFERROR(Table10s3!K34*28,0),IFERROR(Table10s4!K34*265,0)))</f>
        <v>10646.493806148901</v>
      </c>
      <c r="L35" s="4108">
        <f>IF(SUM(Table10s2!L34,IFERROR(Table10s3!L34*28,0),IFERROR(Table10s4!L34*265,0))=0,"NO",SUM(Table10s2!L34,IFERROR(Table10s3!L34*28,0),IFERROR(Table10s4!L34*265,0)))</f>
        <v>11151.690492307842</v>
      </c>
      <c r="M35" s="4108">
        <f>IF(SUM(Table10s2!M34,IFERROR(Table10s3!M34*28,0),IFERROR(Table10s4!M34*265,0))=0,"NO",SUM(Table10s2!M34,IFERROR(Table10s3!M34*28,0),IFERROR(Table10s4!M34*265,0)))</f>
        <v>10946.337337024475</v>
      </c>
      <c r="N35" s="4108">
        <f>IF(SUM(Table10s2!N34,IFERROR(Table10s3!N34*28,0),IFERROR(Table10s4!N34*265,0))=0,"NO",SUM(Table10s2!N34,IFERROR(Table10s3!N34*28,0),IFERROR(Table10s4!N34*265,0)))</f>
        <v>11269.472124087619</v>
      </c>
      <c r="O35" s="4108">
        <f>IF(SUM(Table10s2!O34,IFERROR(Table10s3!O34*28,0),IFERROR(Table10s4!O34*265,0))=0,"NO",SUM(Table10s2!O34,IFERROR(Table10s3!O34*28,0),IFERROR(Table10s4!O34*265,0)))</f>
        <v>11861.453795422778</v>
      </c>
      <c r="P35" s="4108">
        <f>IF(SUM(Table10s2!P34,IFERROR(Table10s3!P34*28,0),IFERROR(Table10s4!P34*265,0))=0,"NO",SUM(Table10s2!P34,IFERROR(Table10s3!P34*28,0),IFERROR(Table10s4!P34*265,0)))</f>
        <v>11670.386992951841</v>
      </c>
      <c r="Q35" s="4108">
        <f>IF(SUM(Table10s2!Q34,IFERROR(Table10s3!Q34*28,0),IFERROR(Table10s4!Q34*265,0))=0,"NO",SUM(Table10s2!Q34,IFERROR(Table10s3!Q34*28,0),IFERROR(Table10s4!Q34*265,0)))</f>
        <v>11775.256580223144</v>
      </c>
      <c r="R35" s="4108">
        <f>IF(SUM(Table10s2!R34,IFERROR(Table10s3!R34*28,0),IFERROR(Table10s4!R34*265,0))=0,"NO",SUM(Table10s2!R34,IFERROR(Table10s3!R34*28,0),IFERROR(Table10s4!R34*265,0)))</f>
        <v>10348.038936583622</v>
      </c>
      <c r="S35" s="4108">
        <f>IF(SUM(Table10s2!S34,IFERROR(Table10s3!S34*28,0),IFERROR(Table10s4!S34*265,0))=0,"NO",SUM(Table10s2!S34,IFERROR(Table10s3!S34*28,0),IFERROR(Table10s4!S34*265,0)))</f>
        <v>11688.837327198273</v>
      </c>
      <c r="T35" s="4108">
        <f>IF(SUM(Table10s2!T34,IFERROR(Table10s3!T34*28,0),IFERROR(Table10s4!T34*265,0))=0,"NO",SUM(Table10s2!T34,IFERROR(Table10s3!T34*28,0),IFERROR(Table10s4!T34*265,0)))</f>
        <v>11544.817850192267</v>
      </c>
      <c r="U35" s="4108">
        <f>IF(SUM(Table10s2!U34,IFERROR(Table10s3!U34*28,0),IFERROR(Table10s4!U34*265,0))=0,"NO",SUM(Table10s2!U34,IFERROR(Table10s3!U34*28,0),IFERROR(Table10s4!U34*265,0)))</f>
        <v>11472.69296590589</v>
      </c>
      <c r="V35" s="4108">
        <f>IF(SUM(Table10s2!V34,IFERROR(Table10s3!V34*28,0),IFERROR(Table10s4!V34*265,0))=0,"NO",SUM(Table10s2!V34,IFERROR(Table10s3!V34*28,0),IFERROR(Table10s4!V34*265,0)))</f>
        <v>9981.8270552660106</v>
      </c>
      <c r="W35" s="4108">
        <f>IF(SUM(Table10s2!W34,IFERROR(Table10s3!W34*28,0),IFERROR(Table10s4!W34*265,0))=0,"NO",SUM(Table10s2!W34,IFERROR(Table10s3!W34*28,0),IFERROR(Table10s4!W34*265,0)))</f>
        <v>9980.1276645520702</v>
      </c>
      <c r="X35" s="4108">
        <f>IF(SUM(Table10s2!X34,IFERROR(Table10s3!X34*28,0),IFERROR(Table10s4!X34*265,0))=0,"NO",SUM(Table10s2!X34,IFERROR(Table10s3!X34*28,0),IFERROR(Table10s4!X34*265,0)))</f>
        <v>10474.421237571276</v>
      </c>
      <c r="Y35" s="4108">
        <f>IF(SUM(Table10s2!Y34,IFERROR(Table10s3!Y34*28,0),IFERROR(Table10s4!Y34*265,0))=0,"NO",SUM(Table10s2!Y34,IFERROR(Table10s3!Y34*28,0),IFERROR(Table10s4!Y34*265,0)))</f>
        <v>10291.085851730119</v>
      </c>
      <c r="Z35" s="4108">
        <f>IF(SUM(Table10s2!Z34,IFERROR(Table10s3!Z34*28,0),IFERROR(Table10s4!Z34*265,0))=0,"NO",SUM(Table10s2!Z34,IFERROR(Table10s3!Z34*28,0),IFERROR(Table10s4!Z34*265,0)))</f>
        <v>11322.242350056633</v>
      </c>
      <c r="AA35" s="4108">
        <f>IF(SUM(Table10s2!AA34,IFERROR(Table10s3!AA34*28,0),IFERROR(Table10s4!AA34*265,0))=0,"NO",SUM(Table10s2!AA34,IFERROR(Table10s3!AA34*28,0),IFERROR(Table10s4!AA34*265,0)))</f>
        <v>11732.26899581508</v>
      </c>
      <c r="AB35" s="4108">
        <f>IF(SUM(Table10s2!AB34,IFERROR(Table10s3!AB34*28,0),IFERROR(Table10s4!AB34*265,0))=0,"NO",SUM(Table10s2!AB34,IFERROR(Table10s3!AB34*28,0),IFERROR(Table10s4!AB34*265,0)))</f>
        <v>11549.095569351941</v>
      </c>
      <c r="AC35" s="4108">
        <f>IF(SUM(Table10s2!AC34,IFERROR(Table10s3!AC34*28,0),IFERROR(Table10s4!AC34*265,0))=0,"NO",SUM(Table10s2!AC34,IFERROR(Table10s3!AC34*28,0),IFERROR(Table10s4!AC34*265,0)))</f>
        <v>12068.786465089695</v>
      </c>
      <c r="AD35" s="4108">
        <f>IF(SUM(Table10s2!AD34,IFERROR(Table10s3!AD34*28,0),IFERROR(Table10s4!AD34*265,0))=0,"NO",SUM(Table10s2!AD34,IFERROR(Table10s3!AD34*28,0),IFERROR(Table10s4!AD34*265,0)))</f>
        <v>11523.737036679378</v>
      </c>
      <c r="AE35" s="4108">
        <f>IF(SUM(Table10s2!AE34,IFERROR(Table10s3!AE34*28,0),IFERROR(Table10s4!AE34*265,0))=0,"NO",SUM(Table10s2!AE34,IFERROR(Table10s3!AE34*28,0),IFERROR(Table10s4!AE34*265,0)))</f>
        <v>11633.189334435849</v>
      </c>
      <c r="AF35" s="4108">
        <f>IF(SUM(Table10s2!AF34,IFERROR(Table10s3!AF34*28,0),IFERROR(Table10s4!AF34*265,0))=0,"NO",SUM(Table10s2!AF34,IFERROR(Table10s3!AF34*28,0),IFERROR(Table10s4!AF34*265,0)))</f>
        <v>12988.487689390593</v>
      </c>
      <c r="AG35" s="4108">
        <f>IF(SUM(Table10s2!AG34,IFERROR(Table10s3!AG34*28,0),IFERROR(Table10s4!AG34*265,0))=0,"NO",SUM(Table10s2!AG34,IFERROR(Table10s3!AG34*28,0),IFERROR(Table10s4!AG34*265,0)))</f>
        <v>11886.854004141902</v>
      </c>
      <c r="AH35" s="4108">
        <f>IF(SUM(Table10s2!AH34,IFERROR(Table10s3!AH34*28,0),IFERROR(Table10s4!AH34*265,0))=0,"NO",SUM(Table10s2!AH34,IFERROR(Table10s3!AH34*28,0),IFERROR(Table10s4!AH34*265,0)))</f>
        <v>11116.069239627155</v>
      </c>
      <c r="AI35" s="4108">
        <f>IF(SUM(Table10s2!AI34,IFERROR(Table10s3!AI34*28,0),IFERROR(Table10s4!AI34*265,0))=0,"NO",SUM(Table10s2!AI34,IFERROR(Table10s3!AI34*28,0),IFERROR(Table10s4!AI34*265,0)))</f>
        <v>10996.73861757233</v>
      </c>
      <c r="AJ35" s="4108">
        <f>IF(SUM(Table10s2!AJ34,IFERROR(Table10s3!AJ34*28,0),IFERROR(Table10s4!AJ34*265,0))=0,"NO",SUM(Table10s2!AJ34,IFERROR(Table10s3!AJ34*28,0),IFERROR(Table10s4!AJ34*265,0)))</f>
        <v>13037.486076523261</v>
      </c>
      <c r="AK35" s="4101">
        <f t="shared" si="1"/>
        <v>17.99533102239792</v>
      </c>
    </row>
    <row r="36" spans="2:37" ht="18" customHeight="1" x14ac:dyDescent="0.2">
      <c r="B36" s="1135" t="s">
        <v>1496</v>
      </c>
      <c r="C36" s="1995"/>
      <c r="D36" s="1995"/>
      <c r="E36" s="4094" t="str">
        <f>IF(SUM(Table10s2!E35,IFERROR(Table10s3!E35*28,0),IFERROR(Table10s4!E35*265,0))=0,"NO",SUM(Table10s2!E35,IFERROR(Table10s3!E35*28,0),IFERROR(Table10s4!E35*265,0)))</f>
        <v>NO</v>
      </c>
      <c r="F36" s="4094" t="str">
        <f>IF(SUM(Table10s2!F35,IFERROR(Table10s3!F35*28,0),IFERROR(Table10s4!F35*265,0))=0,"NO",SUM(Table10s2!F35,IFERROR(Table10s3!F35*28,0),IFERROR(Table10s4!F35*265,0)))</f>
        <v>NO</v>
      </c>
      <c r="G36" s="4108" t="str">
        <f>IF(SUM(Table10s2!G35,IFERROR(Table10s3!G35*28,0),IFERROR(Table10s4!G35*265,0))=0,"NO",SUM(Table10s2!G35,IFERROR(Table10s3!G35*28,0),IFERROR(Table10s4!G35*265,0)))</f>
        <v>NO</v>
      </c>
      <c r="H36" s="4108" t="str">
        <f>IF(SUM(Table10s2!H35,IFERROR(Table10s3!H35*28,0),IFERROR(Table10s4!H35*265,0))=0,"NO",SUM(Table10s2!H35,IFERROR(Table10s3!H35*28,0),IFERROR(Table10s4!H35*265,0)))</f>
        <v>NO</v>
      </c>
      <c r="I36" s="4108" t="str">
        <f>IF(SUM(Table10s2!I35,IFERROR(Table10s3!I35*28,0),IFERROR(Table10s4!I35*265,0))=0,"NO",SUM(Table10s2!I35,IFERROR(Table10s3!I35*28,0),IFERROR(Table10s4!I35*265,0)))</f>
        <v>NO</v>
      </c>
      <c r="J36" s="4108" t="str">
        <f>IF(SUM(Table10s2!J35,IFERROR(Table10s3!J35*28,0),IFERROR(Table10s4!J35*265,0))=0,"NO",SUM(Table10s2!J35,IFERROR(Table10s3!J35*28,0),IFERROR(Table10s4!J35*265,0)))</f>
        <v>NO</v>
      </c>
      <c r="K36" s="4108" t="str">
        <f>IF(SUM(Table10s2!K35,IFERROR(Table10s3!K35*28,0),IFERROR(Table10s4!K35*265,0))=0,"NO",SUM(Table10s2!K35,IFERROR(Table10s3!K35*28,0),IFERROR(Table10s4!K35*265,0)))</f>
        <v>NO</v>
      </c>
      <c r="L36" s="4108" t="str">
        <f>IF(SUM(Table10s2!L35,IFERROR(Table10s3!L35*28,0),IFERROR(Table10s4!L35*265,0))=0,"NO",SUM(Table10s2!L35,IFERROR(Table10s3!L35*28,0),IFERROR(Table10s4!L35*265,0)))</f>
        <v>NO</v>
      </c>
      <c r="M36" s="4108" t="str">
        <f>IF(SUM(Table10s2!M35,IFERROR(Table10s3!M35*28,0),IFERROR(Table10s4!M35*265,0))=0,"NO",SUM(Table10s2!M35,IFERROR(Table10s3!M35*28,0),IFERROR(Table10s4!M35*265,0)))</f>
        <v>NO</v>
      </c>
      <c r="N36" s="4108" t="str">
        <f>IF(SUM(Table10s2!N35,IFERROR(Table10s3!N35*28,0),IFERROR(Table10s4!N35*265,0))=0,"NO",SUM(Table10s2!N35,IFERROR(Table10s3!N35*28,0),IFERROR(Table10s4!N35*265,0)))</f>
        <v>NO</v>
      </c>
      <c r="O36" s="4108" t="str">
        <f>IF(SUM(Table10s2!O35,IFERROR(Table10s3!O35*28,0),IFERROR(Table10s4!O35*265,0))=0,"NO",SUM(Table10s2!O35,IFERROR(Table10s3!O35*28,0),IFERROR(Table10s4!O35*265,0)))</f>
        <v>NO</v>
      </c>
      <c r="P36" s="4108" t="str">
        <f>IF(SUM(Table10s2!P35,IFERROR(Table10s3!P35*28,0),IFERROR(Table10s4!P35*265,0))=0,"NO",SUM(Table10s2!P35,IFERROR(Table10s3!P35*28,0),IFERROR(Table10s4!P35*265,0)))</f>
        <v>NO</v>
      </c>
      <c r="Q36" s="4108" t="str">
        <f>IF(SUM(Table10s2!Q35,IFERROR(Table10s3!Q35*28,0),IFERROR(Table10s4!Q35*265,0))=0,"NO",SUM(Table10s2!Q35,IFERROR(Table10s3!Q35*28,0),IFERROR(Table10s4!Q35*265,0)))</f>
        <v>NO</v>
      </c>
      <c r="R36" s="4108" t="str">
        <f>IF(SUM(Table10s2!R35,IFERROR(Table10s3!R35*28,0),IFERROR(Table10s4!R35*265,0))=0,"NO",SUM(Table10s2!R35,IFERROR(Table10s3!R35*28,0),IFERROR(Table10s4!R35*265,0)))</f>
        <v>NO</v>
      </c>
      <c r="S36" s="4108" t="str">
        <f>IF(SUM(Table10s2!S35,IFERROR(Table10s3!S35*28,0),IFERROR(Table10s4!S35*265,0))=0,"NO",SUM(Table10s2!S35,IFERROR(Table10s3!S35*28,0),IFERROR(Table10s4!S35*265,0)))</f>
        <v>NO</v>
      </c>
      <c r="T36" s="4108" t="str">
        <f>IF(SUM(Table10s2!T35,IFERROR(Table10s3!T35*28,0),IFERROR(Table10s4!T35*265,0))=0,"NO",SUM(Table10s2!T35,IFERROR(Table10s3!T35*28,0),IFERROR(Table10s4!T35*265,0)))</f>
        <v>NO</v>
      </c>
      <c r="U36" s="4108" t="str">
        <f>IF(SUM(Table10s2!U35,IFERROR(Table10s3!U35*28,0),IFERROR(Table10s4!U35*265,0))=0,"NO",SUM(Table10s2!U35,IFERROR(Table10s3!U35*28,0),IFERROR(Table10s4!U35*265,0)))</f>
        <v>NO</v>
      </c>
      <c r="V36" s="4108" t="str">
        <f>IF(SUM(Table10s2!V35,IFERROR(Table10s3!V35*28,0),IFERROR(Table10s4!V35*265,0))=0,"NO",SUM(Table10s2!V35,IFERROR(Table10s3!V35*28,0),IFERROR(Table10s4!V35*265,0)))</f>
        <v>NO</v>
      </c>
      <c r="W36" s="4108" t="str">
        <f>IF(SUM(Table10s2!W35,IFERROR(Table10s3!W35*28,0),IFERROR(Table10s4!W35*265,0))=0,"NO",SUM(Table10s2!W35,IFERROR(Table10s3!W35*28,0),IFERROR(Table10s4!W35*265,0)))</f>
        <v>NO</v>
      </c>
      <c r="X36" s="4108" t="str">
        <f>IF(SUM(Table10s2!X35,IFERROR(Table10s3!X35*28,0),IFERROR(Table10s4!X35*265,0))=0,"NO",SUM(Table10s2!X35,IFERROR(Table10s3!X35*28,0),IFERROR(Table10s4!X35*265,0)))</f>
        <v>NO</v>
      </c>
      <c r="Y36" s="4108" t="str">
        <f>IF(SUM(Table10s2!Y35,IFERROR(Table10s3!Y35*28,0),IFERROR(Table10s4!Y35*265,0))=0,"NO",SUM(Table10s2!Y35,IFERROR(Table10s3!Y35*28,0),IFERROR(Table10s4!Y35*265,0)))</f>
        <v>NO</v>
      </c>
      <c r="Z36" s="4108" t="str">
        <f>IF(SUM(Table10s2!Z35,IFERROR(Table10s3!Z35*28,0),IFERROR(Table10s4!Z35*265,0))=0,"NO",SUM(Table10s2!Z35,IFERROR(Table10s3!Z35*28,0),IFERROR(Table10s4!Z35*265,0)))</f>
        <v>NO</v>
      </c>
      <c r="AA36" s="4108" t="str">
        <f>IF(SUM(Table10s2!AA35,IFERROR(Table10s3!AA35*28,0),IFERROR(Table10s4!AA35*265,0))=0,"NO",SUM(Table10s2!AA35,IFERROR(Table10s3!AA35*28,0),IFERROR(Table10s4!AA35*265,0)))</f>
        <v>NO</v>
      </c>
      <c r="AB36" s="4108" t="str">
        <f>IF(SUM(Table10s2!AB35,IFERROR(Table10s3!AB35*28,0),IFERROR(Table10s4!AB35*265,0))=0,"NO",SUM(Table10s2!AB35,IFERROR(Table10s3!AB35*28,0),IFERROR(Table10s4!AB35*265,0)))</f>
        <v>NO</v>
      </c>
      <c r="AC36" s="4108" t="str">
        <f>IF(SUM(Table10s2!AC35,IFERROR(Table10s3!AC35*28,0),IFERROR(Table10s4!AC35*265,0))=0,"NO",SUM(Table10s2!AC35,IFERROR(Table10s3!AC35*28,0),IFERROR(Table10s4!AC35*265,0)))</f>
        <v>NO</v>
      </c>
      <c r="AD36" s="4108" t="str">
        <f>IF(SUM(Table10s2!AD35,IFERROR(Table10s3!AD35*28,0),IFERROR(Table10s4!AD35*265,0))=0,"NO",SUM(Table10s2!AD35,IFERROR(Table10s3!AD35*28,0),IFERROR(Table10s4!AD35*265,0)))</f>
        <v>NO</v>
      </c>
      <c r="AE36" s="4108" t="str">
        <f>IF(SUM(Table10s2!AE35,IFERROR(Table10s3!AE35*28,0),IFERROR(Table10s4!AE35*265,0))=0,"NO",SUM(Table10s2!AE35,IFERROR(Table10s3!AE35*28,0),IFERROR(Table10s4!AE35*265,0)))</f>
        <v>NO</v>
      </c>
      <c r="AF36" s="4108" t="str">
        <f>IF(SUM(Table10s2!AF35,IFERROR(Table10s3!AF35*28,0),IFERROR(Table10s4!AF35*265,0))=0,"NO",SUM(Table10s2!AF35,IFERROR(Table10s3!AF35*28,0),IFERROR(Table10s4!AF35*265,0)))</f>
        <v>NO</v>
      </c>
      <c r="AG36" s="4108" t="str">
        <f>IF(SUM(Table10s2!AG35,IFERROR(Table10s3!AG35*28,0),IFERROR(Table10s4!AG35*265,0))=0,"NO",SUM(Table10s2!AG35,IFERROR(Table10s3!AG35*28,0),IFERROR(Table10s4!AG35*265,0)))</f>
        <v>NO</v>
      </c>
      <c r="AH36" s="4108" t="str">
        <f>IF(SUM(Table10s2!AH35,IFERROR(Table10s3!AH35*28,0),IFERROR(Table10s4!AH35*265,0))=0,"NO",SUM(Table10s2!AH35,IFERROR(Table10s3!AH35*28,0),IFERROR(Table10s4!AH35*265,0)))</f>
        <v>NO</v>
      </c>
      <c r="AI36" s="4108" t="str">
        <f>IF(SUM(Table10s2!AI35,IFERROR(Table10s3!AI35*28,0),IFERROR(Table10s4!AI35*265,0))=0,"NO",SUM(Table10s2!AI35,IFERROR(Table10s3!AI35*28,0),IFERROR(Table10s4!AI35*265,0)))</f>
        <v>NO</v>
      </c>
      <c r="AJ36" s="4108" t="str">
        <f>IF(SUM(Table10s2!AJ35,IFERROR(Table10s3!AJ35*28,0),IFERROR(Table10s4!AJ35*265,0))=0,"NO",SUM(Table10s2!AJ35,IFERROR(Table10s3!AJ35*28,0),IFERROR(Table10s4!AJ35*265,0)))</f>
        <v>NO</v>
      </c>
      <c r="AK36" s="4101" t="str">
        <f t="shared" si="1"/>
        <v>NA</v>
      </c>
    </row>
    <row r="37" spans="2:37" ht="18" customHeight="1" x14ac:dyDescent="0.2">
      <c r="B37" s="1135" t="s">
        <v>1497</v>
      </c>
      <c r="C37" s="1995"/>
      <c r="D37" s="1995"/>
      <c r="E37" s="4094">
        <f>IF(SUM(Table10s2!E36,IFERROR(Table10s3!E36*28,0),IFERROR(Table10s4!E36*265,0))=0,"NO",SUM(Table10s2!E36,IFERROR(Table10s3!E36*28,0),IFERROR(Table10s4!E36*265,0)))</f>
        <v>450.51091612548237</v>
      </c>
      <c r="F37" s="4094">
        <f>IF(SUM(Table10s2!F36,IFERROR(Table10s3!F36*28,0),IFERROR(Table10s4!F36*265,0))=0,"NO",SUM(Table10s2!F36,IFERROR(Table10s3!F36*28,0),IFERROR(Table10s4!F36*265,0)))</f>
        <v>444.39655188621225</v>
      </c>
      <c r="G37" s="4108">
        <f>IF(SUM(Table10s2!G36,IFERROR(Table10s3!G36*28,0),IFERROR(Table10s4!G36*265,0))=0,"NO",SUM(Table10s2!G36,IFERROR(Table10s3!G36*28,0),IFERROR(Table10s4!G36*265,0)))</f>
        <v>413.49187407087135</v>
      </c>
      <c r="H37" s="4108">
        <f>IF(SUM(Table10s2!H36,IFERROR(Table10s3!H36*28,0),IFERROR(Table10s4!H36*265,0))=0,"NO",SUM(Table10s2!H36,IFERROR(Table10s3!H36*28,0),IFERROR(Table10s4!H36*265,0)))</f>
        <v>497.39872783616494</v>
      </c>
      <c r="I37" s="4108">
        <f>IF(SUM(Table10s2!I36,IFERROR(Table10s3!I36*28,0),IFERROR(Table10s4!I36*265,0))=0,"NO",SUM(Table10s2!I36,IFERROR(Table10s3!I36*28,0),IFERROR(Table10s4!I36*265,0)))</f>
        <v>569.34157676748487</v>
      </c>
      <c r="J37" s="4108">
        <f>IF(SUM(Table10s2!J36,IFERROR(Table10s3!J36*28,0),IFERROR(Table10s4!J36*265,0))=0,"NO",SUM(Table10s2!J36,IFERROR(Table10s3!J36*28,0),IFERROR(Table10s4!J36*265,0)))</f>
        <v>329.08100878987716</v>
      </c>
      <c r="K37" s="4108">
        <f>IF(SUM(Table10s2!K36,IFERROR(Table10s3!K36*28,0),IFERROR(Table10s4!K36*265,0))=0,"NO",SUM(Table10s2!K36,IFERROR(Table10s3!K36*28,0),IFERROR(Table10s4!K36*265,0)))</f>
        <v>505.5595589554207</v>
      </c>
      <c r="L37" s="4108">
        <f>IF(SUM(Table10s2!L36,IFERROR(Table10s3!L36*28,0),IFERROR(Table10s4!L36*265,0))=0,"NO",SUM(Table10s2!L36,IFERROR(Table10s3!L36*28,0),IFERROR(Table10s4!L36*265,0)))</f>
        <v>613.68661576635861</v>
      </c>
      <c r="M37" s="4108">
        <f>IF(SUM(Table10s2!M36,IFERROR(Table10s3!M36*28,0),IFERROR(Table10s4!M36*265,0))=0,"NO",SUM(Table10s2!M36,IFERROR(Table10s3!M36*28,0),IFERROR(Table10s4!M36*265,0)))</f>
        <v>553.66365688744281</v>
      </c>
      <c r="N37" s="4108">
        <f>IF(SUM(Table10s2!N36,IFERROR(Table10s3!N36*28,0),IFERROR(Table10s4!N36*265,0))=0,"NO",SUM(Table10s2!N36,IFERROR(Table10s3!N36*28,0),IFERROR(Table10s4!N36*265,0)))</f>
        <v>600.80198739999651</v>
      </c>
      <c r="O37" s="4108">
        <f>IF(SUM(Table10s2!O36,IFERROR(Table10s3!O36*28,0),IFERROR(Table10s4!O36*265,0))=0,"NO",SUM(Table10s2!O36,IFERROR(Table10s3!O36*28,0),IFERROR(Table10s4!O36*265,0)))</f>
        <v>533.03516149118832</v>
      </c>
      <c r="P37" s="4108">
        <f>IF(SUM(Table10s2!P36,IFERROR(Table10s3!P36*28,0),IFERROR(Table10s4!P36*265,0))=0,"NO",SUM(Table10s2!P36,IFERROR(Table10s3!P36*28,0),IFERROR(Table10s4!P36*265,0)))</f>
        <v>538.15530048200344</v>
      </c>
      <c r="Q37" s="4108">
        <f>IF(SUM(Table10s2!Q36,IFERROR(Table10s3!Q36*28,0),IFERROR(Table10s4!Q36*265,0))=0,"NO",SUM(Table10s2!Q36,IFERROR(Table10s3!Q36*28,0),IFERROR(Table10s4!Q36*265,0)))</f>
        <v>554.79886371423379</v>
      </c>
      <c r="R37" s="4108">
        <f>IF(SUM(Table10s2!R36,IFERROR(Table10s3!R36*28,0),IFERROR(Table10s4!R36*265,0))=0,"NO",SUM(Table10s2!R36,IFERROR(Table10s3!R36*28,0),IFERROR(Table10s4!R36*265,0)))</f>
        <v>259.7188409176722</v>
      </c>
      <c r="S37" s="4108">
        <f>IF(SUM(Table10s2!S36,IFERROR(Table10s3!S36*28,0),IFERROR(Table10s4!S36*265,0))=0,"NO",SUM(Table10s2!S36,IFERROR(Table10s3!S36*28,0),IFERROR(Table10s4!S36*265,0)))</f>
        <v>535.91873734525598</v>
      </c>
      <c r="T37" s="4108">
        <f>IF(SUM(Table10s2!T36,IFERROR(Table10s3!T36*28,0),IFERROR(Table10s4!T36*265,0))=0,"NO",SUM(Table10s2!T36,IFERROR(Table10s3!T36*28,0),IFERROR(Table10s4!T36*265,0)))</f>
        <v>353.29216472337316</v>
      </c>
      <c r="U37" s="4108">
        <f>IF(SUM(Table10s2!U36,IFERROR(Table10s3!U36*28,0),IFERROR(Table10s4!U36*265,0))=0,"NO",SUM(Table10s2!U36,IFERROR(Table10s3!U36*28,0),IFERROR(Table10s4!U36*265,0)))</f>
        <v>448.6911185923463</v>
      </c>
      <c r="V37" s="4108">
        <f>IF(SUM(Table10s2!V36,IFERROR(Table10s3!V36*28,0),IFERROR(Table10s4!V36*265,0))=0,"NO",SUM(Table10s2!V36,IFERROR(Table10s3!V36*28,0),IFERROR(Table10s4!V36*265,0)))</f>
        <v>196.29420175275149</v>
      </c>
      <c r="W37" s="4108">
        <f>IF(SUM(Table10s2!W36,IFERROR(Table10s3!W36*28,0),IFERROR(Table10s4!W36*265,0))=0,"NO",SUM(Table10s2!W36,IFERROR(Table10s3!W36*28,0),IFERROR(Table10s4!W36*265,0)))</f>
        <v>247.45180387281818</v>
      </c>
      <c r="X37" s="4108">
        <f>IF(SUM(Table10s2!X36,IFERROR(Table10s3!X36*28,0),IFERROR(Table10s4!X36*265,0))=0,"NO",SUM(Table10s2!X36,IFERROR(Table10s3!X36*28,0),IFERROR(Table10s4!X36*265,0)))</f>
        <v>306.18427497803395</v>
      </c>
      <c r="Y37" s="4108">
        <f>IF(SUM(Table10s2!Y36,IFERROR(Table10s3!Y36*28,0),IFERROR(Table10s4!Y36*265,0))=0,"NO",SUM(Table10s2!Y36,IFERROR(Table10s3!Y36*28,0),IFERROR(Table10s4!Y36*265,0)))</f>
        <v>266.24541792868729</v>
      </c>
      <c r="Z37" s="4108">
        <f>IF(SUM(Table10s2!Z36,IFERROR(Table10s3!Z36*28,0),IFERROR(Table10s4!Z36*265,0))=0,"NO",SUM(Table10s2!Z36,IFERROR(Table10s3!Z36*28,0),IFERROR(Table10s4!Z36*265,0)))</f>
        <v>392.25681909749721</v>
      </c>
      <c r="AA37" s="4108">
        <f>IF(SUM(Table10s2!AA36,IFERROR(Table10s3!AA36*28,0),IFERROR(Table10s4!AA36*265,0))=0,"NO",SUM(Table10s2!AA36,IFERROR(Table10s3!AA36*28,0),IFERROR(Table10s4!AA36*265,0)))</f>
        <v>397.25093154873588</v>
      </c>
      <c r="AB37" s="4108">
        <f>IF(SUM(Table10s2!AB36,IFERROR(Table10s3!AB36*28,0),IFERROR(Table10s4!AB36*265,0))=0,"NO",SUM(Table10s2!AB36,IFERROR(Table10s3!AB36*28,0),IFERROR(Table10s4!AB36*265,0)))</f>
        <v>373.72829765792301</v>
      </c>
      <c r="AC37" s="4108">
        <f>IF(SUM(Table10s2!AC36,IFERROR(Table10s3!AC36*28,0),IFERROR(Table10s4!AC36*265,0))=0,"NO",SUM(Table10s2!AC36,IFERROR(Table10s3!AC36*28,0),IFERROR(Table10s4!AC36*265,0)))</f>
        <v>346.45347479688871</v>
      </c>
      <c r="AD37" s="4108">
        <f>IF(SUM(Table10s2!AD36,IFERROR(Table10s3!AD36*28,0),IFERROR(Table10s4!AD36*265,0))=0,"NO",SUM(Table10s2!AD36,IFERROR(Table10s3!AD36*28,0),IFERROR(Table10s4!AD36*265,0)))</f>
        <v>330.89597841696695</v>
      </c>
      <c r="AE37" s="4108">
        <f>IF(SUM(Table10s2!AE36,IFERROR(Table10s3!AE36*28,0),IFERROR(Table10s4!AE36*265,0))=0,"NO",SUM(Table10s2!AE36,IFERROR(Table10s3!AE36*28,0),IFERROR(Table10s4!AE36*265,0)))</f>
        <v>300.20190505669876</v>
      </c>
      <c r="AF37" s="4108">
        <f>IF(SUM(Table10s2!AF36,IFERROR(Table10s3!AF36*28,0),IFERROR(Table10s4!AF36*265,0))=0,"NO",SUM(Table10s2!AF36,IFERROR(Table10s3!AF36*28,0),IFERROR(Table10s4!AF36*265,0)))</f>
        <v>487.60015910267634</v>
      </c>
      <c r="AG37" s="4108">
        <f>IF(SUM(Table10s2!AG36,IFERROR(Table10s3!AG36*28,0),IFERROR(Table10s4!AG36*265,0))=0,"NO",SUM(Table10s2!AG36,IFERROR(Table10s3!AG36*28,0),IFERROR(Table10s4!AG36*265,0)))</f>
        <v>339.13047314622128</v>
      </c>
      <c r="AH37" s="4108">
        <f>IF(SUM(Table10s2!AH36,IFERROR(Table10s3!AH36*28,0),IFERROR(Table10s4!AH36*265,0))=0,"NO",SUM(Table10s2!AH36,IFERROR(Table10s3!AH36*28,0),IFERROR(Table10s4!AH36*265,0)))</f>
        <v>213.00634444477609</v>
      </c>
      <c r="AI37" s="4108">
        <f>IF(SUM(Table10s2!AI36,IFERROR(Table10s3!AI36*28,0),IFERROR(Table10s4!AI36*265,0))=0,"NO",SUM(Table10s2!AI36,IFERROR(Table10s3!AI36*28,0),IFERROR(Table10s4!AI36*265,0)))</f>
        <v>224.13707616508512</v>
      </c>
      <c r="AJ37" s="4108">
        <f>IF(SUM(Table10s2!AJ36,IFERROR(Table10s3!AJ36*28,0),IFERROR(Table10s4!AJ36*265,0))=0,"NO",SUM(Table10s2!AJ36,IFERROR(Table10s3!AJ36*28,0),IFERROR(Table10s4!AJ36*265,0)))</f>
        <v>474.22862867525657</v>
      </c>
      <c r="AK37" s="4101">
        <f t="shared" si="1"/>
        <v>5.2646254953715612</v>
      </c>
    </row>
    <row r="38" spans="2:37" ht="18" customHeight="1" x14ac:dyDescent="0.2">
      <c r="B38" s="1136" t="s">
        <v>721</v>
      </c>
      <c r="C38" s="2229"/>
      <c r="D38" s="2229"/>
      <c r="E38" s="4109">
        <f>IF(SUM(Table10s2!E37,IFERROR(Table10s3!E37*28,0),IFERROR(Table10s4!E37*265,0))=0,"NO",SUM(Table10s2!E37,IFERROR(Table10s3!E37*28,0),IFERROR(Table10s4!E37*265,0)))</f>
        <v>215.34654271285109</v>
      </c>
      <c r="F38" s="4109">
        <f>IF(SUM(Table10s2!F37,IFERROR(Table10s3!F37*28,0),IFERROR(Table10s4!F37*265,0))=0,"NO",SUM(Table10s2!F37,IFERROR(Table10s3!F37*28,0),IFERROR(Table10s4!F37*265,0)))</f>
        <v>260.25846060066385</v>
      </c>
      <c r="G38" s="4110">
        <f>IF(SUM(Table10s2!G37,IFERROR(Table10s3!G37*28,0),IFERROR(Table10s4!G37*265,0))=0,"NO",SUM(Table10s2!G37,IFERROR(Table10s3!G37*28,0),IFERROR(Table10s4!G37*265,0)))</f>
        <v>316.7677447778139</v>
      </c>
      <c r="H38" s="4110">
        <f>IF(SUM(Table10s2!H37,IFERROR(Table10s3!H37*28,0),IFERROR(Table10s4!H37*265,0))=0,"NO",SUM(Table10s2!H37,IFERROR(Table10s3!H37*28,0),IFERROR(Table10s4!H37*265,0)))</f>
        <v>382.83171201753419</v>
      </c>
      <c r="I38" s="4110">
        <f>IF(SUM(Table10s2!I37,IFERROR(Table10s3!I37*28,0),IFERROR(Table10s4!I37*265,0))=0,"NO",SUM(Table10s2!I37,IFERROR(Table10s3!I37*28,0),IFERROR(Table10s4!I37*265,0)))</f>
        <v>487.77038997925558</v>
      </c>
      <c r="J38" s="4110">
        <f>IF(SUM(Table10s2!J37,IFERROR(Table10s3!J37*28,0),IFERROR(Table10s4!J37*265,0))=0,"NO",SUM(Table10s2!J37,IFERROR(Table10s3!J37*28,0),IFERROR(Table10s4!J37*265,0)))</f>
        <v>439.54233407142647</v>
      </c>
      <c r="K38" s="4110">
        <f>IF(SUM(Table10s2!K37,IFERROR(Table10s3!K37*28,0),IFERROR(Table10s4!K37*265,0))=0,"NO",SUM(Table10s2!K37,IFERROR(Table10s3!K37*28,0),IFERROR(Table10s4!K37*265,0)))</f>
        <v>385.98755249999999</v>
      </c>
      <c r="L38" s="4110">
        <f>IF(SUM(Table10s2!L37,IFERROR(Table10s3!L37*28,0),IFERROR(Table10s4!L37*265,0))=0,"NO",SUM(Table10s2!L37,IFERROR(Table10s3!L37*28,0),IFERROR(Table10s4!L37*265,0)))</f>
        <v>485.71530671337609</v>
      </c>
      <c r="M38" s="4110">
        <f>IF(SUM(Table10s2!M37,IFERROR(Table10s3!M37*28,0),IFERROR(Table10s4!M37*265,0))=0,"NO",SUM(Table10s2!M37,IFERROR(Table10s3!M37*28,0),IFERROR(Table10s4!M37*265,0)))</f>
        <v>585.8261268850398</v>
      </c>
      <c r="N38" s="4110">
        <f>IF(SUM(Table10s2!N37,IFERROR(Table10s3!N37*28,0),IFERROR(Table10s4!N37*265,0))=0,"NO",SUM(Table10s2!N37,IFERROR(Table10s3!N37*28,0),IFERROR(Table10s4!N37*265,0)))</f>
        <v>720.58080698204878</v>
      </c>
      <c r="O38" s="4110">
        <f>IF(SUM(Table10s2!O37,IFERROR(Table10s3!O37*28,0),IFERROR(Table10s4!O37*265,0))=0,"NO",SUM(Table10s2!O37,IFERROR(Table10s3!O37*28,0),IFERROR(Table10s4!O37*265,0)))</f>
        <v>738.22287646151176</v>
      </c>
      <c r="P38" s="4110">
        <f>IF(SUM(Table10s2!P37,IFERROR(Table10s3!P37*28,0),IFERROR(Table10s4!P37*265,0))=0,"NO",SUM(Table10s2!P37,IFERROR(Table10s3!P37*28,0),IFERROR(Table10s4!P37*265,0)))</f>
        <v>761.68682887</v>
      </c>
      <c r="Q38" s="4110">
        <f>IF(SUM(Table10s2!Q37,IFERROR(Table10s3!Q37*28,0),IFERROR(Table10s4!Q37*265,0))=0,"NO",SUM(Table10s2!Q37,IFERROR(Table10s3!Q37*28,0),IFERROR(Table10s4!Q37*265,0)))</f>
        <v>1021.2878336833335</v>
      </c>
      <c r="R38" s="4110">
        <f>IF(SUM(Table10s2!R37,IFERROR(Table10s3!R37*28,0),IFERROR(Table10s4!R37*265,0))=0,"NO",SUM(Table10s2!R37,IFERROR(Table10s3!R37*28,0),IFERROR(Table10s4!R37*265,0)))</f>
        <v>1050.1937704120328</v>
      </c>
      <c r="S38" s="4110">
        <f>IF(SUM(Table10s2!S37,IFERROR(Table10s3!S37*28,0),IFERROR(Table10s4!S37*265,0))=0,"NO",SUM(Table10s2!S37,IFERROR(Table10s3!S37*28,0),IFERROR(Table10s4!S37*265,0)))</f>
        <v>1079.5133123531791</v>
      </c>
      <c r="T38" s="4110">
        <f>IF(SUM(Table10s2!T37,IFERROR(Table10s3!T37*28,0),IFERROR(Table10s4!T37*265,0))=0,"NO",SUM(Table10s2!T37,IFERROR(Table10s3!T37*28,0),IFERROR(Table10s4!T37*265,0)))</f>
        <v>1076.1779476621882</v>
      </c>
      <c r="U38" s="4110">
        <f>IF(SUM(Table10s2!U37,IFERROR(Table10s3!U37*28,0),IFERROR(Table10s4!U37*265,0))=0,"NO",SUM(Table10s2!U37,IFERROR(Table10s3!U37*28,0),IFERROR(Table10s4!U37*265,0)))</f>
        <v>1072.8425829711978</v>
      </c>
      <c r="V38" s="4110">
        <f>IF(SUM(Table10s2!V37,IFERROR(Table10s3!V37*28,0),IFERROR(Table10s4!V37*265,0))=0,"NO",SUM(Table10s2!V37,IFERROR(Table10s3!V37*28,0),IFERROR(Table10s4!V37*265,0)))</f>
        <v>1069.5072182802071</v>
      </c>
      <c r="W38" s="4110">
        <f>IF(SUM(Table10s2!W37,IFERROR(Table10s3!W37*28,0),IFERROR(Table10s4!W37*265,0))=0,"NO",SUM(Table10s2!W37,IFERROR(Table10s3!W37*28,0),IFERROR(Table10s4!W37*265,0)))</f>
        <v>1065.5307007157301</v>
      </c>
      <c r="X38" s="4110">
        <f>IF(SUM(Table10s2!X37,IFERROR(Table10s3!X37*28,0),IFERROR(Table10s4!X37*265,0))=0,"NO",SUM(Table10s2!X37,IFERROR(Table10s3!X37*28,0),IFERROR(Table10s4!X37*265,0)))</f>
        <v>1159.4904844523769</v>
      </c>
      <c r="Y38" s="4110">
        <f>IF(SUM(Table10s2!Y37,IFERROR(Table10s3!Y37*28,0),IFERROR(Table10s4!Y37*265,0))=0,"NO",SUM(Table10s2!Y37,IFERROR(Table10s3!Y37*28,0),IFERROR(Table10s4!Y37*265,0)))</f>
        <v>1252.8287349164823</v>
      </c>
      <c r="Z38" s="4110">
        <f>IF(SUM(Table10s2!Z37,IFERROR(Table10s3!Z37*28,0),IFERROR(Table10s4!Z37*265,0))=0,"NO",SUM(Table10s2!Z37,IFERROR(Table10s3!Z37*28,0),IFERROR(Table10s4!Z37*265,0)))</f>
        <v>1088.302771159184</v>
      </c>
      <c r="AA38" s="4110">
        <f>IF(SUM(Table10s2!AA37,IFERROR(Table10s3!AA37*28,0),IFERROR(Table10s4!AA37*265,0))=0,"NO",SUM(Table10s2!AA37,IFERROR(Table10s3!AA37*28,0),IFERROR(Table10s4!AA37*265,0)))</f>
        <v>924.61635380044606</v>
      </c>
      <c r="AB38" s="4110">
        <f>IF(SUM(Table10s2!AB37,IFERROR(Table10s3!AB37*28,0),IFERROR(Table10s4!AB37*265,0))=0,"NO",SUM(Table10s2!AB37,IFERROR(Table10s3!AB37*28,0),IFERROR(Table10s4!AB37*265,0)))</f>
        <v>760.31554032500014</v>
      </c>
      <c r="AC38" s="4110">
        <f>IF(SUM(Table10s2!AC37,IFERROR(Table10s3!AC37*28,0),IFERROR(Table10s4!AC37*265,0))=0,"NO",SUM(Table10s2!AC37,IFERROR(Table10s3!AC37*28,0),IFERROR(Table10s4!AC37*265,0)))</f>
        <v>1138.7434395518412</v>
      </c>
      <c r="AD38" s="4110">
        <f>IF(SUM(Table10s2!AD37,IFERROR(Table10s3!AD37*28,0),IFERROR(Table10s4!AD37*265,0))=0,"NO",SUM(Table10s2!AD37,IFERROR(Table10s3!AD37*28,0),IFERROR(Table10s4!AD37*265,0)))</f>
        <v>1224.3892800541203</v>
      </c>
      <c r="AE38" s="4110">
        <f>IF(SUM(Table10s2!AE37,IFERROR(Table10s3!AE37*28,0),IFERROR(Table10s4!AE37*265,0))=0,"NO",SUM(Table10s2!AE37,IFERROR(Table10s3!AE37*28,0),IFERROR(Table10s4!AE37*265,0)))</f>
        <v>1153.3920301118246</v>
      </c>
      <c r="AF38" s="4110">
        <f>IF(SUM(Table10s2!AF37,IFERROR(Table10s3!AF37*28,0),IFERROR(Table10s4!AF37*265,0))=0,"NO",SUM(Table10s2!AF37,IFERROR(Table10s3!AF37*28,0),IFERROR(Table10s4!AF37*265,0)))</f>
        <v>1318.3866247265748</v>
      </c>
      <c r="AG38" s="4110">
        <f>IF(SUM(Table10s2!AG37,IFERROR(Table10s3!AG37*28,0),IFERROR(Table10s4!AG37*265,0))=0,"NO",SUM(Table10s2!AG37,IFERROR(Table10s3!AG37*28,0),IFERROR(Table10s4!AG37*265,0)))</f>
        <v>1318.3866247265748</v>
      </c>
      <c r="AH38" s="4110">
        <f>IF(SUM(Table10s2!AH37,IFERROR(Table10s3!AH37*28,0),IFERROR(Table10s4!AH37*265,0))=0,"NO",SUM(Table10s2!AH37,IFERROR(Table10s3!AH37*28,0),IFERROR(Table10s4!AH37*265,0)))</f>
        <v>1318.3866247265748</v>
      </c>
      <c r="AI38" s="4110">
        <f>IF(SUM(Table10s2!AI37,IFERROR(Table10s3!AI37*28,0),IFERROR(Table10s4!AI37*265,0))=0,"NO",SUM(Table10s2!AI37,IFERROR(Table10s3!AI37*28,0),IFERROR(Table10s4!AI37*265,0)))</f>
        <v>1318.3866247265748</v>
      </c>
      <c r="AJ38" s="4110">
        <f>IF(SUM(Table10s2!AJ37,IFERROR(Table10s3!AJ37*28,0),IFERROR(Table10s4!AJ37*265,0))=0,"NO",SUM(Table10s2!AJ37,IFERROR(Table10s3!AJ37*28,0),IFERROR(Table10s4!AJ37*265,0)))</f>
        <v>1318.3866247265748</v>
      </c>
      <c r="AK38" s="4121">
        <f t="shared" si="1"/>
        <v>512.2162947768087</v>
      </c>
    </row>
    <row r="39" spans="2:37" ht="18" customHeight="1" x14ac:dyDescent="0.2">
      <c r="B39" s="1136" t="s">
        <v>722</v>
      </c>
      <c r="C39" s="2229"/>
      <c r="D39" s="2229"/>
      <c r="E39" s="4109">
        <f>IF(SUM(Table10s2!E38,IFERROR(Table10s3!E38*28,0),IFERROR(Table10s4!E38*265,0))=0,"NO",SUM(Table10s2!E38,IFERROR(Table10s3!E38*28,0),IFERROR(Table10s4!E38*265,0)))</f>
        <v>366.66666666666663</v>
      </c>
      <c r="F39" s="4109">
        <f>IF(SUM(Table10s2!F38,IFERROR(Table10s3!F38*28,0),IFERROR(Table10s4!F38*265,0))=0,"NO",SUM(Table10s2!F38,IFERROR(Table10s3!F38*28,0),IFERROR(Table10s4!F38*265,0)))</f>
        <v>374.63768115942037</v>
      </c>
      <c r="G39" s="4110">
        <f>IF(SUM(Table10s2!G38,IFERROR(Table10s3!G38*28,0),IFERROR(Table10s4!G38*265,0))=0,"NO",SUM(Table10s2!G38,IFERROR(Table10s3!G38*28,0),IFERROR(Table10s4!G38*265,0)))</f>
        <v>373.04347826086962</v>
      </c>
      <c r="H39" s="4110">
        <f>IF(SUM(Table10s2!H38,IFERROR(Table10s3!H38*28,0),IFERROR(Table10s4!H38*265,0))=0,"NO",SUM(Table10s2!H38,IFERROR(Table10s3!H38*28,0),IFERROR(Table10s4!H38*265,0)))</f>
        <v>384.20289855072468</v>
      </c>
      <c r="I39" s="4110">
        <f>IF(SUM(Table10s2!I38,IFERROR(Table10s3!I38*28,0),IFERROR(Table10s4!I38*265,0))=0,"NO",SUM(Table10s2!I38,IFERROR(Table10s3!I38*28,0),IFERROR(Table10s4!I38*265,0)))</f>
        <v>381.01449275362324</v>
      </c>
      <c r="J39" s="4110">
        <f>IF(SUM(Table10s2!J38,IFERROR(Table10s3!J38*28,0),IFERROR(Table10s4!J38*265,0))=0,"NO",SUM(Table10s2!J38,IFERROR(Table10s3!J38*28,0),IFERROR(Table10s4!J38*265,0)))</f>
        <v>479.85507246376812</v>
      </c>
      <c r="K39" s="4110">
        <f>IF(SUM(Table10s2!K38,IFERROR(Table10s3!K38*28,0),IFERROR(Table10s4!K38*265,0))=0,"NO",SUM(Table10s2!K38,IFERROR(Table10s3!K38*28,0),IFERROR(Table10s4!K38*265,0)))</f>
        <v>559.56521739130449</v>
      </c>
      <c r="L39" s="4110">
        <f>IF(SUM(Table10s2!L38,IFERROR(Table10s3!L38*28,0),IFERROR(Table10s4!L38*265,0))=0,"NO",SUM(Table10s2!L38,IFERROR(Table10s3!L38*28,0),IFERROR(Table10s4!L38*265,0)))</f>
        <v>667.97101449275374</v>
      </c>
      <c r="M39" s="4110">
        <f>IF(SUM(Table10s2!M38,IFERROR(Table10s3!M38*28,0),IFERROR(Table10s4!M38*265,0))=0,"NO",SUM(Table10s2!M38,IFERROR(Table10s3!M38*28,0),IFERROR(Table10s4!M38*265,0)))</f>
        <v>742.89855072463774</v>
      </c>
      <c r="N39" s="4110">
        <f>IF(SUM(Table10s2!N38,IFERROR(Table10s3!N38*28,0),IFERROR(Table10s4!N38*265,0))=0,"NO",SUM(Table10s2!N38,IFERROR(Table10s3!N38*28,0),IFERROR(Table10s4!N38*265,0)))</f>
        <v>792.31884057971024</v>
      </c>
      <c r="O39" s="4110">
        <f>IF(SUM(Table10s2!O38,IFERROR(Table10s3!O38*28,0),IFERROR(Table10s4!O38*265,0))=0,"NO",SUM(Table10s2!O38,IFERROR(Table10s3!O38*28,0),IFERROR(Table10s4!O38*265,0)))</f>
        <v>962.89855072463774</v>
      </c>
      <c r="P39" s="4110">
        <f>IF(SUM(Table10s2!P38,IFERROR(Table10s3!P38*28,0),IFERROR(Table10s4!P38*265,0))=0,"NO",SUM(Table10s2!P38,IFERROR(Table10s3!P38*28,0),IFERROR(Table10s4!P38*265,0)))</f>
        <v>1056.9565217391305</v>
      </c>
      <c r="Q39" s="4110">
        <f>IF(SUM(Table10s2!Q38,IFERROR(Table10s3!Q38*28,0),IFERROR(Table10s4!Q38*265,0))=0,"NO",SUM(Table10s2!Q38,IFERROR(Table10s3!Q38*28,0),IFERROR(Table10s4!Q38*265,0)))</f>
        <v>909.124966614811</v>
      </c>
      <c r="R39" s="4110">
        <f>IF(SUM(Table10s2!R38,IFERROR(Table10s3!R38*28,0),IFERROR(Table10s4!R38*265,0))=0,"NO",SUM(Table10s2!R38,IFERROR(Table10s3!R38*28,0),IFERROR(Table10s4!R38*265,0)))</f>
        <v>875.72997600000019</v>
      </c>
      <c r="S39" s="4110">
        <f>IF(SUM(Table10s2!S38,IFERROR(Table10s3!S38*28,0),IFERROR(Table10s4!S38*265,0))=0,"NO",SUM(Table10s2!S38,IFERROR(Table10s3!S38*28,0),IFERROR(Table10s4!S38*265,0)))</f>
        <v>955.55675560913323</v>
      </c>
      <c r="T39" s="4110">
        <f>IF(SUM(Table10s2!T38,IFERROR(Table10s3!T38*28,0),IFERROR(Table10s4!T38*265,0))=0,"NO",SUM(Table10s2!T38,IFERROR(Table10s3!T38*28,0),IFERROR(Table10s4!T38*265,0)))</f>
        <v>887.27441083555368</v>
      </c>
      <c r="U39" s="4110">
        <f>IF(SUM(Table10s2!U38,IFERROR(Table10s3!U38*28,0),IFERROR(Table10s4!U38*265,0))=0,"NO",SUM(Table10s2!U38,IFERROR(Table10s3!U38*28,0),IFERROR(Table10s4!U38*265,0)))</f>
        <v>756.84856323012491</v>
      </c>
      <c r="V39" s="4110">
        <f>IF(SUM(Table10s2!V38,IFERROR(Table10s3!V38*28,0),IFERROR(Table10s4!V38*265,0))=0,"NO",SUM(Table10s2!V38,IFERROR(Table10s3!V38*28,0),IFERROR(Table10s4!V38*265,0)))</f>
        <v>746.28003635533344</v>
      </c>
      <c r="W39" s="4110">
        <f>IF(SUM(Table10s2!W38,IFERROR(Table10s3!W38*28,0),IFERROR(Table10s4!W38*265,0))=0,"NO",SUM(Table10s2!W38,IFERROR(Table10s3!W38*28,0),IFERROR(Table10s4!W38*265,0)))</f>
        <v>764.85177220220487</v>
      </c>
      <c r="X39" s="4110">
        <f>IF(SUM(Table10s2!X38,IFERROR(Table10s3!X38*28,0),IFERROR(Table10s4!X38*265,0))=0,"NO",SUM(Table10s2!X38,IFERROR(Table10s3!X38*28,0),IFERROR(Table10s4!X38*265,0)))</f>
        <v>783.69324812931677</v>
      </c>
      <c r="Y39" s="4110">
        <f>IF(SUM(Table10s2!Y38,IFERROR(Table10s3!Y38*28,0),IFERROR(Table10s4!Y38*265,0))=0,"NO",SUM(Table10s2!Y38,IFERROR(Table10s3!Y38*28,0),IFERROR(Table10s4!Y38*265,0)))</f>
        <v>936.31003846418662</v>
      </c>
      <c r="Z39" s="4110">
        <f>IF(SUM(Table10s2!Z38,IFERROR(Table10s3!Z38*28,0),IFERROR(Table10s4!Z38*265,0))=0,"NO",SUM(Table10s2!Z38,IFERROR(Table10s3!Z38*28,0),IFERROR(Table10s4!Z38*265,0)))</f>
        <v>1112.2479933256814</v>
      </c>
      <c r="AA39" s="4110">
        <f>IF(SUM(Table10s2!AA38,IFERROR(Table10s3!AA38*28,0),IFERROR(Table10s4!AA38*265,0))=0,"NO",SUM(Table10s2!AA38,IFERROR(Table10s3!AA38*28,0),IFERROR(Table10s4!AA38*265,0)))</f>
        <v>1120.457373631976</v>
      </c>
      <c r="AB39" s="4110">
        <f>IF(SUM(Table10s2!AB38,IFERROR(Table10s3!AB38*28,0),IFERROR(Table10s4!AB38*265,0))=0,"NO",SUM(Table10s2!AB38,IFERROR(Table10s3!AB38*28,0),IFERROR(Table10s4!AB38*265,0)))</f>
        <v>1277.7968497515212</v>
      </c>
      <c r="AC39" s="4110">
        <f>IF(SUM(Table10s2!AC38,IFERROR(Table10s3!AC38*28,0),IFERROR(Table10s4!AC38*265,0))=0,"NO",SUM(Table10s2!AC38,IFERROR(Table10s3!AC38*28,0),IFERROR(Table10s4!AC38*265,0)))</f>
        <v>1352.1662859830203</v>
      </c>
      <c r="AD39" s="4110">
        <f>IF(SUM(Table10s2!AD38,IFERROR(Table10s3!AD38*28,0),IFERROR(Table10s4!AD38*265,0))=0,"NO",SUM(Table10s2!AD38,IFERROR(Table10s3!AD38*28,0),IFERROR(Table10s4!AD38*265,0)))</f>
        <v>1308.5803684117998</v>
      </c>
      <c r="AE39" s="4110">
        <f>IF(SUM(Table10s2!AE38,IFERROR(Table10s3!AE38*28,0),IFERROR(Table10s4!AE38*265,0))=0,"NO",SUM(Table10s2!AE38,IFERROR(Table10s3!AE38*28,0),IFERROR(Table10s4!AE38*265,0)))</f>
        <v>1509.858276147467</v>
      </c>
      <c r="AF39" s="4110">
        <f>IF(SUM(Table10s2!AF38,IFERROR(Table10s3!AF38*28,0),IFERROR(Table10s4!AF38*265,0))=0,"NO",SUM(Table10s2!AF38,IFERROR(Table10s3!AF38*28,0),IFERROR(Table10s4!AF38*265,0)))</f>
        <v>1543.3531240086666</v>
      </c>
      <c r="AG39" s="4110">
        <f>IF(SUM(Table10s2!AG38,IFERROR(Table10s3!AG38*28,0),IFERROR(Table10s4!AG38*265,0))=0,"NO",SUM(Table10s2!AG38,IFERROR(Table10s3!AG38*28,0),IFERROR(Table10s4!AG38*265,0)))</f>
        <v>1356.3276249629334</v>
      </c>
      <c r="AH39" s="4110">
        <f>IF(SUM(Table10s2!AH38,IFERROR(Table10s3!AH38*28,0),IFERROR(Table10s4!AH38*265,0))=0,"NO",SUM(Table10s2!AH38,IFERROR(Table10s3!AH38*28,0),IFERROR(Table10s4!AH38*265,0)))</f>
        <v>1346.9978732532668</v>
      </c>
      <c r="AI39" s="4110">
        <f>IF(SUM(Table10s2!AI38,IFERROR(Table10s3!AI38*28,0),IFERROR(Table10s4!AI38*265,0))=0,"NO",SUM(Table10s2!AI38,IFERROR(Table10s3!AI38*28,0),IFERROR(Table10s4!AI38*265,0)))</f>
        <v>1478.1585285008669</v>
      </c>
      <c r="AJ39" s="4110">
        <f>IF(SUM(Table10s2!AJ38,IFERROR(Table10s3!AJ38*28,0),IFERROR(Table10s4!AJ38*265,0))=0,"NO",SUM(Table10s2!AJ38,IFERROR(Table10s3!AJ38*28,0),IFERROR(Table10s4!AJ38*265,0)))</f>
        <v>1765.0036044615335</v>
      </c>
      <c r="AK39" s="4121">
        <f t="shared" si="1"/>
        <v>381.3646193986001</v>
      </c>
    </row>
    <row r="40" spans="2:37" ht="18" customHeight="1" x14ac:dyDescent="0.2">
      <c r="B40" s="1136" t="s">
        <v>1498</v>
      </c>
      <c r="C40" s="2229"/>
      <c r="D40" s="2229"/>
      <c r="E40" s="4109" t="str">
        <f>IF(SUM(Table10s2!E39,IFERROR(Table10s3!E39*28,0),IFERROR(Table10s4!E39*265,0))=0,"NO",SUM(Table10s2!E39,IFERROR(Table10s3!E39*28,0),IFERROR(Table10s4!E39*265,0)))</f>
        <v>NO</v>
      </c>
      <c r="F40" s="4109" t="str">
        <f>IF(SUM(Table10s2!F39,IFERROR(Table10s3!F39*28,0),IFERROR(Table10s4!F39*265,0))=0,"NO",SUM(Table10s2!F39,IFERROR(Table10s3!F39*28,0),IFERROR(Table10s4!F39*265,0)))</f>
        <v>NO</v>
      </c>
      <c r="G40" s="4110" t="str">
        <f>IF(SUM(Table10s2!G39,IFERROR(Table10s3!G39*28,0),IFERROR(Table10s4!G39*265,0))=0,"NO",SUM(Table10s2!G39,IFERROR(Table10s3!G39*28,0),IFERROR(Table10s4!G39*265,0)))</f>
        <v>NO</v>
      </c>
      <c r="H40" s="4110" t="str">
        <f>IF(SUM(Table10s2!H39,IFERROR(Table10s3!H39*28,0),IFERROR(Table10s4!H39*265,0))=0,"NO",SUM(Table10s2!H39,IFERROR(Table10s3!H39*28,0),IFERROR(Table10s4!H39*265,0)))</f>
        <v>NO</v>
      </c>
      <c r="I40" s="4110" t="str">
        <f>IF(SUM(Table10s2!I39,IFERROR(Table10s3!I39*28,0),IFERROR(Table10s4!I39*265,0))=0,"NO",SUM(Table10s2!I39,IFERROR(Table10s3!I39*28,0),IFERROR(Table10s4!I39*265,0)))</f>
        <v>NO</v>
      </c>
      <c r="J40" s="4110" t="str">
        <f>IF(SUM(Table10s2!J39,IFERROR(Table10s3!J39*28,0),IFERROR(Table10s4!J39*265,0))=0,"NO",SUM(Table10s2!J39,IFERROR(Table10s3!J39*28,0),IFERROR(Table10s4!J39*265,0)))</f>
        <v>NO</v>
      </c>
      <c r="K40" s="4110" t="str">
        <f>IF(SUM(Table10s2!K39,IFERROR(Table10s3!K39*28,0),IFERROR(Table10s4!K39*265,0))=0,"NO",SUM(Table10s2!K39,IFERROR(Table10s3!K39*28,0),IFERROR(Table10s4!K39*265,0)))</f>
        <v>NO</v>
      </c>
      <c r="L40" s="4110" t="str">
        <f>IF(SUM(Table10s2!L39,IFERROR(Table10s3!L39*28,0),IFERROR(Table10s4!L39*265,0))=0,"NO",SUM(Table10s2!L39,IFERROR(Table10s3!L39*28,0),IFERROR(Table10s4!L39*265,0)))</f>
        <v>NO</v>
      </c>
      <c r="M40" s="4110" t="str">
        <f>IF(SUM(Table10s2!M39,IFERROR(Table10s3!M39*28,0),IFERROR(Table10s4!M39*265,0))=0,"NO",SUM(Table10s2!M39,IFERROR(Table10s3!M39*28,0),IFERROR(Table10s4!M39*265,0)))</f>
        <v>NO</v>
      </c>
      <c r="N40" s="4110" t="str">
        <f>IF(SUM(Table10s2!N39,IFERROR(Table10s3!N39*28,0),IFERROR(Table10s4!N39*265,0))=0,"NO",SUM(Table10s2!N39,IFERROR(Table10s3!N39*28,0),IFERROR(Table10s4!N39*265,0)))</f>
        <v>NO</v>
      </c>
      <c r="O40" s="4110" t="str">
        <f>IF(SUM(Table10s2!O39,IFERROR(Table10s3!O39*28,0),IFERROR(Table10s4!O39*265,0))=0,"NO",SUM(Table10s2!O39,IFERROR(Table10s3!O39*28,0),IFERROR(Table10s4!O39*265,0)))</f>
        <v>NO</v>
      </c>
      <c r="P40" s="4110" t="str">
        <f>IF(SUM(Table10s2!P39,IFERROR(Table10s3!P39*28,0),IFERROR(Table10s4!P39*265,0))=0,"NO",SUM(Table10s2!P39,IFERROR(Table10s3!P39*28,0),IFERROR(Table10s4!P39*265,0)))</f>
        <v>NO</v>
      </c>
      <c r="Q40" s="4110" t="str">
        <f>IF(SUM(Table10s2!Q39,IFERROR(Table10s3!Q39*28,0),IFERROR(Table10s4!Q39*265,0))=0,"NO",SUM(Table10s2!Q39,IFERROR(Table10s3!Q39*28,0),IFERROR(Table10s4!Q39*265,0)))</f>
        <v>NO</v>
      </c>
      <c r="R40" s="4110" t="str">
        <f>IF(SUM(Table10s2!R39,IFERROR(Table10s3!R39*28,0),IFERROR(Table10s4!R39*265,0))=0,"NO",SUM(Table10s2!R39,IFERROR(Table10s3!R39*28,0),IFERROR(Table10s4!R39*265,0)))</f>
        <v>NO</v>
      </c>
      <c r="S40" s="4110" t="str">
        <f>IF(SUM(Table10s2!S39,IFERROR(Table10s3!S39*28,0),IFERROR(Table10s4!S39*265,0))=0,"NO",SUM(Table10s2!S39,IFERROR(Table10s3!S39*28,0),IFERROR(Table10s4!S39*265,0)))</f>
        <v>NO</v>
      </c>
      <c r="T40" s="4110" t="str">
        <f>IF(SUM(Table10s2!T39,IFERROR(Table10s3!T39*28,0),IFERROR(Table10s4!T39*265,0))=0,"NO",SUM(Table10s2!T39,IFERROR(Table10s3!T39*28,0),IFERROR(Table10s4!T39*265,0)))</f>
        <v>NO</v>
      </c>
      <c r="U40" s="4110" t="str">
        <f>IF(SUM(Table10s2!U39,IFERROR(Table10s3!U39*28,0),IFERROR(Table10s4!U39*265,0))=0,"NO",SUM(Table10s2!U39,IFERROR(Table10s3!U39*28,0),IFERROR(Table10s4!U39*265,0)))</f>
        <v>NO</v>
      </c>
      <c r="V40" s="4110" t="str">
        <f>IF(SUM(Table10s2!V39,IFERROR(Table10s3!V39*28,0),IFERROR(Table10s4!V39*265,0))=0,"NO",SUM(Table10s2!V39,IFERROR(Table10s3!V39*28,0),IFERROR(Table10s4!V39*265,0)))</f>
        <v>NO</v>
      </c>
      <c r="W40" s="4110" t="str">
        <f>IF(SUM(Table10s2!W39,IFERROR(Table10s3!W39*28,0),IFERROR(Table10s4!W39*265,0))=0,"NO",SUM(Table10s2!W39,IFERROR(Table10s3!W39*28,0),IFERROR(Table10s4!W39*265,0)))</f>
        <v>NO</v>
      </c>
      <c r="X40" s="4110" t="str">
        <f>IF(SUM(Table10s2!X39,IFERROR(Table10s3!X39*28,0),IFERROR(Table10s4!X39*265,0))=0,"NO",SUM(Table10s2!X39,IFERROR(Table10s3!X39*28,0),IFERROR(Table10s4!X39*265,0)))</f>
        <v>NO</v>
      </c>
      <c r="Y40" s="4110" t="str">
        <f>IF(SUM(Table10s2!Y39,IFERROR(Table10s3!Y39*28,0),IFERROR(Table10s4!Y39*265,0))=0,"NO",SUM(Table10s2!Y39,IFERROR(Table10s3!Y39*28,0),IFERROR(Table10s4!Y39*265,0)))</f>
        <v>NO</v>
      </c>
      <c r="Z40" s="4110" t="str">
        <f>IF(SUM(Table10s2!Z39,IFERROR(Table10s3!Z39*28,0),IFERROR(Table10s4!Z39*265,0))=0,"NO",SUM(Table10s2!Z39,IFERROR(Table10s3!Z39*28,0),IFERROR(Table10s4!Z39*265,0)))</f>
        <v>NO</v>
      </c>
      <c r="AA40" s="4110" t="str">
        <f>IF(SUM(Table10s2!AA39,IFERROR(Table10s3!AA39*28,0),IFERROR(Table10s4!AA39*265,0))=0,"NO",SUM(Table10s2!AA39,IFERROR(Table10s3!AA39*28,0),IFERROR(Table10s4!AA39*265,0)))</f>
        <v>NO</v>
      </c>
      <c r="AB40" s="4110" t="str">
        <f>IF(SUM(Table10s2!AB39,IFERROR(Table10s3!AB39*28,0),IFERROR(Table10s4!AB39*265,0))=0,"NO",SUM(Table10s2!AB39,IFERROR(Table10s3!AB39*28,0),IFERROR(Table10s4!AB39*265,0)))</f>
        <v>NO</v>
      </c>
      <c r="AC40" s="4110" t="str">
        <f>IF(SUM(Table10s2!AC39,IFERROR(Table10s3!AC39*28,0),IFERROR(Table10s4!AC39*265,0))=0,"NO",SUM(Table10s2!AC39,IFERROR(Table10s3!AC39*28,0),IFERROR(Table10s4!AC39*265,0)))</f>
        <v>NO</v>
      </c>
      <c r="AD40" s="4110" t="str">
        <f>IF(SUM(Table10s2!AD39,IFERROR(Table10s3!AD39*28,0),IFERROR(Table10s4!AD39*265,0))=0,"NO",SUM(Table10s2!AD39,IFERROR(Table10s3!AD39*28,0),IFERROR(Table10s4!AD39*265,0)))</f>
        <v>NO</v>
      </c>
      <c r="AE40" s="4110" t="str">
        <f>IF(SUM(Table10s2!AE39,IFERROR(Table10s3!AE39*28,0),IFERROR(Table10s4!AE39*265,0))=0,"NO",SUM(Table10s2!AE39,IFERROR(Table10s3!AE39*28,0),IFERROR(Table10s4!AE39*265,0)))</f>
        <v>NO</v>
      </c>
      <c r="AF40" s="4110" t="str">
        <f>IF(SUM(Table10s2!AF39,IFERROR(Table10s3!AF39*28,0),IFERROR(Table10s4!AF39*265,0))=0,"NO",SUM(Table10s2!AF39,IFERROR(Table10s3!AF39*28,0),IFERROR(Table10s4!AF39*265,0)))</f>
        <v>NO</v>
      </c>
      <c r="AG40" s="4110" t="str">
        <f>IF(SUM(Table10s2!AG39,IFERROR(Table10s3!AG39*28,0),IFERROR(Table10s4!AG39*265,0))=0,"NO",SUM(Table10s2!AG39,IFERROR(Table10s3!AG39*28,0),IFERROR(Table10s4!AG39*265,0)))</f>
        <v>NO</v>
      </c>
      <c r="AH40" s="4110" t="str">
        <f>IF(SUM(Table10s2!AH39,IFERROR(Table10s3!AH39*28,0),IFERROR(Table10s4!AH39*265,0))=0,"NO",SUM(Table10s2!AH39,IFERROR(Table10s3!AH39*28,0),IFERROR(Table10s4!AH39*265,0)))</f>
        <v>NO</v>
      </c>
      <c r="AI40" s="4110" t="str">
        <f>IF(SUM(Table10s2!AI39,IFERROR(Table10s3!AI39*28,0),IFERROR(Table10s4!AI39*265,0))=0,"NO",SUM(Table10s2!AI39,IFERROR(Table10s3!AI39*28,0),IFERROR(Table10s4!AI39*265,0)))</f>
        <v>NO</v>
      </c>
      <c r="AJ40" s="4110" t="str">
        <f>IF(SUM(Table10s2!AJ39,IFERROR(Table10s3!AJ39*28,0),IFERROR(Table10s4!AJ39*265,0))=0,"NO",SUM(Table10s2!AJ39,IFERROR(Table10s3!AJ39*28,0),IFERROR(Table10s4!AJ39*265,0)))</f>
        <v>NO</v>
      </c>
      <c r="AK40" s="4121" t="str">
        <f t="shared" si="1"/>
        <v>NA</v>
      </c>
    </row>
    <row r="41" spans="2:37" ht="18" customHeight="1" thickBot="1" x14ac:dyDescent="0.25">
      <c r="B41" s="1376" t="s">
        <v>1499</v>
      </c>
      <c r="C41" s="2229"/>
      <c r="D41" s="2229"/>
      <c r="E41" s="4109" t="str">
        <f>IF(SUM(Table10s2!E40,IFERROR(Table10s3!E40*28,0),IFERROR(Table10s4!E40*265,0))=0,"NO",SUM(Table10s2!E40,IFERROR(Table10s3!E40*28,0),IFERROR(Table10s4!E40*265,0)))</f>
        <v>NO</v>
      </c>
      <c r="F41" s="4109" t="str">
        <f>IF(SUM(Table10s2!F40,IFERROR(Table10s3!F40*28,0),IFERROR(Table10s4!F40*265,0))=0,"NO",SUM(Table10s2!F40,IFERROR(Table10s3!F40*28,0),IFERROR(Table10s4!F40*265,0)))</f>
        <v>NO</v>
      </c>
      <c r="G41" s="4110" t="str">
        <f>IF(SUM(Table10s2!G40,IFERROR(Table10s3!G40*28,0),IFERROR(Table10s4!G40*265,0))=0,"NO",SUM(Table10s2!G40,IFERROR(Table10s3!G40*28,0),IFERROR(Table10s4!G40*265,0)))</f>
        <v>NO</v>
      </c>
      <c r="H41" s="4110" t="str">
        <f>IF(SUM(Table10s2!H40,IFERROR(Table10s3!H40*28,0),IFERROR(Table10s4!H40*265,0))=0,"NO",SUM(Table10s2!H40,IFERROR(Table10s3!H40*28,0),IFERROR(Table10s4!H40*265,0)))</f>
        <v>NO</v>
      </c>
      <c r="I41" s="4110" t="str">
        <f>IF(SUM(Table10s2!I40,IFERROR(Table10s3!I40*28,0),IFERROR(Table10s4!I40*265,0))=0,"NO",SUM(Table10s2!I40,IFERROR(Table10s3!I40*28,0),IFERROR(Table10s4!I40*265,0)))</f>
        <v>NO</v>
      </c>
      <c r="J41" s="4110" t="str">
        <f>IF(SUM(Table10s2!J40,IFERROR(Table10s3!J40*28,0),IFERROR(Table10s4!J40*265,0))=0,"NO",SUM(Table10s2!J40,IFERROR(Table10s3!J40*28,0),IFERROR(Table10s4!J40*265,0)))</f>
        <v>NO</v>
      </c>
      <c r="K41" s="4110" t="str">
        <f>IF(SUM(Table10s2!K40,IFERROR(Table10s3!K40*28,0),IFERROR(Table10s4!K40*265,0))=0,"NO",SUM(Table10s2!K40,IFERROR(Table10s3!K40*28,0),IFERROR(Table10s4!K40*265,0)))</f>
        <v>NO</v>
      </c>
      <c r="L41" s="4110" t="str">
        <f>IF(SUM(Table10s2!L40,IFERROR(Table10s3!L40*28,0),IFERROR(Table10s4!L40*265,0))=0,"NO",SUM(Table10s2!L40,IFERROR(Table10s3!L40*28,0),IFERROR(Table10s4!L40*265,0)))</f>
        <v>NO</v>
      </c>
      <c r="M41" s="4110" t="str">
        <f>IF(SUM(Table10s2!M40,IFERROR(Table10s3!M40*28,0),IFERROR(Table10s4!M40*265,0))=0,"NO",SUM(Table10s2!M40,IFERROR(Table10s3!M40*28,0),IFERROR(Table10s4!M40*265,0)))</f>
        <v>NO</v>
      </c>
      <c r="N41" s="4110" t="str">
        <f>IF(SUM(Table10s2!N40,IFERROR(Table10s3!N40*28,0),IFERROR(Table10s4!N40*265,0))=0,"NO",SUM(Table10s2!N40,IFERROR(Table10s3!N40*28,0),IFERROR(Table10s4!N40*265,0)))</f>
        <v>NO</v>
      </c>
      <c r="O41" s="4110" t="str">
        <f>IF(SUM(Table10s2!O40,IFERROR(Table10s3!O40*28,0),IFERROR(Table10s4!O40*265,0))=0,"NO",SUM(Table10s2!O40,IFERROR(Table10s3!O40*28,0),IFERROR(Table10s4!O40*265,0)))</f>
        <v>NO</v>
      </c>
      <c r="P41" s="4110" t="str">
        <f>IF(SUM(Table10s2!P40,IFERROR(Table10s3!P40*28,0),IFERROR(Table10s4!P40*265,0))=0,"NO",SUM(Table10s2!P40,IFERROR(Table10s3!P40*28,0),IFERROR(Table10s4!P40*265,0)))</f>
        <v>NO</v>
      </c>
      <c r="Q41" s="4110" t="str">
        <f>IF(SUM(Table10s2!Q40,IFERROR(Table10s3!Q40*28,0),IFERROR(Table10s4!Q40*265,0))=0,"NO",SUM(Table10s2!Q40,IFERROR(Table10s3!Q40*28,0),IFERROR(Table10s4!Q40*265,0)))</f>
        <v>NO</v>
      </c>
      <c r="R41" s="4110" t="str">
        <f>IF(SUM(Table10s2!R40,IFERROR(Table10s3!R40*28,0),IFERROR(Table10s4!R40*265,0))=0,"NO",SUM(Table10s2!R40,IFERROR(Table10s3!R40*28,0),IFERROR(Table10s4!R40*265,0)))</f>
        <v>NO</v>
      </c>
      <c r="S41" s="4110" t="str">
        <f>IF(SUM(Table10s2!S40,IFERROR(Table10s3!S40*28,0),IFERROR(Table10s4!S40*265,0))=0,"NO",SUM(Table10s2!S40,IFERROR(Table10s3!S40*28,0),IFERROR(Table10s4!S40*265,0)))</f>
        <v>NO</v>
      </c>
      <c r="T41" s="4110" t="str">
        <f>IF(SUM(Table10s2!T40,IFERROR(Table10s3!T40*28,0),IFERROR(Table10s4!T40*265,0))=0,"NO",SUM(Table10s2!T40,IFERROR(Table10s3!T40*28,0),IFERROR(Table10s4!T40*265,0)))</f>
        <v>NO</v>
      </c>
      <c r="U41" s="4110" t="str">
        <f>IF(SUM(Table10s2!U40,IFERROR(Table10s3!U40*28,0),IFERROR(Table10s4!U40*265,0))=0,"NO",SUM(Table10s2!U40,IFERROR(Table10s3!U40*28,0),IFERROR(Table10s4!U40*265,0)))</f>
        <v>NO</v>
      </c>
      <c r="V41" s="4110" t="str">
        <f>IF(SUM(Table10s2!V40,IFERROR(Table10s3!V40*28,0),IFERROR(Table10s4!V40*265,0))=0,"NO",SUM(Table10s2!V40,IFERROR(Table10s3!V40*28,0),IFERROR(Table10s4!V40*265,0)))</f>
        <v>NO</v>
      </c>
      <c r="W41" s="4110" t="str">
        <f>IF(SUM(Table10s2!W40,IFERROR(Table10s3!W40*28,0),IFERROR(Table10s4!W40*265,0))=0,"NO",SUM(Table10s2!W40,IFERROR(Table10s3!W40*28,0),IFERROR(Table10s4!W40*265,0)))</f>
        <v>NO</v>
      </c>
      <c r="X41" s="4110" t="str">
        <f>IF(SUM(Table10s2!X40,IFERROR(Table10s3!X40*28,0),IFERROR(Table10s4!X40*265,0))=0,"NO",SUM(Table10s2!X40,IFERROR(Table10s3!X40*28,0),IFERROR(Table10s4!X40*265,0)))</f>
        <v>NO</v>
      </c>
      <c r="Y41" s="4110" t="str">
        <f>IF(SUM(Table10s2!Y40,IFERROR(Table10s3!Y40*28,0),IFERROR(Table10s4!Y40*265,0))=0,"NO",SUM(Table10s2!Y40,IFERROR(Table10s3!Y40*28,0),IFERROR(Table10s4!Y40*265,0)))</f>
        <v>NO</v>
      </c>
      <c r="Z41" s="4110" t="str">
        <f>IF(SUM(Table10s2!Z40,IFERROR(Table10s3!Z40*28,0),IFERROR(Table10s4!Z40*265,0))=0,"NO",SUM(Table10s2!Z40,IFERROR(Table10s3!Z40*28,0),IFERROR(Table10s4!Z40*265,0)))</f>
        <v>NO</v>
      </c>
      <c r="AA41" s="4110" t="str">
        <f>IF(SUM(Table10s2!AA40,IFERROR(Table10s3!AA40*28,0),IFERROR(Table10s4!AA40*265,0))=0,"NO",SUM(Table10s2!AA40,IFERROR(Table10s3!AA40*28,0),IFERROR(Table10s4!AA40*265,0)))</f>
        <v>NO</v>
      </c>
      <c r="AB41" s="4110" t="str">
        <f>IF(SUM(Table10s2!AB40,IFERROR(Table10s3!AB40*28,0),IFERROR(Table10s4!AB40*265,0))=0,"NO",SUM(Table10s2!AB40,IFERROR(Table10s3!AB40*28,0),IFERROR(Table10s4!AB40*265,0)))</f>
        <v>NO</v>
      </c>
      <c r="AC41" s="4110" t="str">
        <f>IF(SUM(Table10s2!AC40,IFERROR(Table10s3!AC40*28,0),IFERROR(Table10s4!AC40*265,0))=0,"NO",SUM(Table10s2!AC40,IFERROR(Table10s3!AC40*28,0),IFERROR(Table10s4!AC40*265,0)))</f>
        <v>NO</v>
      </c>
      <c r="AD41" s="4110" t="str">
        <f>IF(SUM(Table10s2!AD40,IFERROR(Table10s3!AD40*28,0),IFERROR(Table10s4!AD40*265,0))=0,"NO",SUM(Table10s2!AD40,IFERROR(Table10s3!AD40*28,0),IFERROR(Table10s4!AD40*265,0)))</f>
        <v>NO</v>
      </c>
      <c r="AE41" s="4110" t="str">
        <f>IF(SUM(Table10s2!AE40,IFERROR(Table10s3!AE40*28,0),IFERROR(Table10s4!AE40*265,0))=0,"NO",SUM(Table10s2!AE40,IFERROR(Table10s3!AE40*28,0),IFERROR(Table10s4!AE40*265,0)))</f>
        <v>NO</v>
      </c>
      <c r="AF41" s="4110" t="str">
        <f>IF(SUM(Table10s2!AF40,IFERROR(Table10s3!AF40*28,0),IFERROR(Table10s4!AF40*265,0))=0,"NO",SUM(Table10s2!AF40,IFERROR(Table10s3!AF40*28,0),IFERROR(Table10s4!AF40*265,0)))</f>
        <v>NO</v>
      </c>
      <c r="AG41" s="4110" t="str">
        <f>IF(SUM(Table10s2!AG40,IFERROR(Table10s3!AG40*28,0),IFERROR(Table10s4!AG40*265,0))=0,"NO",SUM(Table10s2!AG40,IFERROR(Table10s3!AG40*28,0),IFERROR(Table10s4!AG40*265,0)))</f>
        <v>NO</v>
      </c>
      <c r="AH41" s="4110" t="str">
        <f>IF(SUM(Table10s2!AH40,IFERROR(Table10s3!AH40*28,0),IFERROR(Table10s4!AH40*265,0))=0,"NO",SUM(Table10s2!AH40,IFERROR(Table10s3!AH40*28,0),IFERROR(Table10s4!AH40*265,0)))</f>
        <v>NO</v>
      </c>
      <c r="AI41" s="4110" t="str">
        <f>IF(SUM(Table10s2!AI40,IFERROR(Table10s3!AI40*28,0),IFERROR(Table10s4!AI40*265,0))=0,"NO",SUM(Table10s2!AI40,IFERROR(Table10s3!AI40*28,0),IFERROR(Table10s4!AI40*265,0)))</f>
        <v>NO</v>
      </c>
      <c r="AJ41" s="4110" t="str">
        <f>IF(SUM(Table10s2!AJ40,IFERROR(Table10s3!AJ40*28,0),IFERROR(Table10s4!AJ40*265,0))=0,"NO",SUM(Table10s2!AJ40,IFERROR(Table10s3!AJ40*28,0),IFERROR(Table10s4!AJ40*265,0)))</f>
        <v>NO</v>
      </c>
      <c r="AK41" s="4121" t="str">
        <f t="shared" si="1"/>
        <v>NA</v>
      </c>
    </row>
    <row r="42" spans="2:37" ht="18" customHeight="1" x14ac:dyDescent="0.2">
      <c r="B42" s="766" t="s">
        <v>1716</v>
      </c>
      <c r="C42" s="1998"/>
      <c r="D42" s="1998"/>
      <c r="E42" s="4114">
        <f>IF(SUM(Table10s2!E41,IFERROR(Table10s3!E41*28,0),IFERROR(Table10s4!E41*265,0))=0,"NO",SUM(Table10s2!E41,IFERROR(Table10s3!E41*28,0),IFERROR(Table10s4!E41*265,0)))</f>
        <v>198211.88987830689</v>
      </c>
      <c r="F42" s="4114">
        <f>IF(SUM(Table10s2!F41,IFERROR(Table10s3!F41*28,0),IFERROR(Table10s4!F41*265,0))=0,"NO",SUM(Table10s2!F41,IFERROR(Table10s3!F41*28,0),IFERROR(Table10s4!F41*265,0)))</f>
        <v>183447.73386628329</v>
      </c>
      <c r="G42" s="4115">
        <f>IF(SUM(Table10s2!G41,IFERROR(Table10s3!G41*28,0),IFERROR(Table10s4!G41*265,0))=0,"NO",SUM(Table10s2!G41,IFERROR(Table10s3!G41*28,0),IFERROR(Table10s4!G41*265,0)))</f>
        <v>115013.53892279624</v>
      </c>
      <c r="H42" s="4115">
        <f>IF(SUM(Table10s2!H41,IFERROR(Table10s3!H41*28,0),IFERROR(Table10s4!H41*265,0))=0,"NO",SUM(Table10s2!H41,IFERROR(Table10s3!H41*28,0),IFERROR(Table10s4!H41*265,0)))</f>
        <v>93036.736601719036</v>
      </c>
      <c r="I42" s="4115">
        <f>IF(SUM(Table10s2!I41,IFERROR(Table10s3!I41*28,0),IFERROR(Table10s4!I41*265,0))=0,"NO",SUM(Table10s2!I41,IFERROR(Table10s3!I41*28,0),IFERROR(Table10s4!I41*265,0)))</f>
        <v>88348.367651538734</v>
      </c>
      <c r="J42" s="4115">
        <f>IF(SUM(Table10s2!J41,IFERROR(Table10s3!J41*28,0),IFERROR(Table10s4!J41*265,0))=0,"NO",SUM(Table10s2!J41,IFERROR(Table10s3!J41*28,0),IFERROR(Table10s4!J41*265,0)))</f>
        <v>63135.504401490354</v>
      </c>
      <c r="K42" s="4115">
        <f>IF(SUM(Table10s2!K41,IFERROR(Table10s3!K41*28,0),IFERROR(Table10s4!K41*265,0))=0,"NO",SUM(Table10s2!K41,IFERROR(Table10s3!K41*28,0),IFERROR(Table10s4!K41*265,0)))</f>
        <v>64735.736788539325</v>
      </c>
      <c r="L42" s="4115">
        <f>IF(SUM(Table10s2!L41,IFERROR(Table10s3!L41*28,0),IFERROR(Table10s4!L41*265,0))=0,"NO",SUM(Table10s2!L41,IFERROR(Table10s3!L41*28,0),IFERROR(Table10s4!L41*265,0)))</f>
        <v>53014.65220535273</v>
      </c>
      <c r="M42" s="4115">
        <f>IF(SUM(Table10s2!M41,IFERROR(Table10s3!M41*28,0),IFERROR(Table10s4!M41*265,0))=0,"NO",SUM(Table10s2!M41,IFERROR(Table10s3!M41*28,0),IFERROR(Table10s4!M41*265,0)))</f>
        <v>40295.819556987561</v>
      </c>
      <c r="N42" s="4115">
        <f>IF(SUM(Table10s2!N41,IFERROR(Table10s3!N41*28,0),IFERROR(Table10s4!N41*265,0))=0,"NO",SUM(Table10s2!N41,IFERROR(Table10s3!N41*28,0),IFERROR(Table10s4!N41*265,0)))</f>
        <v>49639.104619024016</v>
      </c>
      <c r="O42" s="4115">
        <f>IF(SUM(Table10s2!O41,IFERROR(Table10s3!O41*28,0),IFERROR(Table10s4!O41*265,0))=0,"NO",SUM(Table10s2!O41,IFERROR(Table10s3!O41*28,0),IFERROR(Table10s4!O41*265,0)))</f>
        <v>64769.318743418247</v>
      </c>
      <c r="P42" s="4115">
        <f>IF(SUM(Table10s2!P41,IFERROR(Table10s3!P41*28,0),IFERROR(Table10s4!P41*265,0))=0,"NO",SUM(Table10s2!P41,IFERROR(Table10s3!P41*28,0),IFERROR(Table10s4!P41*265,0)))</f>
        <v>77180.274172959558</v>
      </c>
      <c r="Q42" s="4115">
        <f>IF(SUM(Table10s2!Q41,IFERROR(Table10s3!Q41*28,0),IFERROR(Table10s4!Q41*265,0))=0,"NO",SUM(Table10s2!Q41,IFERROR(Table10s3!Q41*28,0),IFERROR(Table10s4!Q41*265,0)))</f>
        <v>69353.553955349562</v>
      </c>
      <c r="R42" s="4115">
        <f>IF(SUM(Table10s2!R41,IFERROR(Table10s3!R41*28,0),IFERROR(Table10s4!R41*265,0))=0,"NO",SUM(Table10s2!R41,IFERROR(Table10s3!R41*28,0),IFERROR(Table10s4!R41*265,0)))</f>
        <v>79772.770099129193</v>
      </c>
      <c r="S42" s="4115">
        <f>IF(SUM(Table10s2!S41,IFERROR(Table10s3!S41*28,0),IFERROR(Table10s4!S41*265,0))=0,"NO",SUM(Table10s2!S41,IFERROR(Table10s3!S41*28,0),IFERROR(Table10s4!S41*265,0)))</f>
        <v>56026.371070781708</v>
      </c>
      <c r="T42" s="4115">
        <f>IF(SUM(Table10s2!T41,IFERROR(Table10s3!T41*28,0),IFERROR(Table10s4!T41*265,0))=0,"NO",SUM(Table10s2!T41,IFERROR(Table10s3!T41*28,0),IFERROR(Table10s4!T41*265,0)))</f>
        <v>80703.403748299766</v>
      </c>
      <c r="U42" s="4115">
        <f>IF(SUM(Table10s2!U41,IFERROR(Table10s3!U41*28,0),IFERROR(Table10s4!U41*265,0))=0,"NO",SUM(Table10s2!U41,IFERROR(Table10s3!U41*28,0),IFERROR(Table10s4!U41*265,0)))</f>
        <v>86772.698061442527</v>
      </c>
      <c r="V42" s="4115">
        <f>IF(SUM(Table10s2!V41,IFERROR(Table10s3!V41*28,0),IFERROR(Table10s4!V41*265,0))=0,"NO",SUM(Table10s2!V41,IFERROR(Table10s3!V41*28,0),IFERROR(Table10s4!V41*265,0)))</f>
        <v>94783.562181553469</v>
      </c>
      <c r="W42" s="4115">
        <f>IF(SUM(Table10s2!W41,IFERROR(Table10s3!W41*28,0),IFERROR(Table10s4!W41*265,0))=0,"NO",SUM(Table10s2!W41,IFERROR(Table10s3!W41*28,0),IFERROR(Table10s4!W41*265,0)))</f>
        <v>81122.493901969472</v>
      </c>
      <c r="X42" s="4115">
        <f>IF(SUM(Table10s2!X41,IFERROR(Table10s3!X41*28,0),IFERROR(Table10s4!X41*265,0))=0,"NO",SUM(Table10s2!X41,IFERROR(Table10s3!X41*28,0),IFERROR(Table10s4!X41*265,0)))</f>
        <v>78779.197701024925</v>
      </c>
      <c r="Y42" s="4115">
        <f>IF(SUM(Table10s2!Y41,IFERROR(Table10s3!Y41*28,0),IFERROR(Table10s4!Y41*265,0))=0,"NO",SUM(Table10s2!Y41,IFERROR(Table10s3!Y41*28,0),IFERROR(Table10s4!Y41*265,0)))</f>
        <v>66159.892005582413</v>
      </c>
      <c r="Z42" s="4115">
        <f>IF(SUM(Table10s2!Z41,IFERROR(Table10s3!Z41*28,0),IFERROR(Table10s4!Z41*265,0))=0,"NO",SUM(Table10s2!Z41,IFERROR(Table10s3!Z41*28,0),IFERROR(Table10s4!Z41*265,0)))</f>
        <v>45024.895918946255</v>
      </c>
      <c r="AA42" s="4115">
        <f>IF(SUM(Table10s2!AA41,IFERROR(Table10s3!AA41*28,0),IFERROR(Table10s4!AA41*265,0))=0,"NO",SUM(Table10s2!AA41,IFERROR(Table10s3!AA41*28,0),IFERROR(Table10s4!AA41*265,0)))</f>
        <v>26771.89364671048</v>
      </c>
      <c r="AB42" s="4115">
        <f>IF(SUM(Table10s2!AB41,IFERROR(Table10s3!AB41*28,0),IFERROR(Table10s4!AB41*265,0))=0,"NO",SUM(Table10s2!AB41,IFERROR(Table10s3!AB41*28,0),IFERROR(Table10s4!AB41*265,0)))</f>
        <v>17302.671851995532</v>
      </c>
      <c r="AC42" s="4115">
        <f>IF(SUM(Table10s2!AC41,IFERROR(Table10s3!AC41*28,0),IFERROR(Table10s4!AC41*265,0))=0,"NO",SUM(Table10s2!AC41,IFERROR(Table10s3!AC41*28,0),IFERROR(Table10s4!AC41*265,0)))</f>
        <v>20366.032863299763</v>
      </c>
      <c r="AD42" s="4115">
        <f>IF(SUM(Table10s2!AD41,IFERROR(Table10s3!AD41*28,0),IFERROR(Table10s4!AD41*265,0))=0,"NO",SUM(Table10s2!AD41,IFERROR(Table10s3!AD41*28,0),IFERROR(Table10s4!AD41*265,0)))</f>
        <v>-3319.6150418878524</v>
      </c>
      <c r="AE42" s="4115">
        <f>IF(SUM(Table10s2!AE41,IFERROR(Table10s3!AE41*28,0),IFERROR(Table10s4!AE41*265,0))=0,"NO",SUM(Table10s2!AE41,IFERROR(Table10s3!AE41*28,0),IFERROR(Table10s4!AE41*265,0)))</f>
        <v>-39871.822235817621</v>
      </c>
      <c r="AF42" s="4115">
        <f>IF(SUM(Table10s2!AF41,IFERROR(Table10s3!AF41*28,0),IFERROR(Table10s4!AF41*265,0))=0,"NO",SUM(Table10s2!AF41,IFERROR(Table10s3!AF41*28,0),IFERROR(Table10s4!AF41*265,0)))</f>
        <v>-49771.570434421279</v>
      </c>
      <c r="AG42" s="4115">
        <f>IF(SUM(Table10s2!AG41,IFERROR(Table10s3!AG41*28,0),IFERROR(Table10s4!AG41*265,0))=0,"NO",SUM(Table10s2!AG41,IFERROR(Table10s3!AG41*28,0),IFERROR(Table10s4!AG41*265,0)))</f>
        <v>-46601.057598158615</v>
      </c>
      <c r="AH42" s="4115">
        <f>IF(SUM(Table10s2!AH41,IFERROR(Table10s3!AH41*28,0),IFERROR(Table10s4!AH41*265,0))=0,"NO",SUM(Table10s2!AH41,IFERROR(Table10s3!AH41*28,0),IFERROR(Table10s4!AH41*265,0)))</f>
        <v>-49387.874426500726</v>
      </c>
      <c r="AI42" s="4115">
        <f>IF(SUM(Table10s2!AI41,IFERROR(Table10s3!AI41*28,0),IFERROR(Table10s4!AI41*265,0))=0,"NO",SUM(Table10s2!AI41,IFERROR(Table10s3!AI41*28,0),IFERROR(Table10s4!AI41*265,0)))</f>
        <v>-42506.756906139548</v>
      </c>
      <c r="AJ42" s="4115">
        <f>IF(SUM(Table10s2!AJ41,IFERROR(Table10s3!AJ41*28,0),IFERROR(Table10s4!AJ41*265,0))=0,"NO",SUM(Table10s2!AJ41,IFERROR(Table10s3!AJ41*28,0),IFERROR(Table10s4!AJ41*265,0)))</f>
        <v>-63860.982206518856</v>
      </c>
      <c r="AK42" s="4087">
        <f t="shared" si="1"/>
        <v>-132.21854261403118</v>
      </c>
    </row>
    <row r="43" spans="2:37" ht="18" customHeight="1" x14ac:dyDescent="0.2">
      <c r="B43" s="1135" t="s">
        <v>981</v>
      </c>
      <c r="C43" s="1995"/>
      <c r="D43" s="1995"/>
      <c r="E43" s="4094">
        <f>IF(SUM(Table10s2!E42,IFERROR(Table10s3!E42*28,0),IFERROR(Table10s4!E42*265,0))=0,"NO",SUM(Table10s2!E42,IFERROR(Table10s3!E42*28,0),IFERROR(Table10s4!E42*265,0)))</f>
        <v>-7994.7728497452599</v>
      </c>
      <c r="F43" s="4094">
        <f>IF(SUM(Table10s2!F42,IFERROR(Table10s3!F42*28,0),IFERROR(Table10s4!F42*265,0))=0,"NO",SUM(Table10s2!F42,IFERROR(Table10s3!F42*28,0),IFERROR(Table10s4!F42*265,0)))</f>
        <v>-4251.1702929513585</v>
      </c>
      <c r="G43" s="4108">
        <f>IF(SUM(Table10s2!G42,IFERROR(Table10s3!G42*28,0),IFERROR(Table10s4!G42*265,0))=0,"NO",SUM(Table10s2!G42,IFERROR(Table10s3!G42*28,0),IFERROR(Table10s4!G42*265,0)))</f>
        <v>-7945.8427012327247</v>
      </c>
      <c r="H43" s="4108">
        <f>IF(SUM(Table10s2!H42,IFERROR(Table10s3!H42*28,0),IFERROR(Table10s4!H42*265,0))=0,"NO",SUM(Table10s2!H42,IFERROR(Table10s3!H42*28,0),IFERROR(Table10s4!H42*265,0)))</f>
        <v>-15118.063999449374</v>
      </c>
      <c r="I43" s="4108">
        <f>IF(SUM(Table10s2!I42,IFERROR(Table10s3!I42*28,0),IFERROR(Table10s4!I42*265,0))=0,"NO",SUM(Table10s2!I42,IFERROR(Table10s3!I42*28,0),IFERROR(Table10s4!I42*265,0)))</f>
        <v>-10271.573823559822</v>
      </c>
      <c r="J43" s="4108">
        <f>IF(SUM(Table10s2!J42,IFERROR(Table10s3!J42*28,0),IFERROR(Table10s4!J42*265,0))=0,"NO",SUM(Table10s2!J42,IFERROR(Table10s3!J42*28,0),IFERROR(Table10s4!J42*265,0)))</f>
        <v>-13440.702405077702</v>
      </c>
      <c r="K43" s="4108">
        <f>IF(SUM(Table10s2!K42,IFERROR(Table10s3!K42*28,0),IFERROR(Table10s4!K42*265,0))=0,"NO",SUM(Table10s2!K42,IFERROR(Table10s3!K42*28,0),IFERROR(Table10s4!K42*265,0)))</f>
        <v>-19583.601339609395</v>
      </c>
      <c r="L43" s="4108">
        <f>IF(SUM(Table10s2!L42,IFERROR(Table10s3!L42*28,0),IFERROR(Table10s4!L42*265,0))=0,"NO",SUM(Table10s2!L42,IFERROR(Table10s3!L42*28,0),IFERROR(Table10s4!L42*265,0)))</f>
        <v>-36031.977903979379</v>
      </c>
      <c r="M43" s="4108">
        <f>IF(SUM(Table10s2!M42,IFERROR(Table10s3!M42*28,0),IFERROR(Table10s4!M42*265,0))=0,"NO",SUM(Table10s2!M42,IFERROR(Table10s3!M42*28,0),IFERROR(Table10s4!M42*265,0)))</f>
        <v>-31641.528044136223</v>
      </c>
      <c r="N43" s="4108">
        <f>IF(SUM(Table10s2!N42,IFERROR(Table10s3!N42*28,0),IFERROR(Table10s4!N42*265,0))=0,"NO",SUM(Table10s2!N42,IFERROR(Table10s3!N42*28,0),IFERROR(Table10s4!N42*265,0)))</f>
        <v>-30397.833493279988</v>
      </c>
      <c r="O43" s="4108">
        <f>IF(SUM(Table10s2!O42,IFERROR(Table10s3!O42*28,0),IFERROR(Table10s4!O42*265,0))=0,"NO",SUM(Table10s2!O42,IFERROR(Table10s3!O42*28,0),IFERROR(Table10s4!O42*265,0)))</f>
        <v>-18747.141297060301</v>
      </c>
      <c r="P43" s="4108">
        <f>IF(SUM(Table10s2!P42,IFERROR(Table10s3!P42*28,0),IFERROR(Table10s4!P42*265,0))=0,"NO",SUM(Table10s2!P42,IFERROR(Table10s3!P42*28,0),IFERROR(Table10s4!P42*265,0)))</f>
        <v>-19657.960570507617</v>
      </c>
      <c r="Q43" s="4108">
        <f>IF(SUM(Table10s2!Q42,IFERROR(Table10s3!Q42*28,0),IFERROR(Table10s4!Q42*265,0))=0,"NO",SUM(Table10s2!Q42,IFERROR(Table10s3!Q42*28,0),IFERROR(Table10s4!Q42*265,0)))</f>
        <v>-24520.431377234127</v>
      </c>
      <c r="R43" s="4108">
        <f>IF(SUM(Table10s2!R42,IFERROR(Table10s3!R42*28,0),IFERROR(Table10s4!R42*265,0))=0,"NO",SUM(Table10s2!R42,IFERROR(Table10s3!R42*28,0),IFERROR(Table10s4!R42*265,0)))</f>
        <v>-22814.982499793081</v>
      </c>
      <c r="S43" s="4108">
        <f>IF(SUM(Table10s2!S42,IFERROR(Table10s3!S42*28,0),IFERROR(Table10s4!S42*265,0))=0,"NO",SUM(Table10s2!S42,IFERROR(Table10s3!S42*28,0),IFERROR(Table10s4!S42*265,0)))</f>
        <v>-33272.634505256945</v>
      </c>
      <c r="T43" s="4108">
        <f>IF(SUM(Table10s2!T42,IFERROR(Table10s3!T42*28,0),IFERROR(Table10s4!T42*265,0))=0,"NO",SUM(Table10s2!T42,IFERROR(Table10s3!T42*28,0),IFERROR(Table10s4!T42*265,0)))</f>
        <v>-37523.276854049815</v>
      </c>
      <c r="U43" s="4108">
        <f>IF(SUM(Table10s2!U42,IFERROR(Table10s3!U42*28,0),IFERROR(Table10s4!U42*265,0))=0,"NO",SUM(Table10s2!U42,IFERROR(Table10s3!U42*28,0),IFERROR(Table10s4!U42*265,0)))</f>
        <v>-35827.498919137477</v>
      </c>
      <c r="V43" s="4108">
        <f>IF(SUM(Table10s2!V42,IFERROR(Table10s3!V42*28,0),IFERROR(Table10s4!V42*265,0))=0,"NO",SUM(Table10s2!V42,IFERROR(Table10s3!V42*28,0),IFERROR(Table10s4!V42*265,0)))</f>
        <v>-28588.554853660171</v>
      </c>
      <c r="W43" s="4108">
        <f>IF(SUM(Table10s2!W42,IFERROR(Table10s3!W42*28,0),IFERROR(Table10s4!W42*265,0))=0,"NO",SUM(Table10s2!W42,IFERROR(Table10s3!W42*28,0),IFERROR(Table10s4!W42*265,0)))</f>
        <v>-17581.297965492369</v>
      </c>
      <c r="X43" s="4108">
        <f>IF(SUM(Table10s2!X42,IFERROR(Table10s3!X42*28,0),IFERROR(Table10s4!X42*265,0))=0,"NO",SUM(Table10s2!X42,IFERROR(Table10s3!X42*28,0),IFERROR(Table10s4!X42*265,0)))</f>
        <v>-15926.014707703949</v>
      </c>
      <c r="Y43" s="4108">
        <f>IF(SUM(Table10s2!Y42,IFERROR(Table10s3!Y42*28,0),IFERROR(Table10s4!Y42*265,0))=0,"NO",SUM(Table10s2!Y42,IFERROR(Table10s3!Y42*28,0),IFERROR(Table10s4!Y42*265,0)))</f>
        <v>-16811.318057102049</v>
      </c>
      <c r="Z43" s="4108">
        <f>IF(SUM(Table10s2!Z42,IFERROR(Table10s3!Z42*28,0),IFERROR(Table10s4!Z42*265,0))=0,"NO",SUM(Table10s2!Z42,IFERROR(Table10s3!Z42*28,0),IFERROR(Table10s4!Z42*265,0)))</f>
        <v>-20626.499985900173</v>
      </c>
      <c r="AA43" s="4108">
        <f>IF(SUM(Table10s2!AA42,IFERROR(Table10s3!AA42*28,0),IFERROR(Table10s4!AA42*265,0))=0,"NO",SUM(Table10s2!AA42,IFERROR(Table10s3!AA42*28,0),IFERROR(Table10s4!AA42*265,0)))</f>
        <v>-36242.394720235709</v>
      </c>
      <c r="AB43" s="4108">
        <f>IF(SUM(Table10s2!AB42,IFERROR(Table10s3!AB42*28,0),IFERROR(Table10s4!AB42*265,0))=0,"NO",SUM(Table10s2!AB42,IFERROR(Table10s3!AB42*28,0),IFERROR(Table10s4!AB42*265,0)))</f>
        <v>-43988.364205980521</v>
      </c>
      <c r="AC43" s="4108">
        <f>IF(SUM(Table10s2!AC42,IFERROR(Table10s3!AC42*28,0),IFERROR(Table10s4!AC42*265,0))=0,"NO",SUM(Table10s2!AC42,IFERROR(Table10s3!AC42*28,0),IFERROR(Table10s4!AC42*265,0)))</f>
        <v>-46288.250552713762</v>
      </c>
      <c r="AD43" s="4108">
        <f>IF(SUM(Table10s2!AD42,IFERROR(Table10s3!AD42*28,0),IFERROR(Table10s4!AD42*265,0))=0,"NO",SUM(Table10s2!AD42,IFERROR(Table10s3!AD42*28,0),IFERROR(Table10s4!AD42*265,0)))</f>
        <v>-54621.946789719346</v>
      </c>
      <c r="AE43" s="4108">
        <f>IF(SUM(Table10s2!AE42,IFERROR(Table10s3!AE42*28,0),IFERROR(Table10s4!AE42*265,0))=0,"NO",SUM(Table10s2!AE42,IFERROR(Table10s3!AE42*28,0),IFERROR(Table10s4!AE42*265,0)))</f>
        <v>-77068.54791008489</v>
      </c>
      <c r="AF43" s="4108">
        <f>IF(SUM(Table10s2!AF42,IFERROR(Table10s3!AF42*28,0),IFERROR(Table10s4!AF42*265,0))=0,"NO",SUM(Table10s2!AF42,IFERROR(Table10s3!AF42*28,0),IFERROR(Table10s4!AF42*265,0)))</f>
        <v>-81758.632272327348</v>
      </c>
      <c r="AG43" s="4108">
        <f>IF(SUM(Table10s2!AG42,IFERROR(Table10s3!AG42*28,0),IFERROR(Table10s4!AG42*265,0))=0,"NO",SUM(Table10s2!AG42,IFERROR(Table10s3!AG42*28,0),IFERROR(Table10s4!AG42*265,0)))</f>
        <v>-84773.644157562798</v>
      </c>
      <c r="AH43" s="4108">
        <f>IF(SUM(Table10s2!AH42,IFERROR(Table10s3!AH42*28,0),IFERROR(Table10s4!AH42*265,0))=0,"NO",SUM(Table10s2!AH42,IFERROR(Table10s3!AH42*28,0),IFERROR(Table10s4!AH42*265,0)))</f>
        <v>-69393.587896329569</v>
      </c>
      <c r="AI43" s="4108">
        <f>IF(SUM(Table10s2!AI42,IFERROR(Table10s3!AI42*28,0),IFERROR(Table10s4!AI42*265,0))=0,"NO",SUM(Table10s2!AI42,IFERROR(Table10s3!AI42*28,0),IFERROR(Table10s4!AI42*265,0)))</f>
        <v>-77216.532432897991</v>
      </c>
      <c r="AJ43" s="4108">
        <f>IF(SUM(Table10s2!AJ42,IFERROR(Table10s3!AJ42*28,0),IFERROR(Table10s4!AJ42*265,0))=0,"NO",SUM(Table10s2!AJ42,IFERROR(Table10s3!AJ42*28,0),IFERROR(Table10s4!AJ42*265,0)))</f>
        <v>-89252.304972406768</v>
      </c>
      <c r="AK43" s="4101">
        <f t="shared" si="1"/>
        <v>1016.3832500288067</v>
      </c>
    </row>
    <row r="44" spans="2:37" ht="18" customHeight="1" x14ac:dyDescent="0.2">
      <c r="B44" s="1135" t="s">
        <v>984</v>
      </c>
      <c r="C44" s="1995"/>
      <c r="D44" s="1995"/>
      <c r="E44" s="4094">
        <f>IF(SUM(Table10s2!E43,IFERROR(Table10s3!E43*28,0),IFERROR(Table10s4!E43*265,0))=0,"NO",SUM(Table10s2!E43,IFERROR(Table10s3!E43*28,0),IFERROR(Table10s4!E43*265,0)))</f>
        <v>45896.273952431737</v>
      </c>
      <c r="F44" s="4094">
        <f>IF(SUM(Table10s2!F43,IFERROR(Table10s3!F43*28,0),IFERROR(Table10s4!F43*265,0))=0,"NO",SUM(Table10s2!F43,IFERROR(Table10s3!F43*28,0),IFERROR(Table10s4!F43*265,0)))</f>
        <v>40451.933442270871</v>
      </c>
      <c r="G44" s="4108">
        <f>IF(SUM(Table10s2!G43,IFERROR(Table10s3!G43*28,0),IFERROR(Table10s4!G43*265,0))=0,"NO",SUM(Table10s2!G43,IFERROR(Table10s3!G43*28,0),IFERROR(Table10s4!G43*265,0)))</f>
        <v>27165.830895421073</v>
      </c>
      <c r="H44" s="4108">
        <f>IF(SUM(Table10s2!H43,IFERROR(Table10s3!H43*28,0),IFERROR(Table10s4!H43*265,0))=0,"NO",SUM(Table10s2!H43,IFERROR(Table10s3!H43*28,0),IFERROR(Table10s4!H43*265,0)))</f>
        <v>24800.204706953875</v>
      </c>
      <c r="I44" s="4108">
        <f>IF(SUM(Table10s2!I43,IFERROR(Table10s3!I43*28,0),IFERROR(Table10s4!I43*265,0))=0,"NO",SUM(Table10s2!I43,IFERROR(Table10s3!I43*28,0),IFERROR(Table10s4!I43*265,0)))</f>
        <v>22177.250204230098</v>
      </c>
      <c r="J44" s="4108">
        <f>IF(SUM(Table10s2!J43,IFERROR(Table10s3!J43*28,0),IFERROR(Table10s4!J43*265,0))=0,"NO",SUM(Table10s2!J43,IFERROR(Table10s3!J43*28,0),IFERROR(Table10s4!J43*265,0)))</f>
        <v>13125.215579157488</v>
      </c>
      <c r="K44" s="4108">
        <f>IF(SUM(Table10s2!K43,IFERROR(Table10s3!K43*28,0),IFERROR(Table10s4!K43*265,0))=0,"NO",SUM(Table10s2!K43,IFERROR(Table10s3!K43*28,0),IFERROR(Table10s4!K43*265,0)))</f>
        <v>14267.341529206135</v>
      </c>
      <c r="L44" s="4108">
        <f>IF(SUM(Table10s2!L43,IFERROR(Table10s3!L43*28,0),IFERROR(Table10s4!L43*265,0))=0,"NO",SUM(Table10s2!L43,IFERROR(Table10s3!L43*28,0),IFERROR(Table10s4!L43*265,0)))</f>
        <v>11910.802610131146</v>
      </c>
      <c r="M44" s="4108">
        <f>IF(SUM(Table10s2!M43,IFERROR(Table10s3!M43*28,0),IFERROR(Table10s4!M43*265,0))=0,"NO",SUM(Table10s2!M43,IFERROR(Table10s3!M43*28,0),IFERROR(Table10s4!M43*265,0)))</f>
        <v>5177.2160096307498</v>
      </c>
      <c r="N44" s="4108">
        <f>IF(SUM(Table10s2!N43,IFERROR(Table10s3!N43*28,0),IFERROR(Table10s4!N43*265,0))=0,"NO",SUM(Table10s2!N43,IFERROR(Table10s3!N43*28,0),IFERROR(Table10s4!N43*265,0)))</f>
        <v>5039.8037520921334</v>
      </c>
      <c r="O44" s="4108">
        <f>IF(SUM(Table10s2!O43,IFERROR(Table10s3!O43*28,0),IFERROR(Table10s4!O43*265,0))=0,"NO",SUM(Table10s2!O43,IFERROR(Table10s3!O43*28,0),IFERROR(Table10s4!O43*265,0)))</f>
        <v>3472.3988927584978</v>
      </c>
      <c r="P44" s="4108">
        <f>IF(SUM(Table10s2!P43,IFERROR(Table10s3!P43*28,0),IFERROR(Table10s4!P43*265,0))=0,"NO",SUM(Table10s2!P43,IFERROR(Table10s3!P43*28,0),IFERROR(Table10s4!P43*265,0)))</f>
        <v>6304.2738043271938</v>
      </c>
      <c r="Q44" s="4108">
        <f>IF(SUM(Table10s2!Q43,IFERROR(Table10s3!Q43*28,0),IFERROR(Table10s4!Q43*265,0))=0,"NO",SUM(Table10s2!Q43,IFERROR(Table10s3!Q43*28,0),IFERROR(Table10s4!Q43*265,0)))</f>
        <v>6222.2046861166536</v>
      </c>
      <c r="R44" s="4108">
        <f>IF(SUM(Table10s2!R43,IFERROR(Table10s3!R43*28,0),IFERROR(Table10s4!R43*265,0))=0,"NO",SUM(Table10s2!R43,IFERROR(Table10s3!R43*28,0),IFERROR(Table10s4!R43*265,0)))</f>
        <v>7662.185107342335</v>
      </c>
      <c r="S44" s="4108">
        <f>IF(SUM(Table10s2!S43,IFERROR(Table10s3!S43*28,0),IFERROR(Table10s4!S43*265,0))=0,"NO",SUM(Table10s2!S43,IFERROR(Table10s3!S43*28,0),IFERROR(Table10s4!S43*265,0)))</f>
        <v>8425.231804397119</v>
      </c>
      <c r="T44" s="4108">
        <f>IF(SUM(Table10s2!T43,IFERROR(Table10s3!T43*28,0),IFERROR(Table10s4!T43*265,0))=0,"NO",SUM(Table10s2!T43,IFERROR(Table10s3!T43*28,0),IFERROR(Table10s4!T43*265,0)))</f>
        <v>11712.61813989847</v>
      </c>
      <c r="U44" s="4108">
        <f>IF(SUM(Table10s2!U43,IFERROR(Table10s3!U43*28,0),IFERROR(Table10s4!U43*265,0))=0,"NO",SUM(Table10s2!U43,IFERROR(Table10s3!U43*28,0),IFERROR(Table10s4!U43*265,0)))</f>
        <v>10581.138673337759</v>
      </c>
      <c r="V44" s="4108">
        <f>IF(SUM(Table10s2!V43,IFERROR(Table10s3!V43*28,0),IFERROR(Table10s4!V43*265,0))=0,"NO",SUM(Table10s2!V43,IFERROR(Table10s3!V43*28,0),IFERROR(Table10s4!V43*265,0)))</f>
        <v>10521.385110817617</v>
      </c>
      <c r="W44" s="4108">
        <f>IF(SUM(Table10s2!W43,IFERROR(Table10s3!W43*28,0),IFERROR(Table10s4!W43*265,0))=0,"NO",SUM(Table10s2!W43,IFERROR(Table10s3!W43*28,0),IFERROR(Table10s4!W43*265,0)))</f>
        <v>10406.818222070488</v>
      </c>
      <c r="X44" s="4108">
        <f>IF(SUM(Table10s2!X43,IFERROR(Table10s3!X43*28,0),IFERROR(Table10s4!X43*265,0))=0,"NO",SUM(Table10s2!X43,IFERROR(Table10s3!X43*28,0),IFERROR(Table10s4!X43*265,0)))</f>
        <v>11180.889888127065</v>
      </c>
      <c r="Y44" s="4108">
        <f>IF(SUM(Table10s2!Y43,IFERROR(Table10s3!Y43*28,0),IFERROR(Table10s4!Y43*265,0))=0,"NO",SUM(Table10s2!Y43,IFERROR(Table10s3!Y43*28,0),IFERROR(Table10s4!Y43*265,0)))</f>
        <v>5174.2789914801133</v>
      </c>
      <c r="Z44" s="4108">
        <f>IF(SUM(Table10s2!Z43,IFERROR(Table10s3!Z43*28,0),IFERROR(Table10s4!Z43*265,0))=0,"NO",SUM(Table10s2!Z43,IFERROR(Table10s3!Z43*28,0),IFERROR(Table10s4!Z43*265,0)))</f>
        <v>6148.1902621479412</v>
      </c>
      <c r="AA44" s="4108">
        <f>IF(SUM(Table10s2!AA43,IFERROR(Table10s3!AA43*28,0),IFERROR(Table10s4!AA43*265,0))=0,"NO",SUM(Table10s2!AA43,IFERROR(Table10s3!AA43*28,0),IFERROR(Table10s4!AA43*265,0)))</f>
        <v>3483.9876116584051</v>
      </c>
      <c r="AB44" s="4108">
        <f>IF(SUM(Table10s2!AB43,IFERROR(Table10s3!AB43*28,0),IFERROR(Table10s4!AB43*265,0))=0,"NO",SUM(Table10s2!AB43,IFERROR(Table10s3!AB43*28,0),IFERROR(Table10s4!AB43*265,0)))</f>
        <v>5616.2897113891549</v>
      </c>
      <c r="AC44" s="4108">
        <f>IF(SUM(Table10s2!AC43,IFERROR(Table10s3!AC43*28,0),IFERROR(Table10s4!AC43*265,0))=0,"NO",SUM(Table10s2!AC43,IFERROR(Table10s3!AC43*28,0),IFERROR(Table10s4!AC43*265,0)))</f>
        <v>6042.9520550693587</v>
      </c>
      <c r="AD44" s="4108">
        <f>IF(SUM(Table10s2!AD43,IFERROR(Table10s3!AD43*28,0),IFERROR(Table10s4!AD43*265,0))=0,"NO",SUM(Table10s2!AD43,IFERROR(Table10s3!AD43*28,0),IFERROR(Table10s4!AD43*265,0)))</f>
        <v>1733.9522656851655</v>
      </c>
      <c r="AE44" s="4108">
        <f>IF(SUM(Table10s2!AE43,IFERROR(Table10s3!AE43*28,0),IFERROR(Table10s4!AE43*265,0))=0,"NO",SUM(Table10s2!AE43,IFERROR(Table10s3!AE43*28,0),IFERROR(Table10s4!AE43*265,0)))</f>
        <v>-2874.0249678233972</v>
      </c>
      <c r="AF44" s="4108">
        <f>IF(SUM(Table10s2!AF43,IFERROR(Table10s3!AF43*28,0),IFERROR(Table10s4!AF43*265,0))=0,"NO",SUM(Table10s2!AF43,IFERROR(Table10s3!AF43*28,0),IFERROR(Table10s4!AF43*265,0)))</f>
        <v>-3155.6381045050261</v>
      </c>
      <c r="AG44" s="4108">
        <f>IF(SUM(Table10s2!AG43,IFERROR(Table10s3!AG43*28,0),IFERROR(Table10s4!AG43*265,0))=0,"NO",SUM(Table10s2!AG43,IFERROR(Table10s3!AG43*28,0),IFERROR(Table10s4!AG43*265,0)))</f>
        <v>-2865.3322023976016</v>
      </c>
      <c r="AH44" s="4108">
        <f>IF(SUM(Table10s2!AH43,IFERROR(Table10s3!AH43*28,0),IFERROR(Table10s4!AH43*265,0))=0,"NO",SUM(Table10s2!AH43,IFERROR(Table10s3!AH43*28,0),IFERROR(Table10s4!AH43*265,0)))</f>
        <v>-3085.1522494289129</v>
      </c>
      <c r="AI44" s="4108">
        <f>IF(SUM(Table10s2!AI43,IFERROR(Table10s3!AI43*28,0),IFERROR(Table10s4!AI43*265,0))=0,"NO",SUM(Table10s2!AI43,IFERROR(Table10s3!AI43*28,0),IFERROR(Table10s4!AI43*265,0)))</f>
        <v>2684.4839028835031</v>
      </c>
      <c r="AJ44" s="4108">
        <f>IF(SUM(Table10s2!AJ43,IFERROR(Table10s3!AJ43*28,0),IFERROR(Table10s4!AJ43*265,0))=0,"NO",SUM(Table10s2!AJ43,IFERROR(Table10s3!AJ43*28,0),IFERROR(Table10s4!AJ43*265,0)))</f>
        <v>5128.3610398248547</v>
      </c>
      <c r="AK44" s="4101">
        <f t="shared" si="1"/>
        <v>-88.826193069310946</v>
      </c>
    </row>
    <row r="45" spans="2:37" ht="18" customHeight="1" x14ac:dyDescent="0.2">
      <c r="B45" s="1135" t="s">
        <v>1717</v>
      </c>
      <c r="C45" s="1995"/>
      <c r="D45" s="1995"/>
      <c r="E45" s="4094">
        <f>IF(SUM(Table10s2!E44,IFERROR(Table10s3!E44*28,0),IFERROR(Table10s4!E44*265,0))=0,"NO",SUM(Table10s2!E44,IFERROR(Table10s3!E44*28,0),IFERROR(Table10s4!E44*265,0)))</f>
        <v>156243.37620917373</v>
      </c>
      <c r="F45" s="4094">
        <f>IF(SUM(Table10s2!F44,IFERROR(Table10s3!F44*28,0),IFERROR(Table10s4!F44*265,0))=0,"NO",SUM(Table10s2!F44,IFERROR(Table10s3!F44*28,0),IFERROR(Table10s4!F44*265,0)))</f>
        <v>142557.26925996999</v>
      </c>
      <c r="G45" s="4108">
        <f>IF(SUM(Table10s2!G44,IFERROR(Table10s3!G44*28,0),IFERROR(Table10s4!G44*265,0))=0,"NO",SUM(Table10s2!G44,IFERROR(Table10s3!G44*28,0),IFERROR(Table10s4!G44*265,0)))</f>
        <v>91501.862701613412</v>
      </c>
      <c r="H45" s="4108">
        <f>IF(SUM(Table10s2!H44,IFERROR(Table10s3!H44*28,0),IFERROR(Table10s4!H44*265,0))=0,"NO",SUM(Table10s2!H44,IFERROR(Table10s3!H44*28,0),IFERROR(Table10s4!H44*265,0)))</f>
        <v>80146.475345022685</v>
      </c>
      <c r="I45" s="4108">
        <f>IF(SUM(Table10s2!I44,IFERROR(Table10s3!I44*28,0),IFERROR(Table10s4!I44*265,0))=0,"NO",SUM(Table10s2!I44,IFERROR(Table10s3!I44*28,0),IFERROR(Table10s4!I44*265,0)))</f>
        <v>74854.674578220161</v>
      </c>
      <c r="J45" s="4108">
        <f>IF(SUM(Table10s2!J44,IFERROR(Table10s3!J44*28,0),IFERROR(Table10s4!J44*265,0))=0,"NO",SUM(Table10s2!J44,IFERROR(Table10s3!J44*28,0),IFERROR(Table10s4!J44*265,0)))</f>
        <v>62993.995056637577</v>
      </c>
      <c r="K45" s="4108">
        <f>IF(SUM(Table10s2!K44,IFERROR(Table10s3!K44*28,0),IFERROR(Table10s4!K44*265,0))=0,"NO",SUM(Table10s2!K44,IFERROR(Table10s3!K44*28,0),IFERROR(Table10s4!K44*265,0)))</f>
        <v>67550.66864012352</v>
      </c>
      <c r="L45" s="4108">
        <f>IF(SUM(Table10s2!L44,IFERROR(Table10s3!L44*28,0),IFERROR(Table10s4!L44*265,0))=0,"NO",SUM(Table10s2!L44,IFERROR(Table10s3!L44*28,0),IFERROR(Table10s4!L44*265,0)))</f>
        <v>74090.491027234384</v>
      </c>
      <c r="M45" s="4108">
        <f>IF(SUM(Table10s2!M44,IFERROR(Table10s3!M44*28,0),IFERROR(Table10s4!M44*265,0))=0,"NO",SUM(Table10s2!M44,IFERROR(Table10s3!M44*28,0),IFERROR(Table10s4!M44*265,0)))</f>
        <v>64940.96539081532</v>
      </c>
      <c r="N45" s="4108">
        <f>IF(SUM(Table10s2!N44,IFERROR(Table10s3!N44*28,0),IFERROR(Table10s4!N44*265,0))=0,"NO",SUM(Table10s2!N44,IFERROR(Table10s3!N44*28,0),IFERROR(Table10s4!N44*265,0)))</f>
        <v>72394.781652689999</v>
      </c>
      <c r="O45" s="4108">
        <f>IF(SUM(Table10s2!O44,IFERROR(Table10s3!O44*28,0),IFERROR(Table10s4!O44*265,0))=0,"NO",SUM(Table10s2!O44,IFERROR(Table10s3!O44*28,0),IFERROR(Table10s4!O44*265,0)))</f>
        <v>78637.764969823649</v>
      </c>
      <c r="P45" s="4108">
        <f>IF(SUM(Table10s2!P44,IFERROR(Table10s3!P44*28,0),IFERROR(Table10s4!P44*265,0))=0,"NO",SUM(Table10s2!P44,IFERROR(Table10s3!P44*28,0),IFERROR(Table10s4!P44*265,0)))</f>
        <v>88894.903538209241</v>
      </c>
      <c r="Q45" s="4108">
        <f>IF(SUM(Table10s2!Q44,IFERROR(Table10s3!Q44*28,0),IFERROR(Table10s4!Q44*265,0))=0,"NO",SUM(Table10s2!Q44,IFERROR(Table10s3!Q44*28,0),IFERROR(Table10s4!Q44*265,0)))</f>
        <v>86248.669156849399</v>
      </c>
      <c r="R45" s="4108">
        <f>IF(SUM(Table10s2!R44,IFERROR(Table10s3!R44*28,0),IFERROR(Table10s4!R44*265,0))=0,"NO",SUM(Table10s2!R44,IFERROR(Table10s3!R44*28,0),IFERROR(Table10s4!R44*265,0)))</f>
        <v>93995.578074656529</v>
      </c>
      <c r="S45" s="4108">
        <f>IF(SUM(Table10s2!S44,IFERROR(Table10s3!S44*28,0),IFERROR(Table10s4!S44*265,0))=0,"NO",SUM(Table10s2!S44,IFERROR(Table10s3!S44*28,0),IFERROR(Table10s4!S44*265,0)))</f>
        <v>80869.48460561331</v>
      </c>
      <c r="T45" s="4108">
        <f>IF(SUM(Table10s2!T44,IFERROR(Table10s3!T44*28,0),IFERROR(Table10s4!T44*265,0))=0,"NO",SUM(Table10s2!T44,IFERROR(Table10s3!T44*28,0),IFERROR(Table10s4!T44*265,0)))</f>
        <v>105355.24998445033</v>
      </c>
      <c r="U45" s="4108">
        <f>IF(SUM(Table10s2!U44,IFERROR(Table10s3!U44*28,0),IFERROR(Table10s4!U44*265,0))=0,"NO",SUM(Table10s2!U44,IFERROR(Table10s3!U44*28,0),IFERROR(Table10s4!U44*265,0)))</f>
        <v>109580.25692901001</v>
      </c>
      <c r="V45" s="4108">
        <f>IF(SUM(Table10s2!V44,IFERROR(Table10s3!V44*28,0),IFERROR(Table10s4!V44*265,0))=0,"NO",SUM(Table10s2!V44,IFERROR(Table10s3!V44*28,0),IFERROR(Table10s4!V44*265,0)))</f>
        <v>109924.09038814544</v>
      </c>
      <c r="W45" s="4108">
        <f>IF(SUM(Table10s2!W44,IFERROR(Table10s3!W44*28,0),IFERROR(Table10s4!W44*265,0))=0,"NO",SUM(Table10s2!W44,IFERROR(Table10s3!W44*28,0),IFERROR(Table10s4!W44*265,0)))</f>
        <v>85609.154374791018</v>
      </c>
      <c r="X45" s="4108">
        <f>IF(SUM(Table10s2!X44,IFERROR(Table10s3!X44*28,0),IFERROR(Table10s4!X44*265,0))=0,"NO",SUM(Table10s2!X44,IFERROR(Table10s3!X44*28,0),IFERROR(Table10s4!X44*265,0)))</f>
        <v>79366.11008371842</v>
      </c>
      <c r="Y45" s="4108">
        <f>IF(SUM(Table10s2!Y44,IFERROR(Table10s3!Y44*28,0),IFERROR(Table10s4!Y44*265,0))=0,"NO",SUM(Table10s2!Y44,IFERROR(Table10s3!Y44*28,0),IFERROR(Table10s4!Y44*265,0)))</f>
        <v>73648.140315261611</v>
      </c>
      <c r="Z45" s="4108">
        <f>IF(SUM(Table10s2!Z44,IFERROR(Table10s3!Z44*28,0),IFERROR(Table10s4!Z44*265,0))=0,"NO",SUM(Table10s2!Z44,IFERROR(Table10s3!Z44*28,0),IFERROR(Table10s4!Z44*265,0)))</f>
        <v>54633.380143755159</v>
      </c>
      <c r="AA45" s="4108">
        <f>IF(SUM(Table10s2!AA44,IFERROR(Table10s3!AA44*28,0),IFERROR(Table10s4!AA44*265,0))=0,"NO",SUM(Table10s2!AA44,IFERROR(Table10s3!AA44*28,0),IFERROR(Table10s4!AA44*265,0)))</f>
        <v>55289.766612464307</v>
      </c>
      <c r="AB45" s="4108">
        <f>IF(SUM(Table10s2!AB44,IFERROR(Table10s3!AB44*28,0),IFERROR(Table10s4!AB44*265,0))=0,"NO",SUM(Table10s2!AB44,IFERROR(Table10s3!AB44*28,0),IFERROR(Table10s4!AB44*265,0)))</f>
        <v>52404.950418551896</v>
      </c>
      <c r="AC45" s="4108">
        <f>IF(SUM(Table10s2!AC44,IFERROR(Table10s3!AC44*28,0),IFERROR(Table10s4!AC44*265,0))=0,"NO",SUM(Table10s2!AC44,IFERROR(Table10s3!AC44*28,0),IFERROR(Table10s4!AC44*265,0)))</f>
        <v>57317.197858994419</v>
      </c>
      <c r="AD45" s="4108">
        <f>IF(SUM(Table10s2!AD44,IFERROR(Table10s3!AD44*28,0),IFERROR(Table10s4!AD44*265,0))=0,"NO",SUM(Table10s2!AD44,IFERROR(Table10s3!AD44*28,0),IFERROR(Table10s4!AD44*265,0)))</f>
        <v>46792.352616870739</v>
      </c>
      <c r="AE45" s="4108">
        <f>IF(SUM(Table10s2!AE44,IFERROR(Table10s3!AE44*28,0),IFERROR(Table10s4!AE44*265,0))=0,"NO",SUM(Table10s2!AE44,IFERROR(Table10s3!AE44*28,0),IFERROR(Table10s4!AE44*265,0)))</f>
        <v>37750.98609727405</v>
      </c>
      <c r="AF45" s="4108">
        <f>IF(SUM(Table10s2!AF44,IFERROR(Table10s3!AF44*28,0),IFERROR(Table10s4!AF44*265,0))=0,"NO",SUM(Table10s2!AF44,IFERROR(Table10s3!AF44*28,0),IFERROR(Table10s4!AF44*265,0)))</f>
        <v>32782.838966919851</v>
      </c>
      <c r="AG45" s="4108">
        <f>IF(SUM(Table10s2!AG44,IFERROR(Table10s3!AG44*28,0),IFERROR(Table10s4!AG44*265,0))=0,"NO",SUM(Table10s2!AG44,IFERROR(Table10s3!AG44*28,0),IFERROR(Table10s4!AG44*265,0)))</f>
        <v>40557.737670506816</v>
      </c>
      <c r="AH45" s="4108">
        <f>IF(SUM(Table10s2!AH44,IFERROR(Table10s3!AH44*28,0),IFERROR(Table10s4!AH44*265,0))=0,"NO",SUM(Table10s2!AH44,IFERROR(Table10s3!AH44*28,0),IFERROR(Table10s4!AH44*265,0)))</f>
        <v>22632.130791384043</v>
      </c>
      <c r="AI45" s="4108">
        <f>IF(SUM(Table10s2!AI44,IFERROR(Table10s3!AI44*28,0),IFERROR(Table10s4!AI44*265,0))=0,"NO",SUM(Table10s2!AI44,IFERROR(Table10s3!AI44*28,0),IFERROR(Table10s4!AI44*265,0)))</f>
        <v>31876.334950583143</v>
      </c>
      <c r="AJ45" s="4108">
        <f>IF(SUM(Table10s2!AJ44,IFERROR(Table10s3!AJ44*28,0),IFERROR(Table10s4!AJ44*265,0))=0,"NO",SUM(Table10s2!AJ44,IFERROR(Table10s3!AJ44*28,0),IFERROR(Table10s4!AJ44*265,0)))</f>
        <v>20564.599190445715</v>
      </c>
      <c r="AK45" s="4101">
        <f t="shared" si="1"/>
        <v>-86.83809855534966</v>
      </c>
    </row>
    <row r="46" spans="2:37" ht="18" customHeight="1" x14ac:dyDescent="0.2">
      <c r="B46" s="1135" t="s">
        <v>1525</v>
      </c>
      <c r="C46" s="1995"/>
      <c r="D46" s="1995"/>
      <c r="E46" s="4094">
        <f>IF(SUM(Table10s2!E45,IFERROR(Table10s3!E45*28,0),IFERROR(Table10s4!E45*265,0))=0,"NO",SUM(Table10s2!E45,IFERROR(Table10s3!E45*28,0),IFERROR(Table10s4!E45*265,0)))</f>
        <v>3958.2226142348541</v>
      </c>
      <c r="F46" s="4094">
        <f>IF(SUM(Table10s2!F45,IFERROR(Table10s3!F45*28,0),IFERROR(Table10s4!F45*265,0))=0,"NO",SUM(Table10s2!F45,IFERROR(Table10s3!F45*28,0),IFERROR(Table10s4!F45*265,0)))</f>
        <v>4310.8587212999482</v>
      </c>
      <c r="G46" s="4108">
        <f>IF(SUM(Table10s2!G45,IFERROR(Table10s3!G45*28,0),IFERROR(Table10s4!G45*265,0))=0,"NO",SUM(Table10s2!G45,IFERROR(Table10s3!G45*28,0),IFERROR(Table10s4!G45*265,0)))</f>
        <v>4416.1133828069142</v>
      </c>
      <c r="H46" s="4108">
        <f>IF(SUM(Table10s2!H45,IFERROR(Table10s3!H45*28,0),IFERROR(Table10s4!H45*265,0))=0,"NO",SUM(Table10s2!H45,IFERROR(Table10s3!H45*28,0),IFERROR(Table10s4!H45*265,0)))</f>
        <v>3778.5937164938246</v>
      </c>
      <c r="I46" s="4108">
        <f>IF(SUM(Table10s2!I45,IFERROR(Table10s3!I45*28,0),IFERROR(Table10s4!I45*265,0))=0,"NO",SUM(Table10s2!I45,IFERROR(Table10s3!I45*28,0),IFERROR(Table10s4!I45*265,0)))</f>
        <v>2610.7317562450739</v>
      </c>
      <c r="J46" s="4108">
        <f>IF(SUM(Table10s2!J45,IFERROR(Table10s3!J45*28,0),IFERROR(Table10s4!J45*265,0))=0,"NO",SUM(Table10s2!J45,IFERROR(Table10s3!J45*28,0),IFERROR(Table10s4!J45*265,0)))</f>
        <v>2570.2296425874679</v>
      </c>
      <c r="K46" s="4108">
        <f>IF(SUM(Table10s2!K45,IFERROR(Table10s3!K45*28,0),IFERROR(Table10s4!K45*265,0))=0,"NO",SUM(Table10s2!K45,IFERROR(Table10s3!K45*28,0),IFERROR(Table10s4!K45*265,0)))</f>
        <v>3618.7745175020541</v>
      </c>
      <c r="L46" s="4108">
        <f>IF(SUM(Table10s2!L45,IFERROR(Table10s3!L45*28,0),IFERROR(Table10s4!L45*265,0))=0,"NO",SUM(Table10s2!L45,IFERROR(Table10s3!L45*28,0),IFERROR(Table10s4!L45*265,0)))</f>
        <v>3905.4307428253483</v>
      </c>
      <c r="M46" s="4108">
        <f>IF(SUM(Table10s2!M45,IFERROR(Table10s3!M45*28,0),IFERROR(Table10s4!M45*265,0))=0,"NO",SUM(Table10s2!M45,IFERROR(Table10s3!M45*28,0),IFERROR(Table10s4!M45*265,0)))</f>
        <v>3663.6679696878596</v>
      </c>
      <c r="N46" s="4108">
        <f>IF(SUM(Table10s2!N45,IFERROR(Table10s3!N45*28,0),IFERROR(Table10s4!N45*265,0))=0,"NO",SUM(Table10s2!N45,IFERROR(Table10s3!N45*28,0),IFERROR(Table10s4!N45*265,0)))</f>
        <v>3825.3889258015874</v>
      </c>
      <c r="O46" s="4108">
        <f>IF(SUM(Table10s2!O45,IFERROR(Table10s3!O45*28,0),IFERROR(Table10s4!O45*265,0))=0,"NO",SUM(Table10s2!O45,IFERROR(Table10s3!O45*28,0),IFERROR(Table10s4!O45*265,0)))</f>
        <v>3914.478595820593</v>
      </c>
      <c r="P46" s="4108">
        <f>IF(SUM(Table10s2!P45,IFERROR(Table10s3!P45*28,0),IFERROR(Table10s4!P45*265,0))=0,"NO",SUM(Table10s2!P45,IFERROR(Table10s3!P45*28,0),IFERROR(Table10s4!P45*265,0)))</f>
        <v>3176.9400309989473</v>
      </c>
      <c r="Q46" s="4108">
        <f>IF(SUM(Table10s2!Q45,IFERROR(Table10s3!Q45*28,0),IFERROR(Table10s4!Q45*265,0))=0,"NO",SUM(Table10s2!Q45,IFERROR(Table10s3!Q45*28,0),IFERROR(Table10s4!Q45*265,0)))</f>
        <v>3569.2283400464971</v>
      </c>
      <c r="R46" s="4108">
        <f>IF(SUM(Table10s2!R45,IFERROR(Table10s3!R45*28,0),IFERROR(Table10s4!R45*265,0))=0,"NO",SUM(Table10s2!R45,IFERROR(Table10s3!R45*28,0),IFERROR(Table10s4!R45*265,0)))</f>
        <v>3190.2600977529969</v>
      </c>
      <c r="S46" s="4108">
        <f>IF(SUM(Table10s2!S45,IFERROR(Table10s3!S45*28,0),IFERROR(Table10s4!S45*265,0))=0,"NO",SUM(Table10s2!S45,IFERROR(Table10s3!S45*28,0),IFERROR(Table10s4!S45*265,0)))</f>
        <v>2629.3247017443932</v>
      </c>
      <c r="T46" s="4108">
        <f>IF(SUM(Table10s2!T45,IFERROR(Table10s3!T45*28,0),IFERROR(Table10s4!T45*265,0))=0,"NO",SUM(Table10s2!T45,IFERROR(Table10s3!T45*28,0),IFERROR(Table10s4!T45*265,0)))</f>
        <v>3281.2009565487378</v>
      </c>
      <c r="U46" s="4108">
        <f>IF(SUM(Table10s2!U45,IFERROR(Table10s3!U45*28,0),IFERROR(Table10s4!U45*265,0))=0,"NO",SUM(Table10s2!U45,IFERROR(Table10s3!U45*28,0),IFERROR(Table10s4!U45*265,0)))</f>
        <v>3807.8529426066252</v>
      </c>
      <c r="V46" s="4108">
        <f>IF(SUM(Table10s2!V45,IFERROR(Table10s3!V45*28,0),IFERROR(Table10s4!V45*265,0))=0,"NO",SUM(Table10s2!V45,IFERROR(Table10s3!V45*28,0),IFERROR(Table10s4!V45*265,0)))</f>
        <v>3381.2589054885634</v>
      </c>
      <c r="W46" s="4108">
        <f>IF(SUM(Table10s2!W45,IFERROR(Table10s3!W45*28,0),IFERROR(Table10s4!W45*265,0))=0,"NO",SUM(Table10s2!W45,IFERROR(Table10s3!W45*28,0),IFERROR(Table10s4!W45*265,0)))</f>
        <v>3791.2993420026169</v>
      </c>
      <c r="X46" s="4108">
        <f>IF(SUM(Table10s2!X45,IFERROR(Table10s3!X45*28,0),IFERROR(Table10s4!X45*265,0))=0,"NO",SUM(Table10s2!X45,IFERROR(Table10s3!X45*28,0),IFERROR(Table10s4!X45*265,0)))</f>
        <v>3988.2327451869801</v>
      </c>
      <c r="Y46" s="4108">
        <f>IF(SUM(Table10s2!Y45,IFERROR(Table10s3!Y45*28,0),IFERROR(Table10s4!Y45*265,0))=0,"NO",SUM(Table10s2!Y45,IFERROR(Table10s3!Y45*28,0),IFERROR(Table10s4!Y45*265,0)))</f>
        <v>3664.6369093225262</v>
      </c>
      <c r="Z46" s="4108">
        <f>IF(SUM(Table10s2!Z45,IFERROR(Table10s3!Z45*28,0),IFERROR(Table10s4!Z45*265,0))=0,"NO",SUM(Table10s2!Z45,IFERROR(Table10s3!Z45*28,0),IFERROR(Table10s4!Z45*265,0)))</f>
        <v>4322.8472221670218</v>
      </c>
      <c r="AA46" s="4108">
        <f>IF(SUM(Table10s2!AA45,IFERROR(Table10s3!AA45*28,0),IFERROR(Table10s4!AA45*265,0))=0,"NO",SUM(Table10s2!AA45,IFERROR(Table10s3!AA45*28,0),IFERROR(Table10s4!AA45*265,0)))</f>
        <v>3245.5348519185591</v>
      </c>
      <c r="AB46" s="4108">
        <f>IF(SUM(Table10s2!AB45,IFERROR(Table10s3!AB45*28,0),IFERROR(Table10s4!AB45*265,0))=0,"NO",SUM(Table10s2!AB45,IFERROR(Table10s3!AB45*28,0),IFERROR(Table10s4!AB45*265,0)))</f>
        <v>3143.4546938880576</v>
      </c>
      <c r="AC46" s="4108">
        <f>IF(SUM(Table10s2!AC45,IFERROR(Table10s3!AC45*28,0),IFERROR(Table10s4!AC45*265,0))=0,"NO",SUM(Table10s2!AC45,IFERROR(Table10s3!AC45*28,0),IFERROR(Table10s4!AC45*265,0)))</f>
        <v>3010.6521041404353</v>
      </c>
      <c r="AD46" s="4108">
        <f>IF(SUM(Table10s2!AD45,IFERROR(Table10s3!AD45*28,0),IFERROR(Table10s4!AD45*265,0))=0,"NO",SUM(Table10s2!AD45,IFERROR(Table10s3!AD45*28,0),IFERROR(Table10s4!AD45*265,0)))</f>
        <v>3074.4271074125063</v>
      </c>
      <c r="AE46" s="4108">
        <f>IF(SUM(Table10s2!AE45,IFERROR(Table10s3!AE45*28,0),IFERROR(Table10s4!AE45*265,0))=0,"NO",SUM(Table10s2!AE45,IFERROR(Table10s3!AE45*28,0),IFERROR(Table10s4!AE45*265,0)))</f>
        <v>2216.6046247088452</v>
      </c>
      <c r="AF46" s="4108">
        <f>IF(SUM(Table10s2!AF45,IFERROR(Table10s3!AF45*28,0),IFERROR(Table10s4!AF45*265,0))=0,"NO",SUM(Table10s2!AF45,IFERROR(Table10s3!AF45*28,0),IFERROR(Table10s4!AF45*265,0)))</f>
        <v>2399.2949558688724</v>
      </c>
      <c r="AG46" s="4108">
        <f>IF(SUM(Table10s2!AG45,IFERROR(Table10s3!AG45*28,0),IFERROR(Table10s4!AG45*265,0))=0,"NO",SUM(Table10s2!AG45,IFERROR(Table10s3!AG45*28,0),IFERROR(Table10s4!AG45*265,0)))</f>
        <v>1921.7205446281098</v>
      </c>
      <c r="AH46" s="4108">
        <f>IF(SUM(Table10s2!AH45,IFERROR(Table10s3!AH45*28,0),IFERROR(Table10s4!AH45*265,0))=0,"NO",SUM(Table10s2!AH45,IFERROR(Table10s3!AH45*28,0),IFERROR(Table10s4!AH45*265,0)))</f>
        <v>1899.1440410516536</v>
      </c>
      <c r="AI46" s="4108">
        <f>IF(SUM(Table10s2!AI45,IFERROR(Table10s3!AI45*28,0),IFERROR(Table10s4!AI45*265,0))=0,"NO",SUM(Table10s2!AI45,IFERROR(Table10s3!AI45*28,0),IFERROR(Table10s4!AI45*265,0)))</f>
        <v>1135.8114898113188</v>
      </c>
      <c r="AJ46" s="4108">
        <f>IF(SUM(Table10s2!AJ45,IFERROR(Table10s3!AJ45*28,0),IFERROR(Table10s4!AJ45*265,0))=0,"NO",SUM(Table10s2!AJ45,IFERROR(Table10s3!AJ45*28,0),IFERROR(Table10s4!AJ45*265,0)))</f>
        <v>1452.1288735859014</v>
      </c>
      <c r="AK46" s="4101">
        <f t="shared" si="1"/>
        <v>-63.313612822996674</v>
      </c>
    </row>
    <row r="47" spans="2:37" ht="18" customHeight="1" x14ac:dyDescent="0.2">
      <c r="B47" s="1135" t="s">
        <v>992</v>
      </c>
      <c r="C47" s="1995"/>
      <c r="D47" s="1995"/>
      <c r="E47" s="4094">
        <f>IF(SUM(Table10s2!E46,IFERROR(Table10s3!E46*28,0),IFERROR(Table10s4!E46*265,0))=0,"NO",SUM(Table10s2!E46,IFERROR(Table10s3!E46*28,0),IFERROR(Table10s4!E46*265,0)))</f>
        <v>7489.4368463051333</v>
      </c>
      <c r="F47" s="4094">
        <f>IF(SUM(Table10s2!F46,IFERROR(Table10s3!F46*28,0),IFERROR(Table10s4!F46*265,0))=0,"NO",SUM(Table10s2!F46,IFERROR(Table10s3!F46*28,0),IFERROR(Table10s4!F46*265,0)))</f>
        <v>6942.2939735911232</v>
      </c>
      <c r="G47" s="4108">
        <f>IF(SUM(Table10s2!G46,IFERROR(Table10s3!G46*28,0),IFERROR(Table10s4!G46*265,0))=0,"NO",SUM(Table10s2!G46,IFERROR(Table10s3!G46*28,0),IFERROR(Table10s4!G46*265,0)))</f>
        <v>6567.3702849148003</v>
      </c>
      <c r="H47" s="4108">
        <f>IF(SUM(Table10s2!H46,IFERROR(Table10s3!H46*28,0),IFERROR(Table10s4!H46*265,0))=0,"NO",SUM(Table10s2!H46,IFERROR(Table10s3!H46*28,0),IFERROR(Table10s4!H46*265,0)))</f>
        <v>6255.8027594390678</v>
      </c>
      <c r="I47" s="4108">
        <f>IF(SUM(Table10s2!I46,IFERROR(Table10s3!I46*28,0),IFERROR(Table10s4!I46*265,0))=0,"NO",SUM(Table10s2!I46,IFERROR(Table10s3!I46*28,0),IFERROR(Table10s4!I46*265,0)))</f>
        <v>6077.480515594284</v>
      </c>
      <c r="J47" s="4108">
        <f>IF(SUM(Table10s2!J46,IFERROR(Table10s3!J46*28,0),IFERROR(Table10s4!J46*265,0))=0,"NO",SUM(Table10s2!J46,IFERROR(Table10s3!J46*28,0),IFERROR(Table10s4!J46*265,0)))</f>
        <v>5388.3901507708688</v>
      </c>
      <c r="K47" s="4108">
        <f>IF(SUM(Table10s2!K46,IFERROR(Table10s3!K46*28,0),IFERROR(Table10s4!K46*265,0))=0,"NO",SUM(Table10s2!K46,IFERROR(Table10s3!K46*28,0),IFERROR(Table10s4!K46*265,0)))</f>
        <v>5301.0108658305116</v>
      </c>
      <c r="L47" s="4108">
        <f>IF(SUM(Table10s2!L46,IFERROR(Table10s3!L46*28,0),IFERROR(Table10s4!L46*265,0))=0,"NO",SUM(Table10s2!L46,IFERROR(Table10s3!L46*28,0),IFERROR(Table10s4!L46*265,0)))</f>
        <v>5461.7959989680548</v>
      </c>
      <c r="M47" s="4108">
        <f>IF(SUM(Table10s2!M46,IFERROR(Table10s3!M46*28,0),IFERROR(Table10s4!M46*265,0))=0,"NO",SUM(Table10s2!M46,IFERROR(Table10s3!M46*28,0),IFERROR(Table10s4!M46*265,0)))</f>
        <v>5283.6471502984114</v>
      </c>
      <c r="N47" s="4108">
        <f>IF(SUM(Table10s2!N46,IFERROR(Table10s3!N46*28,0),IFERROR(Table10s4!N46*265,0))=0,"NO",SUM(Table10s2!N46,IFERROR(Table10s3!N46*28,0),IFERROR(Table10s4!N46*265,0)))</f>
        <v>5100.2846595798983</v>
      </c>
      <c r="O47" s="4108">
        <f>IF(SUM(Table10s2!O46,IFERROR(Table10s3!O46*28,0),IFERROR(Table10s4!O46*265,0))=0,"NO",SUM(Table10s2!O46,IFERROR(Table10s3!O46*28,0),IFERROR(Table10s4!O46*265,0)))</f>
        <v>5228.6682734494598</v>
      </c>
      <c r="P47" s="4108">
        <f>IF(SUM(Table10s2!P46,IFERROR(Table10s3!P46*28,0),IFERROR(Table10s4!P46*265,0))=0,"NO",SUM(Table10s2!P46,IFERROR(Table10s3!P46*28,0),IFERROR(Table10s4!P46*265,0)))</f>
        <v>4964.0573756141021</v>
      </c>
      <c r="Q47" s="4108">
        <f>IF(SUM(Table10s2!Q46,IFERROR(Table10s3!Q46*28,0),IFERROR(Table10s4!Q46*265,0))=0,"NO",SUM(Table10s2!Q46,IFERROR(Table10s3!Q46*28,0),IFERROR(Table10s4!Q46*265,0)))</f>
        <v>4650.4947991978161</v>
      </c>
      <c r="R47" s="4108">
        <f>IF(SUM(Table10s2!R46,IFERROR(Table10s3!R46*28,0),IFERROR(Table10s4!R46*265,0))=0,"NO",SUM(Table10s2!R46,IFERROR(Table10s3!R46*28,0),IFERROR(Table10s4!R46*265,0)))</f>
        <v>5069.912436397527</v>
      </c>
      <c r="S47" s="4108">
        <f>IF(SUM(Table10s2!S46,IFERROR(Table10s3!S46*28,0),IFERROR(Table10s4!S46*265,0))=0,"NO",SUM(Table10s2!S46,IFERROR(Table10s3!S46*28,0),IFERROR(Table10s4!S46*265,0)))</f>
        <v>5381.1774179655667</v>
      </c>
      <c r="T47" s="4108">
        <f>IF(SUM(Table10s2!T46,IFERROR(Table10s3!T46*28,0),IFERROR(Table10s4!T46*265,0))=0,"NO",SUM(Table10s2!T46,IFERROR(Table10s3!T46*28,0),IFERROR(Table10s4!T46*265,0)))</f>
        <v>5685.9059323431165</v>
      </c>
      <c r="U47" s="4108">
        <f>IF(SUM(Table10s2!U46,IFERROR(Table10s3!U46*28,0),IFERROR(Table10s4!U46*265,0))=0,"NO",SUM(Table10s2!U46,IFERROR(Table10s3!U46*28,0),IFERROR(Table10s4!U46*265,0)))</f>
        <v>6092.2028370443559</v>
      </c>
      <c r="V47" s="4108">
        <f>IF(SUM(Table10s2!V46,IFERROR(Table10s3!V46*28,0),IFERROR(Table10s4!V46*265,0))=0,"NO",SUM(Table10s2!V46,IFERROR(Table10s3!V46*28,0),IFERROR(Table10s4!V46*265,0)))</f>
        <v>5893.863727994134</v>
      </c>
      <c r="W47" s="4108">
        <f>IF(SUM(Table10s2!W46,IFERROR(Table10s3!W46*28,0),IFERROR(Table10s4!W46*265,0))=0,"NO",SUM(Table10s2!W46,IFERROR(Table10s3!W46*28,0),IFERROR(Table10s4!W46*265,0)))</f>
        <v>5199.7203664345761</v>
      </c>
      <c r="X47" s="4108">
        <f>IF(SUM(Table10s2!X46,IFERROR(Table10s3!X46*28,0),IFERROR(Table10s4!X46*265,0))=0,"NO",SUM(Table10s2!X46,IFERROR(Table10s3!X46*28,0),IFERROR(Table10s4!X46*265,0)))</f>
        <v>4900.7448433906757</v>
      </c>
      <c r="Y47" s="4108">
        <f>IF(SUM(Table10s2!Y46,IFERROR(Table10s3!Y46*28,0),IFERROR(Table10s4!Y46*265,0))=0,"NO",SUM(Table10s2!Y46,IFERROR(Table10s3!Y46*28,0),IFERROR(Table10s4!Y46*265,0)))</f>
        <v>4678.2957261203346</v>
      </c>
      <c r="Z47" s="4108">
        <f>IF(SUM(Table10s2!Z46,IFERROR(Table10s3!Z46*28,0),IFERROR(Table10s4!Z46*265,0))=0,"NO",SUM(Table10s2!Z46,IFERROR(Table10s3!Z46*28,0),IFERROR(Table10s4!Z46*265,0)))</f>
        <v>5245.3039839327112</v>
      </c>
      <c r="AA47" s="4108">
        <f>IF(SUM(Table10s2!AA46,IFERROR(Table10s3!AA46*28,0),IFERROR(Table10s4!AA46*265,0))=0,"NO",SUM(Table10s2!AA46,IFERROR(Table10s3!AA46*28,0),IFERROR(Table10s4!AA46*265,0)))</f>
        <v>4965.7821490445349</v>
      </c>
      <c r="AB47" s="4108">
        <f>IF(SUM(Table10s2!AB46,IFERROR(Table10s3!AB46*28,0),IFERROR(Table10s4!AB46*265,0))=0,"NO",SUM(Table10s2!AB46,IFERROR(Table10s3!AB46*28,0),IFERROR(Table10s4!AB46*265,0)))</f>
        <v>4128.7580995835215</v>
      </c>
      <c r="AC47" s="4108">
        <f>IF(SUM(Table10s2!AC46,IFERROR(Table10s3!AC46*28,0),IFERROR(Table10s4!AC46*265,0))=0,"NO",SUM(Table10s2!AC46,IFERROR(Table10s3!AC46*28,0),IFERROR(Table10s4!AC46*265,0)))</f>
        <v>4179.3302406399698</v>
      </c>
      <c r="AD47" s="4108">
        <f>IF(SUM(Table10s2!AD46,IFERROR(Table10s3!AD46*28,0),IFERROR(Table10s4!AD46*265,0))=0,"NO",SUM(Table10s2!AD46,IFERROR(Table10s3!AD46*28,0),IFERROR(Table10s4!AD46*265,0)))</f>
        <v>3852.4791808792584</v>
      </c>
      <c r="AE47" s="4108">
        <f>IF(SUM(Table10s2!AE46,IFERROR(Table10s3!AE46*28,0),IFERROR(Table10s4!AE46*265,0))=0,"NO",SUM(Table10s2!AE46,IFERROR(Table10s3!AE46*28,0),IFERROR(Table10s4!AE46*265,0)))</f>
        <v>4465.4334532389285</v>
      </c>
      <c r="AF47" s="4108">
        <f>IF(SUM(Table10s2!AF46,IFERROR(Table10s3!AF46*28,0),IFERROR(Table10s4!AF46*265,0))=0,"NO",SUM(Table10s2!AF46,IFERROR(Table10s3!AF46*28,0),IFERROR(Table10s4!AF46*265,0)))</f>
        <v>4449.5242328022687</v>
      </c>
      <c r="AG47" s="4108">
        <f>IF(SUM(Table10s2!AG46,IFERROR(Table10s3!AG46*28,0),IFERROR(Table10s4!AG46*265,0))=0,"NO",SUM(Table10s2!AG46,IFERROR(Table10s3!AG46*28,0),IFERROR(Table10s4!AG46*265,0)))</f>
        <v>3664.2056636517209</v>
      </c>
      <c r="AH47" s="4108">
        <f>IF(SUM(Table10s2!AH46,IFERROR(Table10s3!AH46*28,0),IFERROR(Table10s4!AH46*265,0))=0,"NO",SUM(Table10s2!AH46,IFERROR(Table10s3!AH46*28,0),IFERROR(Table10s4!AH46*265,0)))</f>
        <v>3436.5442698597044</v>
      </c>
      <c r="AI47" s="4108">
        <f>IF(SUM(Table10s2!AI46,IFERROR(Table10s3!AI46*28,0),IFERROR(Table10s4!AI46*265,0))=0,"NO",SUM(Table10s2!AI46,IFERROR(Table10s3!AI46*28,0),IFERROR(Table10s4!AI46*265,0)))</f>
        <v>3352.7475928543845</v>
      </c>
      <c r="AJ47" s="4108">
        <f>IF(SUM(Table10s2!AJ46,IFERROR(Table10s3!AJ46*28,0),IFERROR(Table10s4!AJ46*265,0))=0,"NO",SUM(Table10s2!AJ46,IFERROR(Table10s3!AJ46*28,0),IFERROR(Table10s4!AJ46*265,0)))</f>
        <v>3098.6666908632528</v>
      </c>
      <c r="AK47" s="4101">
        <f t="shared" si="1"/>
        <v>-58.626172375137116</v>
      </c>
    </row>
    <row r="48" spans="2:37" ht="18" customHeight="1" x14ac:dyDescent="0.2">
      <c r="B48" s="1135" t="s">
        <v>1527</v>
      </c>
      <c r="C48" s="1995"/>
      <c r="D48" s="1995"/>
      <c r="E48" s="4094" t="str">
        <f>IF(SUM(Table10s2!E47,IFERROR(Table10s3!E47*28,0),IFERROR(Table10s4!E47*265,0))=0,"NO",SUM(Table10s2!E47,IFERROR(Table10s3!E47*28,0),IFERROR(Table10s4!E47*265,0)))</f>
        <v>NO</v>
      </c>
      <c r="F48" s="4094" t="str">
        <f>IF(SUM(Table10s2!F47,IFERROR(Table10s3!F47*28,0),IFERROR(Table10s4!F47*265,0))=0,"NO",SUM(Table10s2!F47,IFERROR(Table10s3!F47*28,0),IFERROR(Table10s4!F47*265,0)))</f>
        <v>NO</v>
      </c>
      <c r="G48" s="4108" t="str">
        <f>IF(SUM(Table10s2!G47,IFERROR(Table10s3!G47*28,0),IFERROR(Table10s4!G47*265,0))=0,"NO",SUM(Table10s2!G47,IFERROR(Table10s3!G47*28,0),IFERROR(Table10s4!G47*265,0)))</f>
        <v>NO</v>
      </c>
      <c r="H48" s="4108" t="str">
        <f>IF(SUM(Table10s2!H47,IFERROR(Table10s3!H47*28,0),IFERROR(Table10s4!H47*265,0))=0,"NO",SUM(Table10s2!H47,IFERROR(Table10s3!H47*28,0),IFERROR(Table10s4!H47*265,0)))</f>
        <v>NO</v>
      </c>
      <c r="I48" s="4108" t="str">
        <f>IF(SUM(Table10s2!I47,IFERROR(Table10s3!I47*28,0),IFERROR(Table10s4!I47*265,0))=0,"NO",SUM(Table10s2!I47,IFERROR(Table10s3!I47*28,0),IFERROR(Table10s4!I47*265,0)))</f>
        <v>NO</v>
      </c>
      <c r="J48" s="4108" t="str">
        <f>IF(SUM(Table10s2!J47,IFERROR(Table10s3!J47*28,0),IFERROR(Table10s4!J47*265,0))=0,"NO",SUM(Table10s2!J47,IFERROR(Table10s3!J47*28,0),IFERROR(Table10s4!J47*265,0)))</f>
        <v>NO</v>
      </c>
      <c r="K48" s="4108" t="str">
        <f>IF(SUM(Table10s2!K47,IFERROR(Table10s3!K47*28,0),IFERROR(Table10s4!K47*265,0))=0,"NO",SUM(Table10s2!K47,IFERROR(Table10s3!K47*28,0),IFERROR(Table10s4!K47*265,0)))</f>
        <v>NO</v>
      </c>
      <c r="L48" s="4108" t="str">
        <f>IF(SUM(Table10s2!L47,IFERROR(Table10s3!L47*28,0),IFERROR(Table10s4!L47*265,0))=0,"NO",SUM(Table10s2!L47,IFERROR(Table10s3!L47*28,0),IFERROR(Table10s4!L47*265,0)))</f>
        <v>NO</v>
      </c>
      <c r="M48" s="4108" t="str">
        <f>IF(SUM(Table10s2!M47,IFERROR(Table10s3!M47*28,0),IFERROR(Table10s4!M47*265,0))=0,"NO",SUM(Table10s2!M47,IFERROR(Table10s3!M47*28,0),IFERROR(Table10s4!M47*265,0)))</f>
        <v>NO</v>
      </c>
      <c r="N48" s="4108" t="str">
        <f>IF(SUM(Table10s2!N47,IFERROR(Table10s3!N47*28,0),IFERROR(Table10s4!N47*265,0))=0,"NO",SUM(Table10s2!N47,IFERROR(Table10s3!N47*28,0),IFERROR(Table10s4!N47*265,0)))</f>
        <v>NO</v>
      </c>
      <c r="O48" s="4108" t="str">
        <f>IF(SUM(Table10s2!O47,IFERROR(Table10s3!O47*28,0),IFERROR(Table10s4!O47*265,0))=0,"NO",SUM(Table10s2!O47,IFERROR(Table10s3!O47*28,0),IFERROR(Table10s4!O47*265,0)))</f>
        <v>NO</v>
      </c>
      <c r="P48" s="4108" t="str">
        <f>IF(SUM(Table10s2!P47,IFERROR(Table10s3!P47*28,0),IFERROR(Table10s4!P47*265,0))=0,"NO",SUM(Table10s2!P47,IFERROR(Table10s3!P47*28,0),IFERROR(Table10s4!P47*265,0)))</f>
        <v>NO</v>
      </c>
      <c r="Q48" s="4108" t="str">
        <f>IF(SUM(Table10s2!Q47,IFERROR(Table10s3!Q47*28,0),IFERROR(Table10s4!Q47*265,0))=0,"NO",SUM(Table10s2!Q47,IFERROR(Table10s3!Q47*28,0),IFERROR(Table10s4!Q47*265,0)))</f>
        <v>NO</v>
      </c>
      <c r="R48" s="4108" t="str">
        <f>IF(SUM(Table10s2!R47,IFERROR(Table10s3!R47*28,0),IFERROR(Table10s4!R47*265,0))=0,"NO",SUM(Table10s2!R47,IFERROR(Table10s3!R47*28,0),IFERROR(Table10s4!R47*265,0)))</f>
        <v>NO</v>
      </c>
      <c r="S48" s="4108" t="str">
        <f>IF(SUM(Table10s2!S47,IFERROR(Table10s3!S47*28,0),IFERROR(Table10s4!S47*265,0))=0,"NO",SUM(Table10s2!S47,IFERROR(Table10s3!S47*28,0),IFERROR(Table10s4!S47*265,0)))</f>
        <v>NO</v>
      </c>
      <c r="T48" s="4108" t="str">
        <f>IF(SUM(Table10s2!T47,IFERROR(Table10s3!T47*28,0),IFERROR(Table10s4!T47*265,0))=0,"NO",SUM(Table10s2!T47,IFERROR(Table10s3!T47*28,0),IFERROR(Table10s4!T47*265,0)))</f>
        <v>NO</v>
      </c>
      <c r="U48" s="4108" t="str">
        <f>IF(SUM(Table10s2!U47,IFERROR(Table10s3!U47*28,0),IFERROR(Table10s4!U47*265,0))=0,"NO",SUM(Table10s2!U47,IFERROR(Table10s3!U47*28,0),IFERROR(Table10s4!U47*265,0)))</f>
        <v>NO</v>
      </c>
      <c r="V48" s="4108" t="str">
        <f>IF(SUM(Table10s2!V47,IFERROR(Table10s3!V47*28,0),IFERROR(Table10s4!V47*265,0))=0,"NO",SUM(Table10s2!V47,IFERROR(Table10s3!V47*28,0),IFERROR(Table10s4!V47*265,0)))</f>
        <v>NO</v>
      </c>
      <c r="W48" s="4108" t="str">
        <f>IF(SUM(Table10s2!W47,IFERROR(Table10s3!W47*28,0),IFERROR(Table10s4!W47*265,0))=0,"NO",SUM(Table10s2!W47,IFERROR(Table10s3!W47*28,0),IFERROR(Table10s4!W47*265,0)))</f>
        <v>NO</v>
      </c>
      <c r="X48" s="4108" t="str">
        <f>IF(SUM(Table10s2!X47,IFERROR(Table10s3!X47*28,0),IFERROR(Table10s4!X47*265,0))=0,"NO",SUM(Table10s2!X47,IFERROR(Table10s3!X47*28,0),IFERROR(Table10s4!X47*265,0)))</f>
        <v>NO</v>
      </c>
      <c r="Y48" s="4108" t="str">
        <f>IF(SUM(Table10s2!Y47,IFERROR(Table10s3!Y47*28,0),IFERROR(Table10s4!Y47*265,0))=0,"NO",SUM(Table10s2!Y47,IFERROR(Table10s3!Y47*28,0),IFERROR(Table10s4!Y47*265,0)))</f>
        <v>NO</v>
      </c>
      <c r="Z48" s="4108" t="str">
        <f>IF(SUM(Table10s2!Z47,IFERROR(Table10s3!Z47*28,0),IFERROR(Table10s4!Z47*265,0))=0,"NO",SUM(Table10s2!Z47,IFERROR(Table10s3!Z47*28,0),IFERROR(Table10s4!Z47*265,0)))</f>
        <v>NO</v>
      </c>
      <c r="AA48" s="4108" t="str">
        <f>IF(SUM(Table10s2!AA47,IFERROR(Table10s3!AA47*28,0),IFERROR(Table10s4!AA47*265,0))=0,"NO",SUM(Table10s2!AA47,IFERROR(Table10s3!AA47*28,0),IFERROR(Table10s4!AA47*265,0)))</f>
        <v>NO</v>
      </c>
      <c r="AB48" s="4108" t="str">
        <f>IF(SUM(Table10s2!AB47,IFERROR(Table10s3!AB47*28,0),IFERROR(Table10s4!AB47*265,0))=0,"NO",SUM(Table10s2!AB47,IFERROR(Table10s3!AB47*28,0),IFERROR(Table10s4!AB47*265,0)))</f>
        <v>NO</v>
      </c>
      <c r="AC48" s="4108" t="str">
        <f>IF(SUM(Table10s2!AC47,IFERROR(Table10s3!AC47*28,0),IFERROR(Table10s4!AC47*265,0))=0,"NO",SUM(Table10s2!AC47,IFERROR(Table10s3!AC47*28,0),IFERROR(Table10s4!AC47*265,0)))</f>
        <v>NO</v>
      </c>
      <c r="AD48" s="4108" t="str">
        <f>IF(SUM(Table10s2!AD47,IFERROR(Table10s3!AD47*28,0),IFERROR(Table10s4!AD47*265,0))=0,"NO",SUM(Table10s2!AD47,IFERROR(Table10s3!AD47*28,0),IFERROR(Table10s4!AD47*265,0)))</f>
        <v>NO</v>
      </c>
      <c r="AE48" s="4108" t="str">
        <f>IF(SUM(Table10s2!AE47,IFERROR(Table10s3!AE47*28,0),IFERROR(Table10s4!AE47*265,0))=0,"NO",SUM(Table10s2!AE47,IFERROR(Table10s3!AE47*28,0),IFERROR(Table10s4!AE47*265,0)))</f>
        <v>NO</v>
      </c>
      <c r="AF48" s="4108" t="str">
        <f>IF(SUM(Table10s2!AF47,IFERROR(Table10s3!AF47*28,0),IFERROR(Table10s4!AF47*265,0))=0,"NO",SUM(Table10s2!AF47,IFERROR(Table10s3!AF47*28,0),IFERROR(Table10s4!AF47*265,0)))</f>
        <v>NO</v>
      </c>
      <c r="AG48" s="4108" t="str">
        <f>IF(SUM(Table10s2!AG47,IFERROR(Table10s3!AG47*28,0),IFERROR(Table10s4!AG47*265,0))=0,"NO",SUM(Table10s2!AG47,IFERROR(Table10s3!AG47*28,0),IFERROR(Table10s4!AG47*265,0)))</f>
        <v>NO</v>
      </c>
      <c r="AH48" s="4108" t="str">
        <f>IF(SUM(Table10s2!AH47,IFERROR(Table10s3!AH47*28,0),IFERROR(Table10s4!AH47*265,0))=0,"NO",SUM(Table10s2!AH47,IFERROR(Table10s3!AH47*28,0),IFERROR(Table10s4!AH47*265,0)))</f>
        <v>NO</v>
      </c>
      <c r="AI48" s="4108" t="str">
        <f>IF(SUM(Table10s2!AI47,IFERROR(Table10s3!AI47*28,0),IFERROR(Table10s4!AI47*265,0))=0,"NO",SUM(Table10s2!AI47,IFERROR(Table10s3!AI47*28,0),IFERROR(Table10s4!AI47*265,0)))</f>
        <v>NO</v>
      </c>
      <c r="AJ48" s="4108" t="str">
        <f>IF(SUM(Table10s2!AJ47,IFERROR(Table10s3!AJ47*28,0),IFERROR(Table10s4!AJ47*265,0))=0,"NO",SUM(Table10s2!AJ47,IFERROR(Table10s3!AJ47*28,0),IFERROR(Table10s4!AJ47*265,0)))</f>
        <v>NO</v>
      </c>
      <c r="AK48" s="4101" t="str">
        <f t="shared" si="1"/>
        <v>NA</v>
      </c>
    </row>
    <row r="49" spans="2:37" ht="18" customHeight="1" x14ac:dyDescent="0.2">
      <c r="B49" s="1135" t="s">
        <v>1528</v>
      </c>
      <c r="C49" s="2229"/>
      <c r="D49" s="2229"/>
      <c r="E49" s="4109">
        <f>IF(SUM(Table10s2!E48,IFERROR(Table10s3!E48*28,0),IFERROR(Table10s4!E48*265,0))=0,"NO",SUM(Table10s2!E48,IFERROR(Table10s3!E48*28,0),IFERROR(Table10s4!E48*265,0)))</f>
        <v>-7384.0277777218835</v>
      </c>
      <c r="F49" s="4109">
        <f>IF(SUM(Table10s2!F48,IFERROR(Table10s3!F48*28,0),IFERROR(Table10s4!F48*265,0))=0,"NO",SUM(Table10s2!F48,IFERROR(Table10s3!F48*28,0),IFERROR(Table10s4!F48*265,0)))</f>
        <v>-6567.7012704187337</v>
      </c>
      <c r="G49" s="4110">
        <f>IF(SUM(Table10s2!G48,IFERROR(Table10s3!G48*28,0),IFERROR(Table10s4!G48*265,0))=0,"NO",SUM(Table10s2!G48,IFERROR(Table10s3!G48*28,0),IFERROR(Table10s4!G48*265,0)))</f>
        <v>-6699.2485045129588</v>
      </c>
      <c r="H49" s="4110">
        <f>IF(SUM(Table10s2!H48,IFERROR(Table10s3!H48*28,0),IFERROR(Table10s4!H48*265,0))=0,"NO",SUM(Table10s2!H48,IFERROR(Table10s3!H48*28,0),IFERROR(Table10s4!H48*265,0)))</f>
        <v>-6834.6915400696043</v>
      </c>
      <c r="I49" s="4110">
        <f>IF(SUM(Table10s2!I48,IFERROR(Table10s3!I48*28,0),IFERROR(Table10s4!I48*265,0))=0,"NO",SUM(Table10s2!I48,IFERROR(Table10s3!I48*28,0),IFERROR(Table10s4!I48*265,0)))</f>
        <v>-7111.1785246339268</v>
      </c>
      <c r="J49" s="4110">
        <f>IF(SUM(Table10s2!J48,IFERROR(Table10s3!J48*28,0),IFERROR(Table10s4!J48*265,0))=0,"NO",SUM(Table10s2!J48,IFERROR(Table10s3!J48*28,0),IFERROR(Table10s4!J48*265,0)))</f>
        <v>-7510.6564371924978</v>
      </c>
      <c r="K49" s="4110">
        <f>IF(SUM(Table10s2!K48,IFERROR(Table10s3!K48*28,0),IFERROR(Table10s4!K48*265,0))=0,"NO",SUM(Table10s2!K48,IFERROR(Table10s3!K48*28,0),IFERROR(Table10s4!K48*265,0)))</f>
        <v>-6428.2464339131238</v>
      </c>
      <c r="L49" s="4110">
        <f>IF(SUM(Table10s2!L48,IFERROR(Table10s3!L48*28,0),IFERROR(Table10s4!L48*265,0))=0,"NO",SUM(Table10s2!L48,IFERROR(Table10s3!L48*28,0),IFERROR(Table10s4!L48*265,0)))</f>
        <v>-6332.1664108200339</v>
      </c>
      <c r="M49" s="4110">
        <f>IF(SUM(Table10s2!M48,IFERROR(Table10s3!M48*28,0),IFERROR(Table10s4!M48*265,0))=0,"NO",SUM(Table10s2!M48,IFERROR(Table10s3!M48*28,0),IFERROR(Table10s4!M48*265,0)))</f>
        <v>-7140.1742663664472</v>
      </c>
      <c r="N49" s="4110">
        <f>IF(SUM(Table10s2!N48,IFERROR(Table10s3!N48*28,0),IFERROR(Table10s4!N48*265,0))=0,"NO",SUM(Table10s2!N48,IFERROR(Table10s3!N48*28,0),IFERROR(Table10s4!N48*265,0)))</f>
        <v>-6338.0606437674915</v>
      </c>
      <c r="O49" s="4110">
        <f>IF(SUM(Table10s2!O48,IFERROR(Table10s3!O48*28,0),IFERROR(Table10s4!O48*265,0))=0,"NO",SUM(Table10s2!O48,IFERROR(Table10s3!O48*28,0),IFERROR(Table10s4!O48*265,0)))</f>
        <v>-7754.4624454362875</v>
      </c>
      <c r="P49" s="4110">
        <f>IF(SUM(Table10s2!P48,IFERROR(Table10s3!P48*28,0),IFERROR(Table10s4!P48*265,0))=0,"NO",SUM(Table10s2!P48,IFERROR(Table10s3!P48*28,0),IFERROR(Table10s4!P48*265,0)))</f>
        <v>-6523.2703985077651</v>
      </c>
      <c r="Q49" s="4110">
        <f>IF(SUM(Table10s2!Q48,IFERROR(Table10s3!Q48*28,0),IFERROR(Table10s4!Q48*265,0))=0,"NO",SUM(Table10s2!Q48,IFERROR(Table10s3!Q48*28,0),IFERROR(Table10s4!Q48*265,0)))</f>
        <v>-6842.5868497042429</v>
      </c>
      <c r="R49" s="4110">
        <f>IF(SUM(Table10s2!R48,IFERROR(Table10s3!R48*28,0),IFERROR(Table10s4!R48*265,0))=0,"NO",SUM(Table10s2!R48,IFERROR(Table10s3!R48*28,0),IFERROR(Table10s4!R48*265,0)))</f>
        <v>-7352.6527229086214</v>
      </c>
      <c r="S49" s="4110">
        <f>IF(SUM(Table10s2!S48,IFERROR(Table10s3!S48*28,0),IFERROR(Table10s4!S48*265,0))=0,"NO",SUM(Table10s2!S48,IFERROR(Table10s3!S48*28,0),IFERROR(Table10s4!S48*265,0)))</f>
        <v>-8030.5759852622941</v>
      </c>
      <c r="T49" s="4110">
        <f>IF(SUM(Table10s2!T48,IFERROR(Table10s3!T48*28,0),IFERROR(Table10s4!T48*265,0))=0,"NO",SUM(Table10s2!T48,IFERROR(Table10s3!T48*28,0),IFERROR(Table10s4!T48*265,0)))</f>
        <v>-7839.9375024043311</v>
      </c>
      <c r="U49" s="4110">
        <f>IF(SUM(Table10s2!U48,IFERROR(Table10s3!U48*28,0),IFERROR(Table10s4!U48*265,0))=0,"NO",SUM(Table10s2!U48,IFERROR(Table10s3!U48*28,0),IFERROR(Table10s4!U48*265,0)))</f>
        <v>-7496.5171084051362</v>
      </c>
      <c r="V49" s="4110">
        <f>IF(SUM(Table10s2!V48,IFERROR(Table10s3!V48*28,0),IFERROR(Table10s4!V48*265,0))=0,"NO",SUM(Table10s2!V48,IFERROR(Table10s3!V48*28,0),IFERROR(Table10s4!V48*265,0)))</f>
        <v>-6376.5885717226511</v>
      </c>
      <c r="W49" s="4110">
        <f>IF(SUM(Table10s2!W48,IFERROR(Table10s3!W48*28,0),IFERROR(Table10s4!W48*265,0))=0,"NO",SUM(Table10s2!W48,IFERROR(Table10s3!W48*28,0),IFERROR(Table10s4!W48*265,0)))</f>
        <v>-6387.0494601329492</v>
      </c>
      <c r="X49" s="4110">
        <f>IF(SUM(Table10s2!X48,IFERROR(Table10s3!X48*28,0),IFERROR(Table10s4!X48*265,0))=0,"NO",SUM(Table10s2!X48,IFERROR(Table10s3!X48*28,0),IFERROR(Table10s4!X48*265,0)))</f>
        <v>-4763.393118684573</v>
      </c>
      <c r="Y49" s="4110">
        <f>IF(SUM(Table10s2!Y48,IFERROR(Table10s3!Y48*28,0),IFERROR(Table10s4!Y48*265,0))=0,"NO",SUM(Table10s2!Y48,IFERROR(Table10s3!Y48*28,0),IFERROR(Table10s4!Y48*265,0)))</f>
        <v>-4228.4389206935439</v>
      </c>
      <c r="Z49" s="4110">
        <f>IF(SUM(Table10s2!Z48,IFERROR(Table10s3!Z48*28,0),IFERROR(Table10s4!Z48*265,0))=0,"NO",SUM(Table10s2!Z48,IFERROR(Table10s3!Z48*28,0),IFERROR(Table10s4!Z48*265,0)))</f>
        <v>-4734.1920240627169</v>
      </c>
      <c r="AA49" s="4110">
        <f>IF(SUM(Table10s2!AA48,IFERROR(Table10s3!AA48*28,0),IFERROR(Table10s4!AA48*265,0))=0,"NO",SUM(Table10s2!AA48,IFERROR(Table10s3!AA48*28,0),IFERROR(Table10s4!AA48*265,0)))</f>
        <v>-4014.2814824961433</v>
      </c>
      <c r="AB49" s="4110">
        <f>IF(SUM(Table10s2!AB48,IFERROR(Table10s3!AB48*28,0),IFERROR(Table10s4!AB48*265,0))=0,"NO",SUM(Table10s2!AB48,IFERROR(Table10s3!AB48*28,0),IFERROR(Table10s4!AB48*265,0)))</f>
        <v>-4044.802265639682</v>
      </c>
      <c r="AC49" s="4110">
        <f>IF(SUM(Table10s2!AC48,IFERROR(Table10s3!AC48*28,0),IFERROR(Table10s4!AC48*265,0))=0,"NO",SUM(Table10s2!AC48,IFERROR(Table10s3!AC48*28,0),IFERROR(Table10s4!AC48*265,0)))</f>
        <v>-3969.4457462444443</v>
      </c>
      <c r="AD49" s="4110">
        <f>IF(SUM(Table10s2!AD48,IFERROR(Table10s3!AD48*28,0),IFERROR(Table10s4!AD48*265,0))=0,"NO",SUM(Table10s2!AD48,IFERROR(Table10s3!AD48*28,0),IFERROR(Table10s4!AD48*265,0)))</f>
        <v>-4198.8822615059344</v>
      </c>
      <c r="AE49" s="4110">
        <f>IF(SUM(Table10s2!AE48,IFERROR(Table10s3!AE48*28,0),IFERROR(Table10s4!AE48*265,0))=0,"NO",SUM(Table10s2!AE48,IFERROR(Table10s3!AE48*28,0),IFERROR(Table10s4!AE48*265,0)))</f>
        <v>-4413.9190605901867</v>
      </c>
      <c r="AF49" s="4110">
        <f>IF(SUM(Table10s2!AF48,IFERROR(Table10s3!AF48*28,0),IFERROR(Table10s4!AF48*265,0))=0,"NO",SUM(Table10s2!AF48,IFERROR(Table10s3!AF48*28,0),IFERROR(Table10s4!AF48*265,0)))</f>
        <v>-4537.9669512122073</v>
      </c>
      <c r="AG49" s="4110">
        <f>IF(SUM(Table10s2!AG48,IFERROR(Table10s3!AG48*28,0),IFERROR(Table10s4!AG48*265,0))=0,"NO",SUM(Table10s2!AG48,IFERROR(Table10s3!AG48*28,0),IFERROR(Table10s4!AG48*265,0)))</f>
        <v>-5161.5441563973091</v>
      </c>
      <c r="AH49" s="4110">
        <f>IF(SUM(Table10s2!AH48,IFERROR(Table10s3!AH48*28,0),IFERROR(Table10s4!AH48*265,0))=0,"NO",SUM(Table10s2!AH48,IFERROR(Table10s3!AH48*28,0),IFERROR(Table10s4!AH48*265,0)))</f>
        <v>-4929.3141496590633</v>
      </c>
      <c r="AI49" s="4110">
        <f>IF(SUM(Table10s2!AI48,IFERROR(Table10s3!AI48*28,0),IFERROR(Table10s4!AI48*265,0))=0,"NO",SUM(Table10s2!AI48,IFERROR(Table10s3!AI48*28,0),IFERROR(Table10s4!AI48*265,0)))</f>
        <v>-4399.8706715096032</v>
      </c>
      <c r="AJ49" s="4110">
        <f>IF(SUM(Table10s2!AJ48,IFERROR(Table10s3!AJ48*28,0),IFERROR(Table10s4!AJ48*265,0))=0,"NO",SUM(Table10s2!AJ48,IFERROR(Table10s3!AJ48*28,0),IFERROR(Table10s4!AJ48*265,0)))</f>
        <v>-4912.7012909675041</v>
      </c>
      <c r="AK49" s="4121">
        <f t="shared" si="1"/>
        <v>-33.468542659204786</v>
      </c>
    </row>
    <row r="50" spans="2:37" ht="18" customHeight="1" thickBot="1" x14ac:dyDescent="0.25">
      <c r="B50" s="1376" t="s">
        <v>1718</v>
      </c>
      <c r="C50" s="2013"/>
      <c r="D50" s="2013"/>
      <c r="E50" s="4093">
        <f>IF(SUM(Table10s2!E49,IFERROR(Table10s3!E49*28,0),IFERROR(Table10s4!E49*265,0))=0,"NO",SUM(Table10s2!E49,IFERROR(Table10s3!E49*28,0),IFERROR(Table10s4!E49*265,0)))</f>
        <v>3.3808836285714294</v>
      </c>
      <c r="F50" s="4093">
        <f>IF(SUM(Table10s2!F49,IFERROR(Table10s3!F49*28,0),IFERROR(Table10s4!F49*265,0))=0,"NO",SUM(Table10s2!F49,IFERROR(Table10s3!F49*28,0),IFERROR(Table10s4!F49*265,0)))</f>
        <v>4.2500325214285715</v>
      </c>
      <c r="G50" s="4111">
        <f>IF(SUM(Table10s2!G49,IFERROR(Table10s3!G49*28,0),IFERROR(Table10s4!G49*265,0))=0,"NO",SUM(Table10s2!G49,IFERROR(Table10s3!G49*28,0),IFERROR(Table10s4!G49*265,0)))</f>
        <v>7.4528637857142863</v>
      </c>
      <c r="H50" s="4111">
        <f>IF(SUM(Table10s2!H49,IFERROR(Table10s3!H49*28,0),IFERROR(Table10s4!H49*265,0))=0,"NO",SUM(Table10s2!H49,IFERROR(Table10s3!H49*28,0),IFERROR(Table10s4!H49*265,0)))</f>
        <v>8.4156133285714301</v>
      </c>
      <c r="I50" s="4111">
        <f>IF(SUM(Table10s2!I49,IFERROR(Table10s3!I49*28,0),IFERROR(Table10s4!I49*265,0))=0,"NO",SUM(Table10s2!I49,IFERROR(Table10s3!I49*28,0),IFERROR(Table10s4!I49*265,0)))</f>
        <v>10.982945442857142</v>
      </c>
      <c r="J50" s="4111">
        <f>IF(SUM(Table10s2!J49,IFERROR(Table10s3!J49*28,0),IFERROR(Table10s4!J49*265,0))=0,"NO",SUM(Table10s2!J49,IFERROR(Table10s3!J49*28,0),IFERROR(Table10s4!J49*265,0)))</f>
        <v>9.0328146071428588</v>
      </c>
      <c r="K50" s="4111">
        <f>IF(SUM(Table10s2!K49,IFERROR(Table10s3!K49*28,0),IFERROR(Table10s4!K49*265,0))=0,"NO",SUM(Table10s2!K49,IFERROR(Table10s3!K49*28,0),IFERROR(Table10s4!K49*265,0)))</f>
        <v>9.7890093996200012</v>
      </c>
      <c r="L50" s="4111">
        <f>IF(SUM(Table10s2!L49,IFERROR(Table10s3!L49*28,0),IFERROR(Table10s4!L49*265,0))=0,"NO",SUM(Table10s2!L49,IFERROR(Table10s3!L49*28,0),IFERROR(Table10s4!L49*265,0)))</f>
        <v>10.276140993213335</v>
      </c>
      <c r="M50" s="4111">
        <f>IF(SUM(Table10s2!M49,IFERROR(Table10s3!M49*28,0),IFERROR(Table10s4!M49*265,0))=0,"NO",SUM(Table10s2!M49,IFERROR(Table10s3!M49*28,0),IFERROR(Table10s4!M49*265,0)))</f>
        <v>12.025347057879047</v>
      </c>
      <c r="N50" s="4111">
        <f>IF(SUM(Table10s2!N49,IFERROR(Table10s3!N49*28,0),IFERROR(Table10s4!N49*265,0))=0,"NO",SUM(Table10s2!N49,IFERROR(Table10s3!N49*28,0),IFERROR(Table10s4!N49*265,0)))</f>
        <v>14.739765907879049</v>
      </c>
      <c r="O50" s="4111">
        <f>IF(SUM(Table10s2!O49,IFERROR(Table10s3!O49*28,0),IFERROR(Table10s4!O49*265,0))=0,"NO",SUM(Table10s2!O49,IFERROR(Table10s3!O49*28,0),IFERROR(Table10s4!O49*265,0)))</f>
        <v>17.611754062629046</v>
      </c>
      <c r="P50" s="4111">
        <f>IF(SUM(Table10s2!P49,IFERROR(Table10s3!P49*28,0),IFERROR(Table10s4!P49*265,0))=0,"NO",SUM(Table10s2!P49,IFERROR(Table10s3!P49*28,0),IFERROR(Table10s4!P49*265,0)))</f>
        <v>21.330392825480793</v>
      </c>
      <c r="Q50" s="4111">
        <f>IF(SUM(Table10s2!Q49,IFERROR(Table10s3!Q49*28,0),IFERROR(Table10s4!Q49*265,0))=0,"NO",SUM(Table10s2!Q49,IFERROR(Table10s3!Q49*28,0),IFERROR(Table10s4!Q49*265,0)))</f>
        <v>25.97520007755427</v>
      </c>
      <c r="R50" s="4111">
        <f>IF(SUM(Table10s2!R49,IFERROR(Table10s3!R49*28,0),IFERROR(Table10s4!R49*265,0))=0,"NO",SUM(Table10s2!R49,IFERROR(Table10s3!R49*28,0),IFERROR(Table10s4!R49*265,0)))</f>
        <v>22.469605681502227</v>
      </c>
      <c r="S50" s="4111">
        <f>IF(SUM(Table10s2!S49,IFERROR(Table10s3!S49*28,0),IFERROR(Table10s4!S49*265,0))=0,"NO",SUM(Table10s2!S49,IFERROR(Table10s3!S49*28,0),IFERROR(Table10s4!S49*265,0)))</f>
        <v>24.363031580553812</v>
      </c>
      <c r="T50" s="4111">
        <f>IF(SUM(Table10s2!T49,IFERROR(Table10s3!T49*28,0),IFERROR(Table10s4!T49*265,0))=0,"NO",SUM(Table10s2!T49,IFERROR(Table10s3!T49*28,0),IFERROR(Table10s4!T49*265,0)))</f>
        <v>31.643091513272385</v>
      </c>
      <c r="U50" s="4111">
        <f>IF(SUM(Table10s2!U49,IFERROR(Table10s3!U49*28,0),IFERROR(Table10s4!U49*265,0))=0,"NO",SUM(Table10s2!U49,IFERROR(Table10s3!U49*28,0),IFERROR(Table10s4!U49*265,0)))</f>
        <v>35.262706986403813</v>
      </c>
      <c r="V50" s="4111">
        <f>IF(SUM(Table10s2!V49,IFERROR(Table10s3!V49*28,0),IFERROR(Table10s4!V49*265,0))=0,"NO",SUM(Table10s2!V49,IFERROR(Table10s3!V49*28,0),IFERROR(Table10s4!V49*265,0)))</f>
        <v>28.107474490506299</v>
      </c>
      <c r="W50" s="4111">
        <f>IF(SUM(Table10s2!W49,IFERROR(Table10s3!W49*28,0),IFERROR(Table10s4!W49*265,0))=0,"NO",SUM(Table10s2!W49,IFERROR(Table10s3!W49*28,0),IFERROR(Table10s4!W49*265,0)))</f>
        <v>83.849022296094802</v>
      </c>
      <c r="X50" s="4111">
        <f>IF(SUM(Table10s2!X49,IFERROR(Table10s3!X49*28,0),IFERROR(Table10s4!X49*265,0))=0,"NO",SUM(Table10s2!X49,IFERROR(Table10s3!X49*28,0),IFERROR(Table10s4!X49*265,0)))</f>
        <v>32.627966990292862</v>
      </c>
      <c r="Y50" s="4111">
        <f>IF(SUM(Table10s2!Y49,IFERROR(Table10s3!Y49*28,0),IFERROR(Table10s4!Y49*265,0))=0,"NO",SUM(Table10s2!Y49,IFERROR(Table10s3!Y49*28,0),IFERROR(Table10s4!Y49*265,0)))</f>
        <v>34.297041193424086</v>
      </c>
      <c r="Z50" s="4111">
        <f>IF(SUM(Table10s2!Z49,IFERROR(Table10s3!Z49*28,0),IFERROR(Table10s4!Z49*265,0))=0,"NO",SUM(Table10s2!Z49,IFERROR(Table10s3!Z49*28,0),IFERROR(Table10s4!Z49*265,0)))</f>
        <v>35.866316906311319</v>
      </c>
      <c r="AA50" s="4111">
        <f>IF(SUM(Table10s2!AA49,IFERROR(Table10s3!AA49*28,0),IFERROR(Table10s4!AA49*265,0))=0,"NO",SUM(Table10s2!AA49,IFERROR(Table10s3!AA49*28,0),IFERROR(Table10s4!AA49*265,0)))</f>
        <v>43.498624356522924</v>
      </c>
      <c r="AB50" s="4111">
        <f>IF(SUM(Table10s2!AB49,IFERROR(Table10s3!AB49*28,0),IFERROR(Table10s4!AB49*265,0))=0,"NO",SUM(Table10s2!AB49,IFERROR(Table10s3!AB49*28,0),IFERROR(Table10s4!AB49*265,0)))</f>
        <v>42.385400203108986</v>
      </c>
      <c r="AC50" s="4111">
        <f>IF(SUM(Table10s2!AC49,IFERROR(Table10s3!AC49*28,0),IFERROR(Table10s4!AC49*265,0))=0,"NO",SUM(Table10s2!AC49,IFERROR(Table10s3!AC49*28,0),IFERROR(Table10s4!AC49*265,0)))</f>
        <v>73.596903413781959</v>
      </c>
      <c r="AD50" s="4111">
        <f>IF(SUM(Table10s2!AD49,IFERROR(Table10s3!AD49*28,0),IFERROR(Table10s4!AD49*265,0))=0,"NO",SUM(Table10s2!AD49,IFERROR(Table10s3!AD49*28,0),IFERROR(Table10s4!AD49*265,0)))</f>
        <v>48.002838489762617</v>
      </c>
      <c r="AE50" s="4111">
        <f>IF(SUM(Table10s2!AE49,IFERROR(Table10s3!AE49*28,0),IFERROR(Table10s4!AE49*265,0))=0,"NO",SUM(Table10s2!AE49,IFERROR(Table10s3!AE49*28,0),IFERROR(Table10s4!AE49*265,0)))</f>
        <v>51.645527459035712</v>
      </c>
      <c r="AF50" s="4111">
        <f>IF(SUM(Table10s2!AF49,IFERROR(Table10s3!AF49*28,0),IFERROR(Table10s4!AF49*265,0))=0,"NO",SUM(Table10s2!AF49,IFERROR(Table10s3!AF49*28,0),IFERROR(Table10s4!AF49*265,0)))</f>
        <v>49.008738032335714</v>
      </c>
      <c r="AG50" s="4111">
        <f>IF(SUM(Table10s2!AG49,IFERROR(Table10s3!AG49*28,0),IFERROR(Table10s4!AG49*265,0))=0,"NO",SUM(Table10s2!AG49,IFERROR(Table10s3!AG49*28,0),IFERROR(Table10s4!AG49*265,0)))</f>
        <v>55.799039412442866</v>
      </c>
      <c r="AH50" s="4111">
        <f>IF(SUM(Table10s2!AH49,IFERROR(Table10s3!AH49*28,0),IFERROR(Table10s4!AH49*265,0))=0,"NO",SUM(Table10s2!AH49,IFERROR(Table10s3!AH49*28,0),IFERROR(Table10s4!AH49*265,0)))</f>
        <v>52.360766621428567</v>
      </c>
      <c r="AI50" s="4111">
        <f>IF(SUM(Table10s2!AI49,IFERROR(Table10s3!AI49*28,0),IFERROR(Table10s4!AI49*265,0))=0,"NO",SUM(Table10s2!AI49,IFERROR(Table10s3!AI49*28,0),IFERROR(Table10s4!AI49*265,0)))</f>
        <v>60.268262135714302</v>
      </c>
      <c r="AJ50" s="4111">
        <f>IF(SUM(Table10s2!AJ49,IFERROR(Table10s3!AJ49*28,0),IFERROR(Table10s4!AJ49*265,0))=0,"NO",SUM(Table10s2!AJ49,IFERROR(Table10s3!AJ49*28,0),IFERROR(Table10s4!AJ49*265,0)))</f>
        <v>60.268262135714302</v>
      </c>
      <c r="AK50" s="4092">
        <f t="shared" si="1"/>
        <v>1682.6186511240633</v>
      </c>
    </row>
    <row r="51" spans="2:37" ht="18" customHeight="1" x14ac:dyDescent="0.2">
      <c r="B51" s="766" t="s">
        <v>1500</v>
      </c>
      <c r="C51" s="1994"/>
      <c r="D51" s="1994"/>
      <c r="E51" s="4113">
        <f>IF(SUM(Table10s2!E50,IFERROR(Table10s3!E50*28,0),IFERROR(Table10s4!E50*265,0))=0,"NO",SUM(Table10s2!E50,IFERROR(Table10s3!E50*28,0),IFERROR(Table10s4!E50*265,0)))</f>
        <v>23462.315421158237</v>
      </c>
      <c r="F51" s="4113">
        <f>IF(SUM(Table10s2!F50,IFERROR(Table10s3!F50*28,0),IFERROR(Table10s4!F50*265,0))=0,"NO",SUM(Table10s2!F50,IFERROR(Table10s3!F50*28,0),IFERROR(Table10s4!F50*265,0)))</f>
        <v>23387.229503165388</v>
      </c>
      <c r="G51" s="4116">
        <f>IF(SUM(Table10s2!G50,IFERROR(Table10s3!G50*28,0),IFERROR(Table10s4!G50*265,0))=0,"NO",SUM(Table10s2!G50,IFERROR(Table10s3!G50*28,0),IFERROR(Table10s4!G50*265,0)))</f>
        <v>23124.354882853382</v>
      </c>
      <c r="H51" s="4116">
        <f>IF(SUM(Table10s2!H50,IFERROR(Table10s3!H50*28,0),IFERROR(Table10s4!H50*265,0))=0,"NO",SUM(Table10s2!H50,IFERROR(Table10s3!H50*28,0),IFERROR(Table10s4!H50*265,0)))</f>
        <v>22945.128988231747</v>
      </c>
      <c r="I51" s="4116">
        <f>IF(SUM(Table10s2!I50,IFERROR(Table10s3!I50*28,0),IFERROR(Table10s4!I50*265,0))=0,"NO",SUM(Table10s2!I50,IFERROR(Table10s3!I50*28,0),IFERROR(Table10s4!I50*265,0)))</f>
        <v>22173.966443942423</v>
      </c>
      <c r="J51" s="4116">
        <f>IF(SUM(Table10s2!J50,IFERROR(Table10s3!J50*28,0),IFERROR(Table10s4!J50*265,0))=0,"NO",SUM(Table10s2!J50,IFERROR(Table10s3!J50*28,0),IFERROR(Table10s4!J50*265,0)))</f>
        <v>22103.561528222435</v>
      </c>
      <c r="K51" s="4116">
        <f>IF(SUM(Table10s2!K50,IFERROR(Table10s3!K50*28,0),IFERROR(Table10s4!K50*265,0))=0,"NO",SUM(Table10s2!K50,IFERROR(Table10s3!K50*28,0),IFERROR(Table10s4!K50*265,0)))</f>
        <v>20235.923646513002</v>
      </c>
      <c r="L51" s="4116">
        <f>IF(SUM(Table10s2!L50,IFERROR(Table10s3!L50*28,0),IFERROR(Table10s4!L50*265,0))=0,"NO",SUM(Table10s2!L50,IFERROR(Table10s3!L50*28,0),IFERROR(Table10s4!L50*265,0)))</f>
        <v>19926.392880567255</v>
      </c>
      <c r="M51" s="4116">
        <f>IF(SUM(Table10s2!M50,IFERROR(Table10s3!M50*28,0),IFERROR(Table10s4!M50*265,0))=0,"NO",SUM(Table10s2!M50,IFERROR(Table10s3!M50*28,0),IFERROR(Table10s4!M50*265,0)))</f>
        <v>19102.349461792444</v>
      </c>
      <c r="N51" s="4116">
        <f>IF(SUM(Table10s2!N50,IFERROR(Table10s3!N50*28,0),IFERROR(Table10s4!N50*265,0))=0,"NO",SUM(Table10s2!N50,IFERROR(Table10s3!N50*28,0),IFERROR(Table10s4!N50*265,0)))</f>
        <v>19228.287544369778</v>
      </c>
      <c r="O51" s="4116">
        <f>IF(SUM(Table10s2!O50,IFERROR(Table10s3!O50*28,0),IFERROR(Table10s4!O50*265,0))=0,"NO",SUM(Table10s2!O50,IFERROR(Table10s3!O50*28,0),IFERROR(Table10s4!O50*265,0)))</f>
        <v>18587.965698942193</v>
      </c>
      <c r="P51" s="4116">
        <f>IF(SUM(Table10s2!P50,IFERROR(Table10s3!P50*28,0),IFERROR(Table10s4!P50*265,0))=0,"NO",SUM(Table10s2!P50,IFERROR(Table10s3!P50*28,0),IFERROR(Table10s4!P50*265,0)))</f>
        <v>18892.442352577684</v>
      </c>
      <c r="Q51" s="4116">
        <f>IF(SUM(Table10s2!Q50,IFERROR(Table10s3!Q50*28,0),IFERROR(Table10s4!Q50*265,0))=0,"NO",SUM(Table10s2!Q50,IFERROR(Table10s3!Q50*28,0),IFERROR(Table10s4!Q50*265,0)))</f>
        <v>18947.155637535107</v>
      </c>
      <c r="R51" s="4116">
        <f>IF(SUM(Table10s2!R50,IFERROR(Table10s3!R50*28,0),IFERROR(Table10s4!R50*265,0))=0,"NO",SUM(Table10s2!R50,IFERROR(Table10s3!R50*28,0),IFERROR(Table10s4!R50*265,0)))</f>
        <v>16332.389292906302</v>
      </c>
      <c r="S51" s="4116">
        <f>IF(SUM(Table10s2!S50,IFERROR(Table10s3!S50*28,0),IFERROR(Table10s4!S50*265,0))=0,"NO",SUM(Table10s2!S50,IFERROR(Table10s3!S50*28,0),IFERROR(Table10s4!S50*265,0)))</f>
        <v>15892.789529448288</v>
      </c>
      <c r="T51" s="4116">
        <f>IF(SUM(Table10s2!T50,IFERROR(Table10s3!T50*28,0),IFERROR(Table10s4!T50*265,0))=0,"NO",SUM(Table10s2!T50,IFERROR(Table10s3!T50*28,0),IFERROR(Table10s4!T50*265,0)))</f>
        <v>15739.320730813844</v>
      </c>
      <c r="U51" s="4116">
        <f>IF(SUM(Table10s2!U50,IFERROR(Table10s3!U50*28,0),IFERROR(Table10s4!U50*265,0))=0,"NO",SUM(Table10s2!U50,IFERROR(Table10s3!U50*28,0),IFERROR(Table10s4!U50*265,0)))</f>
        <v>15482.142093041351</v>
      </c>
      <c r="V51" s="4116">
        <f>IF(SUM(Table10s2!V50,IFERROR(Table10s3!V50*28,0),IFERROR(Table10s4!V50*265,0))=0,"NO",SUM(Table10s2!V50,IFERROR(Table10s3!V50*28,0),IFERROR(Table10s4!V50*265,0)))</f>
        <v>15872.660350356889</v>
      </c>
      <c r="W51" s="4116">
        <f>IF(SUM(Table10s2!W50,IFERROR(Table10s3!W50*28,0),IFERROR(Table10s4!W50*265,0))=0,"NO",SUM(Table10s2!W50,IFERROR(Table10s3!W50*28,0),IFERROR(Table10s4!W50*265,0)))</f>
        <v>16386.531769897483</v>
      </c>
      <c r="X51" s="4116">
        <f>IF(SUM(Table10s2!X50,IFERROR(Table10s3!X50*28,0),IFERROR(Table10s4!X50*265,0))=0,"NO",SUM(Table10s2!X50,IFERROR(Table10s3!X50*28,0),IFERROR(Table10s4!X50*265,0)))</f>
        <v>16206.623212371756</v>
      </c>
      <c r="Y51" s="4116">
        <f>IF(SUM(Table10s2!Y50,IFERROR(Table10s3!Y50*28,0),IFERROR(Table10s4!Y50*265,0))=0,"NO",SUM(Table10s2!Y50,IFERROR(Table10s3!Y50*28,0),IFERROR(Table10s4!Y50*265,0)))</f>
        <v>16053.814197864553</v>
      </c>
      <c r="Z51" s="4116">
        <f>IF(SUM(Table10s2!Z50,IFERROR(Table10s3!Z50*28,0),IFERROR(Table10s4!Z50*265,0))=0,"NO",SUM(Table10s2!Z50,IFERROR(Table10s3!Z50*28,0),IFERROR(Table10s4!Z50*265,0)))</f>
        <v>15593.262019409703</v>
      </c>
      <c r="AA51" s="4116">
        <f>IF(SUM(Table10s2!AA50,IFERROR(Table10s3!AA50*28,0),IFERROR(Table10s4!AA50*265,0))=0,"NO",SUM(Table10s2!AA50,IFERROR(Table10s3!AA50*28,0),IFERROR(Table10s4!AA50*265,0)))</f>
        <v>14261.481467995489</v>
      </c>
      <c r="AB51" s="4116">
        <f>IF(SUM(Table10s2!AB50,IFERROR(Table10s3!AB50*28,0),IFERROR(Table10s4!AB50*265,0))=0,"NO",SUM(Table10s2!AB50,IFERROR(Table10s3!AB50*28,0),IFERROR(Table10s4!AB50*265,0)))</f>
        <v>13287.521262805796</v>
      </c>
      <c r="AC51" s="4116">
        <f>IF(SUM(Table10s2!AC50,IFERROR(Table10s3!AC50*28,0),IFERROR(Table10s4!AC50*265,0))=0,"NO",SUM(Table10s2!AC50,IFERROR(Table10s3!AC50*28,0),IFERROR(Table10s4!AC50*265,0)))</f>
        <v>13237.882332789575</v>
      </c>
      <c r="AD51" s="4116">
        <f>IF(SUM(Table10s2!AD50,IFERROR(Table10s3!AD50*28,0),IFERROR(Table10s4!AD50*265,0))=0,"NO",SUM(Table10s2!AD50,IFERROR(Table10s3!AD50*28,0),IFERROR(Table10s4!AD50*265,0)))</f>
        <v>12723.024221763157</v>
      </c>
      <c r="AE51" s="4116">
        <f>IF(SUM(Table10s2!AE50,IFERROR(Table10s3!AE50*28,0),IFERROR(Table10s4!AE50*265,0))=0,"NO",SUM(Table10s2!AE50,IFERROR(Table10s3!AE50*28,0),IFERROR(Table10s4!AE50*265,0)))</f>
        <v>13083.602880220978</v>
      </c>
      <c r="AF51" s="4116">
        <f>IF(SUM(Table10s2!AF50,IFERROR(Table10s3!AF50*28,0),IFERROR(Table10s4!AF50*265,0))=0,"NO",SUM(Table10s2!AF50,IFERROR(Table10s3!AF50*28,0),IFERROR(Table10s4!AF50*265,0)))</f>
        <v>13337.838651395179</v>
      </c>
      <c r="AG51" s="4116">
        <f>IF(SUM(Table10s2!AG50,IFERROR(Table10s3!AG50*28,0),IFERROR(Table10s4!AG50*265,0))=0,"NO",SUM(Table10s2!AG50,IFERROR(Table10s3!AG50*28,0),IFERROR(Table10s4!AG50*265,0)))</f>
        <v>12865.879291780653</v>
      </c>
      <c r="AH51" s="4116">
        <f>IF(SUM(Table10s2!AH50,IFERROR(Table10s3!AH50*28,0),IFERROR(Table10s4!AH50*265,0))=0,"NO",SUM(Table10s2!AH50,IFERROR(Table10s3!AH50*28,0),IFERROR(Table10s4!AH50*265,0)))</f>
        <v>13266.708758071194</v>
      </c>
      <c r="AI51" s="4116">
        <f>IF(SUM(Table10s2!AI50,IFERROR(Table10s3!AI50*28,0),IFERROR(Table10s4!AI50*265,0))=0,"NO",SUM(Table10s2!AI50,IFERROR(Table10s3!AI50*28,0),IFERROR(Table10s4!AI50*265,0)))</f>
        <v>13490.310194307312</v>
      </c>
      <c r="AJ51" s="4116">
        <f>IF(SUM(Table10s2!AJ50,IFERROR(Table10s3!AJ50*28,0),IFERROR(Table10s4!AJ50*265,0))=0,"NO",SUM(Table10s2!AJ50,IFERROR(Table10s3!AJ50*28,0),IFERROR(Table10s4!AJ50*265,0)))</f>
        <v>13358.219706146765</v>
      </c>
      <c r="AK51" s="4082">
        <f t="shared" si="1"/>
        <v>-43.065211312859745</v>
      </c>
    </row>
    <row r="52" spans="2:37" ht="18" customHeight="1" x14ac:dyDescent="0.2">
      <c r="B52" s="1135" t="s">
        <v>1719</v>
      </c>
      <c r="C52" s="1995"/>
      <c r="D52" s="1995"/>
      <c r="E52" s="4094">
        <f>IF(SUM(Table10s2!E51,IFERROR(Table10s3!E51*28,0),IFERROR(Table10s4!E51*265,0))=0,"NO",SUM(Table10s2!E51,IFERROR(Table10s3!E51*28,0),IFERROR(Table10s4!E51*265,0)))</f>
        <v>17064.655668729203</v>
      </c>
      <c r="F52" s="4094">
        <f>IF(SUM(Table10s2!F51,IFERROR(Table10s3!F51*28,0),IFERROR(Table10s4!F51*265,0))=0,"NO",SUM(Table10s2!F51,IFERROR(Table10s3!F51*28,0),IFERROR(Table10s4!F51*265,0)))</f>
        <v>17049.508786102142</v>
      </c>
      <c r="G52" s="4108">
        <f>IF(SUM(Table10s2!G51,IFERROR(Table10s3!G51*28,0),IFERROR(Table10s4!G51*265,0))=0,"NO",SUM(Table10s2!G51,IFERROR(Table10s3!G51*28,0),IFERROR(Table10s4!G51*265,0)))</f>
        <v>16877.793577018838</v>
      </c>
      <c r="H52" s="4108">
        <f>IF(SUM(Table10s2!H51,IFERROR(Table10s3!H51*28,0),IFERROR(Table10s4!H51*265,0))=0,"NO",SUM(Table10s2!H51,IFERROR(Table10s3!H51*28,0),IFERROR(Table10s4!H51*265,0)))</f>
        <v>16831.699251430764</v>
      </c>
      <c r="I52" s="4108">
        <f>IF(SUM(Table10s2!I51,IFERROR(Table10s3!I51*28,0),IFERROR(Table10s4!I51*265,0))=0,"NO",SUM(Table10s2!I51,IFERROR(Table10s3!I51*28,0),IFERROR(Table10s4!I51*265,0)))</f>
        <v>16178.777549518862</v>
      </c>
      <c r="J52" s="4108">
        <f>IF(SUM(Table10s2!J51,IFERROR(Table10s3!J51*28,0),IFERROR(Table10s4!J51*265,0))=0,"NO",SUM(Table10s2!J51,IFERROR(Table10s3!J51*28,0),IFERROR(Table10s4!J51*265,0)))</f>
        <v>16316.813375077632</v>
      </c>
      <c r="K52" s="4108">
        <f>IF(SUM(Table10s2!K51,IFERROR(Table10s3!K51*28,0),IFERROR(Table10s4!K51*265,0))=0,"NO",SUM(Table10s2!K51,IFERROR(Table10s3!K51*28,0),IFERROR(Table10s4!K51*265,0)))</f>
        <v>14732.699717485208</v>
      </c>
      <c r="L52" s="4108">
        <f>IF(SUM(Table10s2!L51,IFERROR(Table10s3!L51*28,0),IFERROR(Table10s4!L51*265,0))=0,"NO",SUM(Table10s2!L51,IFERROR(Table10s3!L51*28,0),IFERROR(Table10s4!L51*265,0)))</f>
        <v>14603.257344494617</v>
      </c>
      <c r="M52" s="4108">
        <f>IF(SUM(Table10s2!M51,IFERROR(Table10s3!M51*28,0),IFERROR(Table10s4!M51*265,0))=0,"NO",SUM(Table10s2!M51,IFERROR(Table10s3!M51*28,0),IFERROR(Table10s4!M51*265,0)))</f>
        <v>13828.966512083172</v>
      </c>
      <c r="N52" s="4108">
        <f>IF(SUM(Table10s2!N51,IFERROR(Table10s3!N51*28,0),IFERROR(Table10s4!N51*265,0))=0,"NO",SUM(Table10s2!N51,IFERROR(Table10s3!N51*28,0),IFERROR(Table10s4!N51*265,0)))</f>
        <v>13967.950292239177</v>
      </c>
      <c r="O52" s="4108">
        <f>IF(SUM(Table10s2!O51,IFERROR(Table10s3!O51*28,0),IFERROR(Table10s4!O51*265,0))=0,"NO",SUM(Table10s2!O51,IFERROR(Table10s3!O51*28,0),IFERROR(Table10s4!O51*265,0)))</f>
        <v>13748.878608914532</v>
      </c>
      <c r="P52" s="4108">
        <f>IF(SUM(Table10s2!P51,IFERROR(Table10s3!P51*28,0),IFERROR(Table10s4!P51*265,0))=0,"NO",SUM(Table10s2!P51,IFERROR(Table10s3!P51*28,0),IFERROR(Table10s4!P51*265,0)))</f>
        <v>13800.337464927929</v>
      </c>
      <c r="Q52" s="4108">
        <f>IF(SUM(Table10s2!Q51,IFERROR(Table10s3!Q51*28,0),IFERROR(Table10s4!Q51*265,0))=0,"NO",SUM(Table10s2!Q51,IFERROR(Table10s3!Q51*28,0),IFERROR(Table10s4!Q51*265,0)))</f>
        <v>13996.167481333479</v>
      </c>
      <c r="R52" s="4108">
        <f>IF(SUM(Table10s2!R51,IFERROR(Table10s3!R51*28,0),IFERROR(Table10s4!R51*265,0))=0,"NO",SUM(Table10s2!R51,IFERROR(Table10s3!R51*28,0),IFERROR(Table10s4!R51*265,0)))</f>
        <v>12934.083646458683</v>
      </c>
      <c r="S52" s="4108">
        <f>IF(SUM(Table10s2!S51,IFERROR(Table10s3!S51*28,0),IFERROR(Table10s4!S51*265,0))=0,"NO",SUM(Table10s2!S51,IFERROR(Table10s3!S51*28,0),IFERROR(Table10s4!S51*265,0)))</f>
        <v>12443.618582514782</v>
      </c>
      <c r="T52" s="4108">
        <f>IF(SUM(Table10s2!T51,IFERROR(Table10s3!T51*28,0),IFERROR(Table10s4!T51*265,0))=0,"NO",SUM(Table10s2!T51,IFERROR(Table10s3!T51*28,0),IFERROR(Table10s4!T51*265,0)))</f>
        <v>12267.758667631379</v>
      </c>
      <c r="U52" s="4108">
        <f>IF(SUM(Table10s2!U51,IFERROR(Table10s3!U51*28,0),IFERROR(Table10s4!U51*265,0))=0,"NO",SUM(Table10s2!U51,IFERROR(Table10s3!U51*28,0),IFERROR(Table10s4!U51*265,0)))</f>
        <v>11963.261295730459</v>
      </c>
      <c r="V52" s="4108">
        <f>IF(SUM(Table10s2!V51,IFERROR(Table10s3!V51*28,0),IFERROR(Table10s4!V51*265,0))=0,"NO",SUM(Table10s2!V51,IFERROR(Table10s3!V51*28,0),IFERROR(Table10s4!V51*265,0)))</f>
        <v>12292.955411179842</v>
      </c>
      <c r="W52" s="4108">
        <f>IF(SUM(Table10s2!W51,IFERROR(Table10s3!W51*28,0),IFERROR(Table10s4!W51*265,0))=0,"NO",SUM(Table10s2!W51,IFERROR(Table10s3!W51*28,0),IFERROR(Table10s4!W51*265,0)))</f>
        <v>12756.444873937648</v>
      </c>
      <c r="X52" s="4108">
        <f>IF(SUM(Table10s2!X51,IFERROR(Table10s3!X51*28,0),IFERROR(Table10s4!X51*265,0))=0,"NO",SUM(Table10s2!X51,IFERROR(Table10s3!X51*28,0),IFERROR(Table10s4!X51*265,0)))</f>
        <v>12677.616927527431</v>
      </c>
      <c r="Y52" s="4108">
        <f>IF(SUM(Table10s2!Y51,IFERROR(Table10s3!Y51*28,0),IFERROR(Table10s4!Y51*265,0))=0,"NO",SUM(Table10s2!Y51,IFERROR(Table10s3!Y51*28,0),IFERROR(Table10s4!Y51*265,0)))</f>
        <v>12994.482052587033</v>
      </c>
      <c r="Z52" s="4108">
        <f>IF(SUM(Table10s2!Z51,IFERROR(Table10s3!Z51*28,0),IFERROR(Table10s4!Z51*265,0))=0,"NO",SUM(Table10s2!Z51,IFERROR(Table10s3!Z51*28,0),IFERROR(Table10s4!Z51*265,0)))</f>
        <v>12539.107478743403</v>
      </c>
      <c r="AA52" s="4108">
        <f>IF(SUM(Table10s2!AA51,IFERROR(Table10s3!AA51*28,0),IFERROR(Table10s4!AA51*265,0))=0,"NO",SUM(Table10s2!AA51,IFERROR(Table10s3!AA51*28,0),IFERROR(Table10s4!AA51*265,0)))</f>
        <v>11159.025010320409</v>
      </c>
      <c r="AB52" s="4108">
        <f>IF(SUM(Table10s2!AB51,IFERROR(Table10s3!AB51*28,0),IFERROR(Table10s4!AB51*265,0))=0,"NO",SUM(Table10s2!AB51,IFERROR(Table10s3!AB51*28,0),IFERROR(Table10s4!AB51*265,0)))</f>
        <v>10296.616874810838</v>
      </c>
      <c r="AC52" s="4108">
        <f>IF(SUM(Table10s2!AC51,IFERROR(Table10s3!AC51*28,0),IFERROR(Table10s4!AC51*265,0))=0,"NO",SUM(Table10s2!AC51,IFERROR(Table10s3!AC51*28,0),IFERROR(Table10s4!AC51*265,0)))</f>
        <v>10260.410147935245</v>
      </c>
      <c r="AD52" s="4108">
        <f>IF(SUM(Table10s2!AD51,IFERROR(Table10s3!AD51*28,0),IFERROR(Table10s4!AD51*265,0))=0,"NO",SUM(Table10s2!AD51,IFERROR(Table10s3!AD51*28,0),IFERROR(Table10s4!AD51*265,0)))</f>
        <v>9750.6610705048479</v>
      </c>
      <c r="AE52" s="4108">
        <f>IF(SUM(Table10s2!AE51,IFERROR(Table10s3!AE51*28,0),IFERROR(Table10s4!AE51*265,0))=0,"NO",SUM(Table10s2!AE51,IFERROR(Table10s3!AE51*28,0),IFERROR(Table10s4!AE51*265,0)))</f>
        <v>9880.7231073824551</v>
      </c>
      <c r="AF52" s="4108">
        <f>IF(SUM(Table10s2!AF51,IFERROR(Table10s3!AF51*28,0),IFERROR(Table10s4!AF51*265,0))=0,"NO",SUM(Table10s2!AF51,IFERROR(Table10s3!AF51*28,0),IFERROR(Table10s4!AF51*265,0)))</f>
        <v>10180.195478888058</v>
      </c>
      <c r="AG52" s="4108">
        <f>IF(SUM(Table10s2!AG51,IFERROR(Table10s3!AG51*28,0),IFERROR(Table10s4!AG51*265,0))=0,"NO",SUM(Table10s2!AG51,IFERROR(Table10s3!AG51*28,0),IFERROR(Table10s4!AG51*265,0)))</f>
        <v>9629.499162826156</v>
      </c>
      <c r="AH52" s="4108">
        <f>IF(SUM(Table10s2!AH51,IFERROR(Table10s3!AH51*28,0),IFERROR(Table10s4!AH51*265,0))=0,"NO",SUM(Table10s2!AH51,IFERROR(Table10s3!AH51*28,0),IFERROR(Table10s4!AH51*265,0)))</f>
        <v>10215.811558081359</v>
      </c>
      <c r="AI52" s="4108">
        <f>IF(SUM(Table10s2!AI51,IFERROR(Table10s3!AI51*28,0),IFERROR(Table10s4!AI51*265,0))=0,"NO",SUM(Table10s2!AI51,IFERROR(Table10s3!AI51*28,0),IFERROR(Table10s4!AI51*265,0)))</f>
        <v>10218.334617077422</v>
      </c>
      <c r="AJ52" s="4108">
        <f>IF(SUM(Table10s2!AJ51,IFERROR(Table10s3!AJ51*28,0),IFERROR(Table10s4!AJ51*265,0))=0,"NO",SUM(Table10s2!AJ51,IFERROR(Table10s3!AJ51*28,0),IFERROR(Table10s4!AJ51*265,0)))</f>
        <v>10075.906105055356</v>
      </c>
      <c r="AK52" s="4101">
        <f t="shared" si="1"/>
        <v>-40.954530225187348</v>
      </c>
    </row>
    <row r="53" spans="2:37" ht="18" customHeight="1" x14ac:dyDescent="0.2">
      <c r="B53" s="1135" t="s">
        <v>1531</v>
      </c>
      <c r="C53" s="1995"/>
      <c r="D53" s="1995"/>
      <c r="E53" s="4094">
        <f>IF(SUM(Table10s2!E52,IFERROR(Table10s3!E52*28,0),IFERROR(Table10s4!E52*265,0))=0,"NO",SUM(Table10s2!E52,IFERROR(Table10s3!E52*28,0),IFERROR(Table10s4!E52*265,0)))</f>
        <v>21.688548924340473</v>
      </c>
      <c r="F53" s="4094">
        <f>IF(SUM(Table10s2!F52,IFERROR(Table10s3!F52*28,0),IFERROR(Table10s4!F52*265,0))=0,"NO",SUM(Table10s2!F52,IFERROR(Table10s3!F52*28,0),IFERROR(Table10s4!F52*265,0)))</f>
        <v>29.913654918717448</v>
      </c>
      <c r="G53" s="4108">
        <f>IF(SUM(Table10s2!G52,IFERROR(Table10s3!G52*28,0),IFERROR(Table10s4!G52*265,0))=0,"NO",SUM(Table10s2!G52,IFERROR(Table10s3!G52*28,0),IFERROR(Table10s4!G52*265,0)))</f>
        <v>38.138760913094885</v>
      </c>
      <c r="H53" s="4108">
        <f>IF(SUM(Table10s2!H52,IFERROR(Table10s3!H52*28,0),IFERROR(Table10s4!H52*265,0))=0,"NO",SUM(Table10s2!H52,IFERROR(Table10s3!H52*28,0),IFERROR(Table10s4!H52*265,0)))</f>
        <v>46.363866907472314</v>
      </c>
      <c r="I53" s="4108">
        <f>IF(SUM(Table10s2!I52,IFERROR(Table10s3!I52*28,0),IFERROR(Table10s4!I52*265,0))=0,"NO",SUM(Table10s2!I52,IFERROR(Table10s3!I52*28,0),IFERROR(Table10s4!I52*265,0)))</f>
        <v>54.588972901849615</v>
      </c>
      <c r="J53" s="4108">
        <f>IF(SUM(Table10s2!J52,IFERROR(Table10s3!J52*28,0),IFERROR(Table10s4!J52*265,0))=0,"NO",SUM(Table10s2!J52,IFERROR(Table10s3!J52*28,0),IFERROR(Table10s4!J52*265,0)))</f>
        <v>62.814078896226576</v>
      </c>
      <c r="K53" s="4108">
        <f>IF(SUM(Table10s2!K52,IFERROR(Table10s3!K52*28,0),IFERROR(Table10s4!K52*265,0))=0,"NO",SUM(Table10s2!K52,IFERROR(Table10s3!K52*28,0),IFERROR(Table10s4!K52*265,0)))</f>
        <v>71.03918489060402</v>
      </c>
      <c r="L53" s="4108">
        <f>IF(SUM(Table10s2!L52,IFERROR(Table10s3!L52*28,0),IFERROR(Table10s4!L52*265,0))=0,"NO",SUM(Table10s2!L52,IFERROR(Table10s3!L52*28,0),IFERROR(Table10s4!L52*265,0)))</f>
        <v>79.264290884981477</v>
      </c>
      <c r="M53" s="4108">
        <f>IF(SUM(Table10s2!M52,IFERROR(Table10s3!M52*28,0),IFERROR(Table10s4!M52*265,0))=0,"NO",SUM(Table10s2!M52,IFERROR(Table10s3!M52*28,0),IFERROR(Table10s4!M52*265,0)))</f>
        <v>87.489396879358878</v>
      </c>
      <c r="N53" s="4108">
        <f>IF(SUM(Table10s2!N52,IFERROR(Table10s3!N52*28,0),IFERROR(Table10s4!N52*265,0))=0,"NO",SUM(Table10s2!N52,IFERROR(Table10s3!N52*28,0),IFERROR(Table10s4!N52*265,0)))</f>
        <v>95.714502873736308</v>
      </c>
      <c r="O53" s="4108">
        <f>IF(SUM(Table10s2!O52,IFERROR(Table10s3!O52*28,0),IFERROR(Table10s4!O52*265,0))=0,"NO",SUM(Table10s2!O52,IFERROR(Table10s3!O52*28,0),IFERROR(Table10s4!O52*265,0)))</f>
        <v>103.9396088681133</v>
      </c>
      <c r="P53" s="4108">
        <f>IF(SUM(Table10s2!P52,IFERROR(Table10s3!P52*28,0),IFERROR(Table10s4!P52*265,0))=0,"NO",SUM(Table10s2!P52,IFERROR(Table10s3!P52*28,0),IFERROR(Table10s4!P52*265,0)))</f>
        <v>112.16471486249071</v>
      </c>
      <c r="Q53" s="4108">
        <f>IF(SUM(Table10s2!Q52,IFERROR(Table10s3!Q52*28,0),IFERROR(Table10s4!Q52*265,0))=0,"NO",SUM(Table10s2!Q52,IFERROR(Table10s3!Q52*28,0),IFERROR(Table10s4!Q52*265,0)))</f>
        <v>120.38982085686818</v>
      </c>
      <c r="R53" s="4108">
        <f>IF(SUM(Table10s2!R52,IFERROR(Table10s3!R52*28,0),IFERROR(Table10s4!R52*265,0))=0,"NO",SUM(Table10s2!R52,IFERROR(Table10s3!R52*28,0),IFERROR(Table10s4!R52*265,0)))</f>
        <v>128.61492685124557</v>
      </c>
      <c r="S53" s="4108">
        <f>IF(SUM(Table10s2!S52,IFERROR(Table10s3!S52*28,0),IFERROR(Table10s4!S52*265,0))=0,"NO",SUM(Table10s2!S52,IFERROR(Table10s3!S52*28,0),IFERROR(Table10s4!S52*265,0)))</f>
        <v>136.84003284562272</v>
      </c>
      <c r="T53" s="4108">
        <f>IF(SUM(Table10s2!T52,IFERROR(Table10s3!T52*28,0),IFERROR(Table10s4!T52*265,0))=0,"NO",SUM(Table10s2!T52,IFERROR(Table10s3!T52*28,0),IFERROR(Table10s4!T52*265,0)))</f>
        <v>145.06513883999997</v>
      </c>
      <c r="U53" s="4108">
        <f>IF(SUM(Table10s2!U52,IFERROR(Table10s3!U52*28,0),IFERROR(Table10s4!U52*265,0))=0,"NO",SUM(Table10s2!U52,IFERROR(Table10s3!U52*28,0),IFERROR(Table10s4!U52*265,0)))</f>
        <v>156.20776667999999</v>
      </c>
      <c r="V53" s="4108">
        <f>IF(SUM(Table10s2!V52,IFERROR(Table10s3!V52*28,0),IFERROR(Table10s4!V52*265,0))=0,"NO",SUM(Table10s2!V52,IFERROR(Table10s3!V52*28,0),IFERROR(Table10s4!V52*265,0)))</f>
        <v>164.92557635999998</v>
      </c>
      <c r="W53" s="4108">
        <f>IF(SUM(Table10s2!W52,IFERROR(Table10s3!W52*28,0),IFERROR(Table10s4!W52*265,0))=0,"NO",SUM(Table10s2!W52,IFERROR(Table10s3!W52*28,0),IFERROR(Table10s4!W52*265,0)))</f>
        <v>177.55087086000003</v>
      </c>
      <c r="X53" s="4108">
        <f>IF(SUM(Table10s2!X52,IFERROR(Table10s3!X52*28,0),IFERROR(Table10s4!X52*265,0))=0,"NO",SUM(Table10s2!X52,IFERROR(Table10s3!X52*28,0),IFERROR(Table10s4!X52*265,0)))</f>
        <v>186.25560814440001</v>
      </c>
      <c r="Y53" s="4108">
        <f>IF(SUM(Table10s2!Y52,IFERROR(Table10s3!Y52*28,0),IFERROR(Table10s4!Y52*265,0))=0,"NO",SUM(Table10s2!Y52,IFERROR(Table10s3!Y52*28,0),IFERROR(Table10s4!Y52*265,0)))</f>
        <v>210.67640722440001</v>
      </c>
      <c r="Z53" s="4108">
        <f>IF(SUM(Table10s2!Z52,IFERROR(Table10s3!Z52*28,0),IFERROR(Table10s4!Z52*265,0))=0,"NO",SUM(Table10s2!Z52,IFERROR(Table10s3!Z52*28,0),IFERROR(Table10s4!Z52*265,0)))</f>
        <v>244.75152502440002</v>
      </c>
      <c r="AA53" s="4108">
        <f>IF(SUM(Table10s2!AA52,IFERROR(Table10s3!AA52*28,0),IFERROR(Table10s4!AA52*265,0))=0,"NO",SUM(Table10s2!AA52,IFERROR(Table10s3!AA52*28,0),IFERROR(Table10s4!AA52*265,0)))</f>
        <v>249.00487220880001</v>
      </c>
      <c r="AB53" s="4108">
        <f>IF(SUM(Table10s2!AB52,IFERROR(Table10s3!AB52*28,0),IFERROR(Table10s4!AB52*265,0))=0,"NO",SUM(Table10s2!AB52,IFERROR(Table10s3!AB52*28,0),IFERROR(Table10s4!AB52*265,0)))</f>
        <v>253.26774005759995</v>
      </c>
      <c r="AC53" s="4108">
        <f>IF(SUM(Table10s2!AC52,IFERROR(Table10s3!AC52*28,0),IFERROR(Table10s4!AC52*265,0))=0,"NO",SUM(Table10s2!AC52,IFERROR(Table10s3!AC52*28,0),IFERROR(Table10s4!AC52*265,0)))</f>
        <v>257.02929600120001</v>
      </c>
      <c r="AD53" s="4108">
        <f>IF(SUM(Table10s2!AD52,IFERROR(Table10s3!AD52*28,0),IFERROR(Table10s4!AD52*265,0))=0,"NO",SUM(Table10s2!AD52,IFERROR(Table10s3!AD52*28,0),IFERROR(Table10s4!AD52*265,0)))</f>
        <v>260.62983378360002</v>
      </c>
      <c r="AE53" s="4108">
        <f>IF(SUM(Table10s2!AE52,IFERROR(Table10s3!AE52*28,0),IFERROR(Table10s4!AE52*265,0))=0,"NO",SUM(Table10s2!AE52,IFERROR(Table10s3!AE52*28,0),IFERROR(Table10s4!AE52*265,0)))</f>
        <v>267.35527935931782</v>
      </c>
      <c r="AF53" s="4108">
        <f>IF(SUM(Table10s2!AF52,IFERROR(Table10s3!AF52*28,0),IFERROR(Table10s4!AF52*265,0))=0,"NO",SUM(Table10s2!AF52,IFERROR(Table10s3!AF52*28,0),IFERROR(Table10s4!AF52*265,0)))</f>
        <v>271.57709137462979</v>
      </c>
      <c r="AG53" s="4108">
        <f>IF(SUM(Table10s2!AG52,IFERROR(Table10s3!AG52*28,0),IFERROR(Table10s4!AG52*265,0))=0,"NO",SUM(Table10s2!AG52,IFERROR(Table10s3!AG52*28,0),IFERROR(Table10s4!AG52*265,0)))</f>
        <v>275.94175959565672</v>
      </c>
      <c r="AH53" s="4108">
        <f>IF(SUM(Table10s2!AH52,IFERROR(Table10s3!AH52*28,0),IFERROR(Table10s4!AH52*265,0))=0,"NO",SUM(Table10s2!AH52,IFERROR(Table10s3!AH52*28,0),IFERROR(Table10s4!AH52*265,0)))</f>
        <v>278.01103666907625</v>
      </c>
      <c r="AI53" s="4108">
        <f>IF(SUM(Table10s2!AI52,IFERROR(Table10s3!AI52*28,0),IFERROR(Table10s4!AI52*265,0))=0,"NO",SUM(Table10s2!AI52,IFERROR(Table10s3!AI52*28,0),IFERROR(Table10s4!AI52*265,0)))</f>
        <v>281.5866628126584</v>
      </c>
      <c r="AJ53" s="4108">
        <f>IF(SUM(Table10s2!AJ52,IFERROR(Table10s3!AJ52*28,0),IFERROR(Table10s4!AJ52*265,0))=0,"NO",SUM(Table10s2!AJ52,IFERROR(Table10s3!AJ52*28,0),IFERROR(Table10s4!AJ52*265,0)))</f>
        <v>282.49573480109075</v>
      </c>
      <c r="AK53" s="4101">
        <f t="shared" si="1"/>
        <v>1202.5109968701197</v>
      </c>
    </row>
    <row r="54" spans="2:37" ht="18" customHeight="1" x14ac:dyDescent="0.2">
      <c r="B54" s="1135" t="s">
        <v>1532</v>
      </c>
      <c r="C54" s="1995"/>
      <c r="D54" s="1995"/>
      <c r="E54" s="4094">
        <f>IF(SUM(Table10s2!E53,IFERROR(Table10s3!E53*28,0),IFERROR(Table10s4!E53*265,0))=0,"NO",SUM(Table10s2!E53,IFERROR(Table10s3!E53*28,0),IFERROR(Table10s4!E53*265,0)))</f>
        <v>86.500937817785697</v>
      </c>
      <c r="F54" s="4094">
        <f>IF(SUM(Table10s2!F53,IFERROR(Table10s3!F53*28,0),IFERROR(Table10s4!F53*265,0))=0,"NO",SUM(Table10s2!F53,IFERROR(Table10s3!F53*28,0),IFERROR(Table10s4!F53*265,0)))</f>
        <v>86.648339359355276</v>
      </c>
      <c r="G54" s="4108">
        <f>IF(SUM(Table10s2!G53,IFERROR(Table10s3!G53*28,0),IFERROR(Table10s4!G53*265,0))=0,"NO",SUM(Table10s2!G53,IFERROR(Table10s3!G53*28,0),IFERROR(Table10s4!G53*265,0)))</f>
        <v>86.78710581852846</v>
      </c>
      <c r="H54" s="4108">
        <f>IF(SUM(Table10s2!H53,IFERROR(Table10s3!H53*28,0),IFERROR(Table10s4!H53*265,0))=0,"NO",SUM(Table10s2!H53,IFERROR(Table10s3!H53*28,0),IFERROR(Table10s4!H53*265,0)))</f>
        <v>86.920359503522292</v>
      </c>
      <c r="I54" s="4108">
        <f>IF(SUM(Table10s2!I53,IFERROR(Table10s3!I53*28,0),IFERROR(Table10s4!I53*265,0))=0,"NO",SUM(Table10s2!I53,IFERROR(Table10s3!I53*28,0),IFERROR(Table10s4!I53*265,0)))</f>
        <v>87.061490419369392</v>
      </c>
      <c r="J54" s="4108">
        <f>IF(SUM(Table10s2!J53,IFERROR(Table10s3!J53*28,0),IFERROR(Table10s4!J53*265,0))=0,"NO",SUM(Table10s2!J53,IFERROR(Table10s3!J53*28,0),IFERROR(Table10s4!J53*265,0)))</f>
        <v>92.75277134765264</v>
      </c>
      <c r="K54" s="4108">
        <f>IF(SUM(Table10s2!K53,IFERROR(Table10s3!K53*28,0),IFERROR(Table10s4!K53*265,0))=0,"NO",SUM(Table10s2!K53,IFERROR(Table10s3!K53*28,0),IFERROR(Table10s4!K53*265,0)))</f>
        <v>66.89029452751231</v>
      </c>
      <c r="L54" s="4108">
        <f>IF(SUM(Table10s2!L53,IFERROR(Table10s3!L53*28,0),IFERROR(Table10s4!L53*265,0))=0,"NO",SUM(Table10s2!L53,IFERROR(Table10s3!L53*28,0),IFERROR(Table10s4!L53*265,0)))</f>
        <v>28.498582921678484</v>
      </c>
      <c r="M54" s="4108">
        <f>IF(SUM(Table10s2!M53,IFERROR(Table10s3!M53*28,0),IFERROR(Table10s4!M53*265,0))=0,"NO",SUM(Table10s2!M53,IFERROR(Table10s3!M53*28,0),IFERROR(Table10s4!M53*265,0)))</f>
        <v>28.621172748861426</v>
      </c>
      <c r="N54" s="4108">
        <f>IF(SUM(Table10s2!N53,IFERROR(Table10s3!N53*28,0),IFERROR(Table10s4!N53*265,0))=0,"NO",SUM(Table10s2!N53,IFERROR(Table10s3!N53*28,0),IFERROR(Table10s4!N53*265,0)))</f>
        <v>29.325568882446802</v>
      </c>
      <c r="O54" s="4108">
        <f>IF(SUM(Table10s2!O53,IFERROR(Table10s3!O53*28,0),IFERROR(Table10s4!O53*265,0))=0,"NO",SUM(Table10s2!O53,IFERROR(Table10s3!O53*28,0),IFERROR(Table10s4!O53*265,0)))</f>
        <v>28.212514195710089</v>
      </c>
      <c r="P54" s="4108">
        <f>IF(SUM(Table10s2!P53,IFERROR(Table10s3!P53*28,0),IFERROR(Table10s4!P53*265,0))=0,"NO",SUM(Table10s2!P53,IFERROR(Table10s3!P53*28,0),IFERROR(Table10s4!P53*265,0)))</f>
        <v>28.362785964459299</v>
      </c>
      <c r="Q54" s="4108">
        <f>IF(SUM(Table10s2!Q53,IFERROR(Table10s3!Q53*28,0),IFERROR(Table10s4!Q53*265,0))=0,"NO",SUM(Table10s2!Q53,IFERROR(Table10s3!Q53*28,0),IFERROR(Table10s4!Q53*265,0)))</f>
        <v>28.521775413558473</v>
      </c>
      <c r="R54" s="4108">
        <f>IF(SUM(Table10s2!R53,IFERROR(Table10s3!R53*28,0),IFERROR(Table10s4!R53*265,0))=0,"NO",SUM(Table10s2!R53,IFERROR(Table10s3!R53*28,0),IFERROR(Table10s4!R53*265,0)))</f>
        <v>28.688468053852297</v>
      </c>
      <c r="S54" s="4108">
        <f>IF(SUM(Table10s2!S53,IFERROR(Table10s3!S53*28,0),IFERROR(Table10s4!S53*265,0))=0,"NO",SUM(Table10s2!S53,IFERROR(Table10s3!S53*28,0),IFERROR(Table10s4!S53*265,0)))</f>
        <v>28.845923344468943</v>
      </c>
      <c r="T54" s="4108">
        <f>IF(SUM(Table10s2!T53,IFERROR(Table10s3!T53*28,0),IFERROR(Table10s4!T53*265,0))=0,"NO",SUM(Table10s2!T53,IFERROR(Table10s3!T53*28,0),IFERROR(Table10s4!T53*265,0)))</f>
        <v>29.0183583726607</v>
      </c>
      <c r="U54" s="4108">
        <f>IF(SUM(Table10s2!U53,IFERROR(Table10s3!U53*28,0),IFERROR(Table10s4!U53*265,0))=0,"NO",SUM(Table10s2!U53,IFERROR(Table10s3!U53*28,0),IFERROR(Table10s4!U53*265,0)))</f>
        <v>29.308601056242154</v>
      </c>
      <c r="V54" s="4108">
        <f>IF(SUM(Table10s2!V53,IFERROR(Table10s3!V53*28,0),IFERROR(Table10s4!V53*265,0))=0,"NO",SUM(Table10s2!V53,IFERROR(Table10s3!V53*28,0),IFERROR(Table10s4!V53*265,0)))</f>
        <v>29.670531219562221</v>
      </c>
      <c r="W54" s="4108">
        <f>IF(SUM(Table10s2!W53,IFERROR(Table10s3!W53*28,0),IFERROR(Table10s4!W53*265,0))=0,"NO",SUM(Table10s2!W53,IFERROR(Table10s3!W53*28,0),IFERROR(Table10s4!W53*265,0)))</f>
        <v>30.138931124908421</v>
      </c>
      <c r="X54" s="4108">
        <f>IF(SUM(Table10s2!X53,IFERROR(Table10s3!X53*28,0),IFERROR(Table10s4!X53*265,0))=0,"NO",SUM(Table10s2!X53,IFERROR(Table10s3!X53*28,0),IFERROR(Table10s4!X53*265,0)))</f>
        <v>30.577141562580699</v>
      </c>
      <c r="Y54" s="4108">
        <f>IF(SUM(Table10s2!Y53,IFERROR(Table10s3!Y53*28,0),IFERROR(Table10s4!Y53*265,0))=0,"NO",SUM(Table10s2!Y53,IFERROR(Table10s3!Y53*28,0),IFERROR(Table10s4!Y53*265,0)))</f>
        <v>30.362806605700698</v>
      </c>
      <c r="Z54" s="4108">
        <f>IF(SUM(Table10s2!Z53,IFERROR(Table10s3!Z53*28,0),IFERROR(Table10s4!Z53*265,0))=0,"NO",SUM(Table10s2!Z53,IFERROR(Table10s3!Z53*28,0),IFERROR(Table10s4!Z53*265,0)))</f>
        <v>30.475238146900701</v>
      </c>
      <c r="AA54" s="4108">
        <f>IF(SUM(Table10s2!AA53,IFERROR(Table10s3!AA53*28,0),IFERROR(Table10s4!AA53*265,0))=0,"NO",SUM(Table10s2!AA53,IFERROR(Table10s3!AA53*28,0),IFERROR(Table10s4!AA53*265,0)))</f>
        <v>30.629801780740696</v>
      </c>
      <c r="AB54" s="4108">
        <f>IF(SUM(Table10s2!AB53,IFERROR(Table10s3!AB53*28,0),IFERROR(Table10s4!AB53*265,0))=0,"NO",SUM(Table10s2!AB53,IFERROR(Table10s3!AB53*28,0),IFERROR(Table10s4!AB53*265,0)))</f>
        <v>31.081119583060698</v>
      </c>
      <c r="AC54" s="4108">
        <f>IF(SUM(Table10s2!AC53,IFERROR(Table10s3!AC53*28,0),IFERROR(Table10s4!AC53*265,0))=0,"NO",SUM(Table10s2!AC53,IFERROR(Table10s3!AC53*28,0),IFERROR(Table10s4!AC53*265,0)))</f>
        <v>31.499220380900699</v>
      </c>
      <c r="AD54" s="4108">
        <f>IF(SUM(Table10s2!AD53,IFERROR(Table10s3!AD53*28,0),IFERROR(Table10s4!AD53*265,0))=0,"NO",SUM(Table10s2!AD53,IFERROR(Table10s3!AD53*28,0),IFERROR(Table10s4!AD53*265,0)))</f>
        <v>31.180693138900697</v>
      </c>
      <c r="AE54" s="4108">
        <f>IF(SUM(Table10s2!AE53,IFERROR(Table10s3!AE53*28,0),IFERROR(Table10s4!AE53*265,0))=0,"NO",SUM(Table10s2!AE53,IFERROR(Table10s3!AE53*28,0),IFERROR(Table10s4!AE53*265,0)))</f>
        <v>31.331062638344687</v>
      </c>
      <c r="AF54" s="4108">
        <f>IF(SUM(Table10s2!AF53,IFERROR(Table10s3!AF53*28,0),IFERROR(Table10s4!AF53*265,0))=0,"NO",SUM(Table10s2!AF53,IFERROR(Table10s3!AF53*28,0),IFERROR(Table10s4!AF53*265,0)))</f>
        <v>31.457446360654316</v>
      </c>
      <c r="AG54" s="4108">
        <f>IF(SUM(Table10s2!AG53,IFERROR(Table10s3!AG53*28,0),IFERROR(Table10s4!AG53*265,0))=0,"NO",SUM(Table10s2!AG53,IFERROR(Table10s3!AG53*28,0),IFERROR(Table10s4!AG53*265,0)))</f>
        <v>31.414508582309281</v>
      </c>
      <c r="AH54" s="4108">
        <f>IF(SUM(Table10s2!AH53,IFERROR(Table10s3!AH53*28,0),IFERROR(Table10s4!AH53*265,0))=0,"NO",SUM(Table10s2!AH53,IFERROR(Table10s3!AH53*28,0),IFERROR(Table10s4!AH53*265,0)))</f>
        <v>31.383403080597994</v>
      </c>
      <c r="AI54" s="4108">
        <f>IF(SUM(Table10s2!AI53,IFERROR(Table10s3!AI53*28,0),IFERROR(Table10s4!AI53*265,0))=0,"NO",SUM(Table10s2!AI53,IFERROR(Table10s3!AI53*28,0),IFERROR(Table10s4!AI53*265,0)))</f>
        <v>31.466299785649113</v>
      </c>
      <c r="AJ54" s="4108">
        <f>IF(SUM(Table10s2!AJ53,IFERROR(Table10s3!AJ53*28,0),IFERROR(Table10s4!AJ53*265,0))=0,"NO",SUM(Table10s2!AJ53,IFERROR(Table10s3!AJ53*28,0),IFERROR(Table10s4!AJ53*265,0)))</f>
        <v>32.297548304455532</v>
      </c>
      <c r="AK54" s="4101">
        <f t="shared" si="1"/>
        <v>-62.662198677556134</v>
      </c>
    </row>
    <row r="55" spans="2:37" ht="18" customHeight="1" x14ac:dyDescent="0.2">
      <c r="B55" s="1135" t="s">
        <v>1502</v>
      </c>
      <c r="C55" s="1995"/>
      <c r="D55" s="1995"/>
      <c r="E55" s="4094">
        <f>IF(SUM(Table10s2!E54,IFERROR(Table10s3!E54*28,0),IFERROR(Table10s4!E54*265,0))=0,"NO",SUM(Table10s2!E54,IFERROR(Table10s3!E54*28,0),IFERROR(Table10s4!E54*265,0)))</f>
        <v>6289.4702656869067</v>
      </c>
      <c r="F55" s="4094">
        <f>IF(SUM(Table10s2!F54,IFERROR(Table10s3!F54*28,0),IFERROR(Table10s4!F54*265,0))=0,"NO",SUM(Table10s2!F54,IFERROR(Table10s3!F54*28,0),IFERROR(Table10s4!F54*265,0)))</f>
        <v>6221.1587227851714</v>
      </c>
      <c r="G55" s="4108">
        <f>IF(SUM(Table10s2!G54,IFERROR(Table10s3!G54*28,0),IFERROR(Table10s4!G54*265,0))=0,"NO",SUM(Table10s2!G54,IFERROR(Table10s3!G54*28,0),IFERROR(Table10s4!G54*265,0)))</f>
        <v>6121.6354391029208</v>
      </c>
      <c r="H55" s="4108">
        <f>IF(SUM(Table10s2!H54,IFERROR(Table10s3!H54*28,0),IFERROR(Table10s4!H54*265,0))=0,"NO",SUM(Table10s2!H54,IFERROR(Table10s3!H54*28,0),IFERROR(Table10s4!H54*265,0)))</f>
        <v>5980.1455103899898</v>
      </c>
      <c r="I55" s="4108">
        <f>IF(SUM(Table10s2!I54,IFERROR(Table10s3!I54*28,0),IFERROR(Table10s4!I54*265,0))=0,"NO",SUM(Table10s2!I54,IFERROR(Table10s3!I54*28,0),IFERROR(Table10s4!I54*265,0)))</f>
        <v>5853.5384311023436</v>
      </c>
      <c r="J55" s="4108">
        <f>IF(SUM(Table10s2!J54,IFERROR(Table10s3!J54*28,0),IFERROR(Table10s4!J54*265,0))=0,"NO",SUM(Table10s2!J54,IFERROR(Table10s3!J54*28,0),IFERROR(Table10s4!J54*265,0)))</f>
        <v>5631.1813029009245</v>
      </c>
      <c r="K55" s="4108">
        <f>IF(SUM(Table10s2!K54,IFERROR(Table10s3!K54*28,0),IFERROR(Table10s4!K54*265,0))=0,"NO",SUM(Table10s2!K54,IFERROR(Table10s3!K54*28,0),IFERROR(Table10s4!K54*265,0)))</f>
        <v>5365.2944496096725</v>
      </c>
      <c r="L55" s="4108">
        <f>IF(SUM(Table10s2!L54,IFERROR(Table10s3!L54*28,0),IFERROR(Table10s4!L54*265,0))=0,"NO",SUM(Table10s2!L54,IFERROR(Table10s3!L54*28,0),IFERROR(Table10s4!L54*265,0)))</f>
        <v>5215.3726622659751</v>
      </c>
      <c r="M55" s="4108">
        <f>IF(SUM(Table10s2!M54,IFERROR(Table10s3!M54*28,0),IFERROR(Table10s4!M54*265,0))=0,"NO",SUM(Table10s2!M54,IFERROR(Table10s3!M54*28,0),IFERROR(Table10s4!M54*265,0)))</f>
        <v>5157.2723800810518</v>
      </c>
      <c r="N55" s="4108">
        <f>IF(SUM(Table10s2!N54,IFERROR(Table10s3!N54*28,0),IFERROR(Table10s4!N54*265,0))=0,"NO",SUM(Table10s2!N54,IFERROR(Table10s3!N54*28,0),IFERROR(Table10s4!N54*265,0)))</f>
        <v>5135.2971803744213</v>
      </c>
      <c r="O55" s="4108">
        <f>IF(SUM(Table10s2!O54,IFERROR(Table10s3!O54*28,0),IFERROR(Table10s4!O54*265,0))=0,"NO",SUM(Table10s2!O54,IFERROR(Table10s3!O54*28,0),IFERROR(Table10s4!O54*265,0)))</f>
        <v>4706.9349669638395</v>
      </c>
      <c r="P55" s="4108">
        <f>IF(SUM(Table10s2!P54,IFERROR(Table10s3!P54*28,0),IFERROR(Table10s4!P54*265,0))=0,"NO",SUM(Table10s2!P54,IFERROR(Table10s3!P54*28,0),IFERROR(Table10s4!P54*265,0)))</f>
        <v>4951.577386822808</v>
      </c>
      <c r="Q55" s="4108">
        <f>IF(SUM(Table10s2!Q54,IFERROR(Table10s3!Q54*28,0),IFERROR(Table10s4!Q54*265,0))=0,"NO",SUM(Table10s2!Q54,IFERROR(Table10s3!Q54*28,0),IFERROR(Table10s4!Q54*265,0)))</f>
        <v>4802.076559931199</v>
      </c>
      <c r="R55" s="4108">
        <f>IF(SUM(Table10s2!R54,IFERROR(Table10s3!R54*28,0),IFERROR(Table10s4!R54*265,0))=0,"NO",SUM(Table10s2!R54,IFERROR(Table10s3!R54*28,0),IFERROR(Table10s4!R54*265,0)))</f>
        <v>3241.0022515425226</v>
      </c>
      <c r="S55" s="4108">
        <f>IF(SUM(Table10s2!S54,IFERROR(Table10s3!S54*28,0),IFERROR(Table10s4!S54*265,0))=0,"NO",SUM(Table10s2!S54,IFERROR(Table10s3!S54*28,0),IFERROR(Table10s4!S54*265,0)))</f>
        <v>3283.4849907434141</v>
      </c>
      <c r="T55" s="4108">
        <f>IF(SUM(Table10s2!T54,IFERROR(Table10s3!T54*28,0),IFERROR(Table10s4!T54*265,0))=0,"NO",SUM(Table10s2!T54,IFERROR(Table10s3!T54*28,0),IFERROR(Table10s4!T54*265,0)))</f>
        <v>3297.4785659698055</v>
      </c>
      <c r="U55" s="4108">
        <f>IF(SUM(Table10s2!U54,IFERROR(Table10s3!U54*28,0),IFERROR(Table10s4!U54*265,0))=0,"NO",SUM(Table10s2!U54,IFERROR(Table10s3!U54*28,0),IFERROR(Table10s4!U54*265,0)))</f>
        <v>3333.3644295746526</v>
      </c>
      <c r="V55" s="4108">
        <f>IF(SUM(Table10s2!V54,IFERROR(Table10s3!V54*28,0),IFERROR(Table10s4!V54*265,0))=0,"NO",SUM(Table10s2!V54,IFERROR(Table10s3!V54*28,0),IFERROR(Table10s4!V54*265,0)))</f>
        <v>3385.1088315974821</v>
      </c>
      <c r="W55" s="4108">
        <f>IF(SUM(Table10s2!W54,IFERROR(Table10s3!W54*28,0),IFERROR(Table10s4!W54*265,0))=0,"NO",SUM(Table10s2!W54,IFERROR(Table10s3!W54*28,0),IFERROR(Table10s4!W54*265,0)))</f>
        <v>3422.3970939749279</v>
      </c>
      <c r="X55" s="4108">
        <f>IF(SUM(Table10s2!X54,IFERROR(Table10s3!X54*28,0),IFERROR(Table10s4!X54*265,0))=0,"NO",SUM(Table10s2!X54,IFERROR(Table10s3!X54*28,0),IFERROR(Table10s4!X54*265,0)))</f>
        <v>3312.1735351373422</v>
      </c>
      <c r="Y55" s="4108">
        <f>IF(SUM(Table10s2!Y54,IFERROR(Table10s3!Y54*28,0),IFERROR(Table10s4!Y54*265,0))=0,"NO",SUM(Table10s2!Y54,IFERROR(Table10s3!Y54*28,0),IFERROR(Table10s4!Y54*265,0)))</f>
        <v>2818.2929314474172</v>
      </c>
      <c r="Z55" s="4108">
        <f>IF(SUM(Table10s2!Z54,IFERROR(Table10s3!Z54*28,0),IFERROR(Table10s4!Z54*265,0))=0,"NO",SUM(Table10s2!Z54,IFERROR(Table10s3!Z54*28,0),IFERROR(Table10s4!Z54*265,0)))</f>
        <v>2778.9277774950015</v>
      </c>
      <c r="AA55" s="4108">
        <f>IF(SUM(Table10s2!AA54,IFERROR(Table10s3!AA54*28,0),IFERROR(Table10s4!AA54*265,0))=0,"NO",SUM(Table10s2!AA54,IFERROR(Table10s3!AA54*28,0),IFERROR(Table10s4!AA54*265,0)))</f>
        <v>2822.8217836855374</v>
      </c>
      <c r="AB55" s="4108">
        <f>IF(SUM(Table10s2!AB54,IFERROR(Table10s3!AB54*28,0),IFERROR(Table10s4!AB54*265,0))=0,"NO",SUM(Table10s2!AB54,IFERROR(Table10s3!AB54*28,0),IFERROR(Table10s4!AB54*265,0)))</f>
        <v>2706.5555283542976</v>
      </c>
      <c r="AC55" s="4108">
        <f>IF(SUM(Table10s2!AC54,IFERROR(Table10s3!AC54*28,0),IFERROR(Table10s4!AC54*265,0))=0,"NO",SUM(Table10s2!AC54,IFERROR(Table10s3!AC54*28,0),IFERROR(Table10s4!AC54*265,0)))</f>
        <v>2688.9436684722295</v>
      </c>
      <c r="AD55" s="4108">
        <f>IF(SUM(Table10s2!AD54,IFERROR(Table10s3!AD54*28,0),IFERROR(Table10s4!AD54*265,0))=0,"NO",SUM(Table10s2!AD54,IFERROR(Table10s3!AD54*28,0),IFERROR(Table10s4!AD54*265,0)))</f>
        <v>2680.552624335809</v>
      </c>
      <c r="AE55" s="4108">
        <f>IF(SUM(Table10s2!AE54,IFERROR(Table10s3!AE54*28,0),IFERROR(Table10s4!AE54*265,0))=0,"NO",SUM(Table10s2!AE54,IFERROR(Table10s3!AE54*28,0),IFERROR(Table10s4!AE54*265,0)))</f>
        <v>2904.1934308408595</v>
      </c>
      <c r="AF55" s="4108">
        <f>IF(SUM(Table10s2!AF54,IFERROR(Table10s3!AF54*28,0),IFERROR(Table10s4!AF54*265,0))=0,"NO",SUM(Table10s2!AF54,IFERROR(Table10s3!AF54*28,0),IFERROR(Table10s4!AF54*265,0)))</f>
        <v>2854.6086347718369</v>
      </c>
      <c r="AG55" s="4108">
        <f>IF(SUM(Table10s2!AG54,IFERROR(Table10s3!AG54*28,0),IFERROR(Table10s4!AG54*265,0))=0,"NO",SUM(Table10s2!AG54,IFERROR(Table10s3!AG54*28,0),IFERROR(Table10s4!AG54*265,0)))</f>
        <v>2929.0238607765295</v>
      </c>
      <c r="AH55" s="4108">
        <f>IF(SUM(Table10s2!AH54,IFERROR(Table10s3!AH54*28,0),IFERROR(Table10s4!AH54*265,0))=0,"NO",SUM(Table10s2!AH54,IFERROR(Table10s3!AH54*28,0),IFERROR(Table10s4!AH54*265,0)))</f>
        <v>2741.502760240161</v>
      </c>
      <c r="AI55" s="4108">
        <f>IF(SUM(Table10s2!AI54,IFERROR(Table10s3!AI54*28,0),IFERROR(Table10s4!AI54*265,0))=0,"NO",SUM(Table10s2!AI54,IFERROR(Table10s3!AI54*28,0),IFERROR(Table10s4!AI54*265,0)))</f>
        <v>2958.9226146315841</v>
      </c>
      <c r="AJ55" s="4108">
        <f>IF(SUM(Table10s2!AJ54,IFERROR(Table10s3!AJ54*28,0),IFERROR(Table10s4!AJ54*265,0))=0,"NO",SUM(Table10s2!AJ54,IFERROR(Table10s3!AJ54*28,0),IFERROR(Table10s4!AJ54*265,0)))</f>
        <v>2967.5203179858627</v>
      </c>
      <c r="AK55" s="4101">
        <f t="shared" si="1"/>
        <v>-52.817642939253737</v>
      </c>
    </row>
    <row r="56" spans="2:37" ht="18" customHeight="1" thickBot="1" x14ac:dyDescent="0.25">
      <c r="B56" s="1417" t="s">
        <v>1720</v>
      </c>
      <c r="C56" s="2229"/>
      <c r="D56" s="2229"/>
      <c r="E56" s="4109" t="str">
        <f>IF(SUM(Table10s2!E55,IFERROR(Table10s3!E55*28,0),IFERROR(Table10s4!E55*265,0))=0,"NO",SUM(Table10s2!E55,IFERROR(Table10s3!E55*28,0),IFERROR(Table10s4!E55*265,0)))</f>
        <v>NO</v>
      </c>
      <c r="F56" s="4109" t="str">
        <f>IF(SUM(Table10s2!F55,IFERROR(Table10s3!F55*28,0),IFERROR(Table10s4!F55*265,0))=0,"NO",SUM(Table10s2!F55,IFERROR(Table10s3!F55*28,0),IFERROR(Table10s4!F55*265,0)))</f>
        <v>NO</v>
      </c>
      <c r="G56" s="4110" t="str">
        <f>IF(SUM(Table10s2!G55,IFERROR(Table10s3!G55*28,0),IFERROR(Table10s4!G55*265,0))=0,"NO",SUM(Table10s2!G55,IFERROR(Table10s3!G55*28,0),IFERROR(Table10s4!G55*265,0)))</f>
        <v>NO</v>
      </c>
      <c r="H56" s="4110" t="str">
        <f>IF(SUM(Table10s2!H55,IFERROR(Table10s3!H55*28,0),IFERROR(Table10s4!H55*265,0))=0,"NO",SUM(Table10s2!H55,IFERROR(Table10s3!H55*28,0),IFERROR(Table10s4!H55*265,0)))</f>
        <v>NO</v>
      </c>
      <c r="I56" s="4110" t="str">
        <f>IF(SUM(Table10s2!I55,IFERROR(Table10s3!I55*28,0),IFERROR(Table10s4!I55*265,0))=0,"NO",SUM(Table10s2!I55,IFERROR(Table10s3!I55*28,0),IFERROR(Table10s4!I55*265,0)))</f>
        <v>NO</v>
      </c>
      <c r="J56" s="4110" t="str">
        <f>IF(SUM(Table10s2!J55,IFERROR(Table10s3!J55*28,0),IFERROR(Table10s4!J55*265,0))=0,"NO",SUM(Table10s2!J55,IFERROR(Table10s3!J55*28,0),IFERROR(Table10s4!J55*265,0)))</f>
        <v>NO</v>
      </c>
      <c r="K56" s="4110" t="str">
        <f>IF(SUM(Table10s2!K55,IFERROR(Table10s3!K55*28,0),IFERROR(Table10s4!K55*265,0))=0,"NO",SUM(Table10s2!K55,IFERROR(Table10s3!K55*28,0),IFERROR(Table10s4!K55*265,0)))</f>
        <v>NO</v>
      </c>
      <c r="L56" s="4110" t="str">
        <f>IF(SUM(Table10s2!L55,IFERROR(Table10s3!L55*28,0),IFERROR(Table10s4!L55*265,0))=0,"NO",SUM(Table10s2!L55,IFERROR(Table10s3!L55*28,0),IFERROR(Table10s4!L55*265,0)))</f>
        <v>NO</v>
      </c>
      <c r="M56" s="4110" t="str">
        <f>IF(SUM(Table10s2!M55,IFERROR(Table10s3!M55*28,0),IFERROR(Table10s4!M55*265,0))=0,"NO",SUM(Table10s2!M55,IFERROR(Table10s3!M55*28,0),IFERROR(Table10s4!M55*265,0)))</f>
        <v>NO</v>
      </c>
      <c r="N56" s="4110" t="str">
        <f>IF(SUM(Table10s2!N55,IFERROR(Table10s3!N55*28,0),IFERROR(Table10s4!N55*265,0))=0,"NO",SUM(Table10s2!N55,IFERROR(Table10s3!N55*28,0),IFERROR(Table10s4!N55*265,0)))</f>
        <v>NO</v>
      </c>
      <c r="O56" s="4110" t="str">
        <f>IF(SUM(Table10s2!O55,IFERROR(Table10s3!O55*28,0),IFERROR(Table10s4!O55*265,0))=0,"NO",SUM(Table10s2!O55,IFERROR(Table10s3!O55*28,0),IFERROR(Table10s4!O55*265,0)))</f>
        <v>NO</v>
      </c>
      <c r="P56" s="4110" t="str">
        <f>IF(SUM(Table10s2!P55,IFERROR(Table10s3!P55*28,0),IFERROR(Table10s4!P55*265,0))=0,"NO",SUM(Table10s2!P55,IFERROR(Table10s3!P55*28,0),IFERROR(Table10s4!P55*265,0)))</f>
        <v>NO</v>
      </c>
      <c r="Q56" s="4110" t="str">
        <f>IF(SUM(Table10s2!Q55,IFERROR(Table10s3!Q55*28,0),IFERROR(Table10s4!Q55*265,0))=0,"NO",SUM(Table10s2!Q55,IFERROR(Table10s3!Q55*28,0),IFERROR(Table10s4!Q55*265,0)))</f>
        <v>NO</v>
      </c>
      <c r="R56" s="4110" t="str">
        <f>IF(SUM(Table10s2!R55,IFERROR(Table10s3!R55*28,0),IFERROR(Table10s4!R55*265,0))=0,"NO",SUM(Table10s2!R55,IFERROR(Table10s3!R55*28,0),IFERROR(Table10s4!R55*265,0)))</f>
        <v>NO</v>
      </c>
      <c r="S56" s="4110" t="str">
        <f>IF(SUM(Table10s2!S55,IFERROR(Table10s3!S55*28,0),IFERROR(Table10s4!S55*265,0))=0,"NO",SUM(Table10s2!S55,IFERROR(Table10s3!S55*28,0),IFERROR(Table10s4!S55*265,0)))</f>
        <v>NO</v>
      </c>
      <c r="T56" s="4110" t="str">
        <f>IF(SUM(Table10s2!T55,IFERROR(Table10s3!T55*28,0),IFERROR(Table10s4!T55*265,0))=0,"NO",SUM(Table10s2!T55,IFERROR(Table10s3!T55*28,0),IFERROR(Table10s4!T55*265,0)))</f>
        <v>NO</v>
      </c>
      <c r="U56" s="4110" t="str">
        <f>IF(SUM(Table10s2!U55,IFERROR(Table10s3!U55*28,0),IFERROR(Table10s4!U55*265,0))=0,"NO",SUM(Table10s2!U55,IFERROR(Table10s3!U55*28,0),IFERROR(Table10s4!U55*265,0)))</f>
        <v>NO</v>
      </c>
      <c r="V56" s="4110" t="str">
        <f>IF(SUM(Table10s2!V55,IFERROR(Table10s3!V55*28,0),IFERROR(Table10s4!V55*265,0))=0,"NO",SUM(Table10s2!V55,IFERROR(Table10s3!V55*28,0),IFERROR(Table10s4!V55*265,0)))</f>
        <v>NO</v>
      </c>
      <c r="W56" s="4110" t="str">
        <f>IF(SUM(Table10s2!W55,IFERROR(Table10s3!W55*28,0),IFERROR(Table10s4!W55*265,0))=0,"NO",SUM(Table10s2!W55,IFERROR(Table10s3!W55*28,0),IFERROR(Table10s4!W55*265,0)))</f>
        <v>NO</v>
      </c>
      <c r="X56" s="4110" t="str">
        <f>IF(SUM(Table10s2!X55,IFERROR(Table10s3!X55*28,0),IFERROR(Table10s4!X55*265,0))=0,"NO",SUM(Table10s2!X55,IFERROR(Table10s3!X55*28,0),IFERROR(Table10s4!X55*265,0)))</f>
        <v>NO</v>
      </c>
      <c r="Y56" s="4110" t="str">
        <f>IF(SUM(Table10s2!Y55,IFERROR(Table10s3!Y55*28,0),IFERROR(Table10s4!Y55*265,0))=0,"NO",SUM(Table10s2!Y55,IFERROR(Table10s3!Y55*28,0),IFERROR(Table10s4!Y55*265,0)))</f>
        <v>NO</v>
      </c>
      <c r="Z56" s="4110" t="str">
        <f>IF(SUM(Table10s2!Z55,IFERROR(Table10s3!Z55*28,0),IFERROR(Table10s4!Z55*265,0))=0,"NO",SUM(Table10s2!Z55,IFERROR(Table10s3!Z55*28,0),IFERROR(Table10s4!Z55*265,0)))</f>
        <v>NO</v>
      </c>
      <c r="AA56" s="4110" t="str">
        <f>IF(SUM(Table10s2!AA55,IFERROR(Table10s3!AA55*28,0),IFERROR(Table10s4!AA55*265,0))=0,"NO",SUM(Table10s2!AA55,IFERROR(Table10s3!AA55*28,0),IFERROR(Table10s4!AA55*265,0)))</f>
        <v>NO</v>
      </c>
      <c r="AB56" s="4110" t="str">
        <f>IF(SUM(Table10s2!AB55,IFERROR(Table10s3!AB55*28,0),IFERROR(Table10s4!AB55*265,0))=0,"NO",SUM(Table10s2!AB55,IFERROR(Table10s3!AB55*28,0),IFERROR(Table10s4!AB55*265,0)))</f>
        <v>NO</v>
      </c>
      <c r="AC56" s="4110" t="str">
        <f>IF(SUM(Table10s2!AC55,IFERROR(Table10s3!AC55*28,0),IFERROR(Table10s4!AC55*265,0))=0,"NO",SUM(Table10s2!AC55,IFERROR(Table10s3!AC55*28,0),IFERROR(Table10s4!AC55*265,0)))</f>
        <v>NO</v>
      </c>
      <c r="AD56" s="4110" t="str">
        <f>IF(SUM(Table10s2!AD55,IFERROR(Table10s3!AD55*28,0),IFERROR(Table10s4!AD55*265,0))=0,"NO",SUM(Table10s2!AD55,IFERROR(Table10s3!AD55*28,0),IFERROR(Table10s4!AD55*265,0)))</f>
        <v>NO</v>
      </c>
      <c r="AE56" s="4110" t="str">
        <f>IF(SUM(Table10s2!AE55,IFERROR(Table10s3!AE55*28,0),IFERROR(Table10s4!AE55*265,0))=0,"NO",SUM(Table10s2!AE55,IFERROR(Table10s3!AE55*28,0),IFERROR(Table10s4!AE55*265,0)))</f>
        <v>NO</v>
      </c>
      <c r="AF56" s="4110" t="str">
        <f>IF(SUM(Table10s2!AF55,IFERROR(Table10s3!AF55*28,0),IFERROR(Table10s4!AF55*265,0))=0,"NO",SUM(Table10s2!AF55,IFERROR(Table10s3!AF55*28,0),IFERROR(Table10s4!AF55*265,0)))</f>
        <v>NO</v>
      </c>
      <c r="AG56" s="4110" t="str">
        <f>IF(SUM(Table10s2!AG55,IFERROR(Table10s3!AG55*28,0),IFERROR(Table10s4!AG55*265,0))=0,"NO",SUM(Table10s2!AG55,IFERROR(Table10s3!AG55*28,0),IFERROR(Table10s4!AG55*265,0)))</f>
        <v>NO</v>
      </c>
      <c r="AH56" s="4110" t="str">
        <f>IF(SUM(Table10s2!AH55,IFERROR(Table10s3!AH55*28,0),IFERROR(Table10s4!AH55*265,0))=0,"NO",SUM(Table10s2!AH55,IFERROR(Table10s3!AH55*28,0),IFERROR(Table10s4!AH55*265,0)))</f>
        <v>NO</v>
      </c>
      <c r="AI56" s="4110" t="str">
        <f>IF(SUM(Table10s2!AI55,IFERROR(Table10s3!AI55*28,0),IFERROR(Table10s4!AI55*265,0))=0,"NO",SUM(Table10s2!AI55,IFERROR(Table10s3!AI55*28,0),IFERROR(Table10s4!AI55*265,0)))</f>
        <v>NO</v>
      </c>
      <c r="AJ56" s="4110" t="str">
        <f>IF(SUM(Table10s2!AJ55,IFERROR(Table10s3!AJ55*28,0),IFERROR(Table10s4!AJ55*265,0))=0,"NO",SUM(Table10s2!AJ55,IFERROR(Table10s3!AJ55*28,0),IFERROR(Table10s4!AJ55*265,0)))</f>
        <v>NO</v>
      </c>
      <c r="AK56" s="4121" t="str">
        <f t="shared" si="1"/>
        <v>NA</v>
      </c>
    </row>
    <row r="57" spans="2:37" ht="18" customHeight="1" thickBot="1" x14ac:dyDescent="0.25">
      <c r="B57" s="1446" t="s">
        <v>2075</v>
      </c>
      <c r="C57" s="2000"/>
      <c r="D57" s="2000"/>
      <c r="E57" s="4117" t="str">
        <f>IF(SUM(Table10s2!E56,IFERROR(Table10s3!E56*28,0),IFERROR(Table10s4!E56*265,0))=0,"NO",SUM(Table10s2!E56,IFERROR(Table10s3!E56*28,0),IFERROR(Table10s4!E56*265,0)))</f>
        <v>NO</v>
      </c>
      <c r="F57" s="4117" t="str">
        <f>IF(SUM(Table10s2!F56,IFERROR(Table10s3!F56*28,0),IFERROR(Table10s4!F56*265,0))=0,"NO",SUM(Table10s2!F56,IFERROR(Table10s3!F56*28,0),IFERROR(Table10s4!F56*265,0)))</f>
        <v>NO</v>
      </c>
      <c r="G57" s="4117" t="str">
        <f>IF(SUM(Table10s2!G56,IFERROR(Table10s3!G56*28,0),IFERROR(Table10s4!G56*265,0))=0,"NO",SUM(Table10s2!G56,IFERROR(Table10s3!G56*28,0),IFERROR(Table10s4!G56*265,0)))</f>
        <v>NO</v>
      </c>
      <c r="H57" s="4117" t="str">
        <f>IF(SUM(Table10s2!H56,IFERROR(Table10s3!H56*28,0),IFERROR(Table10s4!H56*265,0))=0,"NO",SUM(Table10s2!H56,IFERROR(Table10s3!H56*28,0),IFERROR(Table10s4!H56*265,0)))</f>
        <v>NO</v>
      </c>
      <c r="I57" s="4117" t="str">
        <f>IF(SUM(Table10s2!I56,IFERROR(Table10s3!I56*28,0),IFERROR(Table10s4!I56*265,0))=0,"NO",SUM(Table10s2!I56,IFERROR(Table10s3!I56*28,0),IFERROR(Table10s4!I56*265,0)))</f>
        <v>NO</v>
      </c>
      <c r="J57" s="4117" t="str">
        <f>IF(SUM(Table10s2!J56,IFERROR(Table10s3!J56*28,0),IFERROR(Table10s4!J56*265,0))=0,"NO",SUM(Table10s2!J56,IFERROR(Table10s3!J56*28,0),IFERROR(Table10s4!J56*265,0)))</f>
        <v>NO</v>
      </c>
      <c r="K57" s="4118" t="str">
        <f>IF(SUM(Table10s2!K56,IFERROR(Table10s3!K56*28,0),IFERROR(Table10s4!K56*265,0))=0,"NO",SUM(Table10s2!K56,IFERROR(Table10s3!K56*28,0),IFERROR(Table10s4!K56*265,0)))</f>
        <v>NO</v>
      </c>
      <c r="L57" s="4118" t="str">
        <f>IF(SUM(Table10s2!L56,IFERROR(Table10s3!L56*28,0),IFERROR(Table10s4!L56*265,0))=0,"NO",SUM(Table10s2!L56,IFERROR(Table10s3!L56*28,0),IFERROR(Table10s4!L56*265,0)))</f>
        <v>NO</v>
      </c>
      <c r="M57" s="4118" t="str">
        <f>IF(SUM(Table10s2!M56,IFERROR(Table10s3!M56*28,0),IFERROR(Table10s4!M56*265,0))=0,"NO",SUM(Table10s2!M56,IFERROR(Table10s3!M56*28,0),IFERROR(Table10s4!M56*265,0)))</f>
        <v>NO</v>
      </c>
      <c r="N57" s="4118" t="str">
        <f>IF(SUM(Table10s2!N56,IFERROR(Table10s3!N56*28,0),IFERROR(Table10s4!N56*265,0))=0,"NO",SUM(Table10s2!N56,IFERROR(Table10s3!N56*28,0),IFERROR(Table10s4!N56*265,0)))</f>
        <v>NO</v>
      </c>
      <c r="O57" s="4118" t="str">
        <f>IF(SUM(Table10s2!O56,IFERROR(Table10s3!O56*28,0),IFERROR(Table10s4!O56*265,0))=0,"NO",SUM(Table10s2!O56,IFERROR(Table10s3!O56*28,0),IFERROR(Table10s4!O56*265,0)))</f>
        <v>NO</v>
      </c>
      <c r="P57" s="4118" t="str">
        <f>IF(SUM(Table10s2!P56,IFERROR(Table10s3!P56*28,0),IFERROR(Table10s4!P56*265,0))=0,"NO",SUM(Table10s2!P56,IFERROR(Table10s3!P56*28,0),IFERROR(Table10s4!P56*265,0)))</f>
        <v>NO</v>
      </c>
      <c r="Q57" s="4118" t="str">
        <f>IF(SUM(Table10s2!Q56,IFERROR(Table10s3!Q56*28,0),IFERROR(Table10s4!Q56*265,0))=0,"NO",SUM(Table10s2!Q56,IFERROR(Table10s3!Q56*28,0),IFERROR(Table10s4!Q56*265,0)))</f>
        <v>NO</v>
      </c>
      <c r="R57" s="4118" t="str">
        <f>IF(SUM(Table10s2!R56,IFERROR(Table10s3!R56*28,0),IFERROR(Table10s4!R56*265,0))=0,"NO",SUM(Table10s2!R56,IFERROR(Table10s3!R56*28,0),IFERROR(Table10s4!R56*265,0)))</f>
        <v>NO</v>
      </c>
      <c r="S57" s="4118" t="str">
        <f>IF(SUM(Table10s2!S56,IFERROR(Table10s3!S56*28,0),IFERROR(Table10s4!S56*265,0))=0,"NO",SUM(Table10s2!S56,IFERROR(Table10s3!S56*28,0),IFERROR(Table10s4!S56*265,0)))</f>
        <v>NO</v>
      </c>
      <c r="T57" s="4118" t="str">
        <f>IF(SUM(Table10s2!T56,IFERROR(Table10s3!T56*28,0),IFERROR(Table10s4!T56*265,0))=0,"NO",SUM(Table10s2!T56,IFERROR(Table10s3!T56*28,0),IFERROR(Table10s4!T56*265,0)))</f>
        <v>NO</v>
      </c>
      <c r="U57" s="4118" t="str">
        <f>IF(SUM(Table10s2!U56,IFERROR(Table10s3!U56*28,0),IFERROR(Table10s4!U56*265,0))=0,"NO",SUM(Table10s2!U56,IFERROR(Table10s3!U56*28,0),IFERROR(Table10s4!U56*265,0)))</f>
        <v>NO</v>
      </c>
      <c r="V57" s="4118" t="str">
        <f>IF(SUM(Table10s2!V56,IFERROR(Table10s3!V56*28,0),IFERROR(Table10s4!V56*265,0))=0,"NO",SUM(Table10s2!V56,IFERROR(Table10s3!V56*28,0),IFERROR(Table10s4!V56*265,0)))</f>
        <v>NO</v>
      </c>
      <c r="W57" s="4118" t="str">
        <f>IF(SUM(Table10s2!W56,IFERROR(Table10s3!W56*28,0),IFERROR(Table10s4!W56*265,0))=0,"NO",SUM(Table10s2!W56,IFERROR(Table10s3!W56*28,0),IFERROR(Table10s4!W56*265,0)))</f>
        <v>NO</v>
      </c>
      <c r="X57" s="4118" t="str">
        <f>IF(SUM(Table10s2!X56,IFERROR(Table10s3!X56*28,0),IFERROR(Table10s4!X56*265,0))=0,"NO",SUM(Table10s2!X56,IFERROR(Table10s3!X56*28,0),IFERROR(Table10s4!X56*265,0)))</f>
        <v>NO</v>
      </c>
      <c r="Y57" s="4118" t="str">
        <f>IF(SUM(Table10s2!Y56,IFERROR(Table10s3!Y56*28,0),IFERROR(Table10s4!Y56*265,0))=0,"NO",SUM(Table10s2!Y56,IFERROR(Table10s3!Y56*28,0),IFERROR(Table10s4!Y56*265,0)))</f>
        <v>NO</v>
      </c>
      <c r="Z57" s="4118" t="str">
        <f>IF(SUM(Table10s2!Z56,IFERROR(Table10s3!Z56*28,0),IFERROR(Table10s4!Z56*265,0))=0,"NO",SUM(Table10s2!Z56,IFERROR(Table10s3!Z56*28,0),IFERROR(Table10s4!Z56*265,0)))</f>
        <v>NO</v>
      </c>
      <c r="AA57" s="4118" t="str">
        <f>IF(SUM(Table10s2!AA56,IFERROR(Table10s3!AA56*28,0),IFERROR(Table10s4!AA56*265,0))=0,"NO",SUM(Table10s2!AA56,IFERROR(Table10s3!AA56*28,0),IFERROR(Table10s4!AA56*265,0)))</f>
        <v>NO</v>
      </c>
      <c r="AB57" s="4118" t="str">
        <f>IF(SUM(Table10s2!AB56,IFERROR(Table10s3!AB56*28,0),IFERROR(Table10s4!AB56*265,0))=0,"NO",SUM(Table10s2!AB56,IFERROR(Table10s3!AB56*28,0),IFERROR(Table10s4!AB56*265,0)))</f>
        <v>NO</v>
      </c>
      <c r="AC57" s="4118" t="str">
        <f>IF(SUM(Table10s2!AC56,IFERROR(Table10s3!AC56*28,0),IFERROR(Table10s4!AC56*265,0))=0,"NO",SUM(Table10s2!AC56,IFERROR(Table10s3!AC56*28,0),IFERROR(Table10s4!AC56*265,0)))</f>
        <v>NO</v>
      </c>
      <c r="AD57" s="4118" t="str">
        <f>IF(SUM(Table10s2!AD56,IFERROR(Table10s3!AD56*28,0),IFERROR(Table10s4!AD56*265,0))=0,"NO",SUM(Table10s2!AD56,IFERROR(Table10s3!AD56*28,0),IFERROR(Table10s4!AD56*265,0)))</f>
        <v>NO</v>
      </c>
      <c r="AE57" s="4118" t="str">
        <f>IF(SUM(Table10s2!AE56,IFERROR(Table10s3!AE56*28,0),IFERROR(Table10s4!AE56*265,0))=0,"NO",SUM(Table10s2!AE56,IFERROR(Table10s3!AE56*28,0),IFERROR(Table10s4!AE56*265,0)))</f>
        <v>NO</v>
      </c>
      <c r="AF57" s="4118" t="str">
        <f>IF(SUM(Table10s2!AF56,IFERROR(Table10s3!AF56*28,0),IFERROR(Table10s4!AF56*265,0))=0,"NO",SUM(Table10s2!AF56,IFERROR(Table10s3!AF56*28,0),IFERROR(Table10s4!AF56*265,0)))</f>
        <v>NO</v>
      </c>
      <c r="AG57" s="4118" t="str">
        <f>IF(SUM(Table10s2!AG56,IFERROR(Table10s3!AG56*28,0),IFERROR(Table10s4!AG56*265,0))=0,"NO",SUM(Table10s2!AG56,IFERROR(Table10s3!AG56*28,0),IFERROR(Table10s4!AG56*265,0)))</f>
        <v>NO</v>
      </c>
      <c r="AH57" s="4118" t="str">
        <f>IF(SUM(Table10s2!AH56,IFERROR(Table10s3!AH56*28,0),IFERROR(Table10s4!AH56*265,0))=0,"NO",SUM(Table10s2!AH56,IFERROR(Table10s3!AH56*28,0),IFERROR(Table10s4!AH56*265,0)))</f>
        <v>NO</v>
      </c>
      <c r="AI57" s="4118" t="str">
        <f>IF(SUM(Table10s2!AI56,IFERROR(Table10s3!AI56*28,0),IFERROR(Table10s4!AI56*265,0))=0,"NO",SUM(Table10s2!AI56,IFERROR(Table10s3!AI56*28,0),IFERROR(Table10s4!AI56*265,0)))</f>
        <v>NO</v>
      </c>
      <c r="AJ57" s="4118" t="str">
        <f>IF(SUM(Table10s2!AJ56,IFERROR(Table10s3!AJ56*28,0),IFERROR(Table10s4!AJ56*265,0))=0,"NO",SUM(Table10s2!AJ56,IFERROR(Table10s3!AJ56*28,0),IFERROR(Table10s4!AJ56*265,0)))</f>
        <v>NO</v>
      </c>
      <c r="AK57" s="4099" t="str">
        <f t="shared" si="1"/>
        <v>NA</v>
      </c>
    </row>
    <row r="58" spans="2:37" ht="18" customHeight="1" thickBot="1" x14ac:dyDescent="0.25">
      <c r="B58" s="2011"/>
      <c r="C58" s="2011"/>
      <c r="D58" s="2011"/>
      <c r="E58" s="2011"/>
      <c r="F58" s="2011"/>
      <c r="G58" s="2011"/>
      <c r="H58" s="2011"/>
      <c r="I58" s="2011"/>
      <c r="J58" s="2011"/>
      <c r="K58" s="2011"/>
      <c r="L58" s="2011"/>
      <c r="M58" s="2011"/>
      <c r="N58" s="2011"/>
      <c r="O58" s="2011"/>
      <c r="P58" s="2011"/>
      <c r="Q58" s="2011"/>
      <c r="R58" s="2011"/>
      <c r="S58" s="2011"/>
      <c r="T58" s="2011"/>
      <c r="U58" s="2011"/>
      <c r="V58" s="2011"/>
      <c r="W58" s="2011"/>
      <c r="X58" s="2011"/>
      <c r="Y58" s="2011"/>
      <c r="Z58" s="2011"/>
      <c r="AA58" s="2011"/>
      <c r="AB58" s="2011"/>
      <c r="AC58" s="2011"/>
      <c r="AD58" s="2011"/>
      <c r="AE58" s="2011"/>
      <c r="AF58" s="2011"/>
      <c r="AG58" s="2011"/>
      <c r="AH58" s="2011"/>
      <c r="AI58" s="2011"/>
      <c r="AJ58" s="2011"/>
      <c r="AK58" s="2011"/>
    </row>
    <row r="59" spans="2:37" ht="18" customHeight="1" x14ac:dyDescent="0.2">
      <c r="B59" s="4106" t="s">
        <v>1721</v>
      </c>
      <c r="C59" s="2002"/>
      <c r="D59" s="2532"/>
      <c r="E59" s="2532"/>
      <c r="F59" s="2532"/>
      <c r="G59" s="2532"/>
      <c r="H59" s="2532"/>
      <c r="I59" s="2532"/>
      <c r="J59" s="2532"/>
      <c r="K59" s="2532"/>
      <c r="L59" s="2532"/>
      <c r="M59" s="2532"/>
      <c r="N59" s="2532"/>
      <c r="O59" s="2532"/>
      <c r="P59" s="2532"/>
      <c r="Q59" s="2532"/>
      <c r="R59" s="2532"/>
      <c r="S59" s="2532"/>
      <c r="T59" s="2532"/>
      <c r="U59" s="2532"/>
      <c r="V59" s="2532"/>
      <c r="W59" s="2532"/>
      <c r="X59" s="2532"/>
      <c r="Y59" s="2532"/>
      <c r="Z59" s="2532"/>
      <c r="AA59" s="2532"/>
      <c r="AB59" s="2532"/>
      <c r="AC59" s="2532"/>
      <c r="AD59" s="2532"/>
      <c r="AE59" s="2532"/>
      <c r="AF59" s="2532"/>
      <c r="AG59" s="2532"/>
      <c r="AH59" s="2532"/>
      <c r="AI59" s="2532"/>
      <c r="AJ59" s="2532"/>
      <c r="AK59" s="2533"/>
    </row>
    <row r="60" spans="2:37" ht="18" customHeight="1" x14ac:dyDescent="0.2">
      <c r="B60" s="1379" t="s">
        <v>110</v>
      </c>
      <c r="C60" s="1995"/>
      <c r="D60" s="1995"/>
      <c r="E60" s="4119">
        <f>SUM(Table10s2!E59,Table10s3!E62*28,Table10s4!E62*268)</f>
        <v>6487.6472066036104</v>
      </c>
      <c r="F60" s="4119">
        <f>SUM(Table10s2!F59,Table10s3!F62*28,Table10s4!F62*268)</f>
        <v>6461.6491094989678</v>
      </c>
      <c r="G60" s="4119">
        <f>SUM(Table10s2!G59,Table10s3!G62*28,Table10s4!G62*268)</f>
        <v>6670.7232109980941</v>
      </c>
      <c r="H60" s="4119">
        <f>SUM(Table10s2!H59,Table10s3!H62*28,Table10s4!H62*268)</f>
        <v>7076.1461740299892</v>
      </c>
      <c r="I60" s="4119">
        <f>SUM(Table10s2!I59,Table10s3!I62*28,Table10s4!I62*268)</f>
        <v>7459.8994330768519</v>
      </c>
      <c r="J60" s="4119">
        <f>SUM(Table10s2!J59,Table10s3!J62*28,Table10s4!J62*268)</f>
        <v>8649.400630756294</v>
      </c>
      <c r="K60" s="4119">
        <f>SUM(Table10s2!K59,Table10s3!K62*28,Table10s4!K62*268)</f>
        <v>9147.7366769255059</v>
      </c>
      <c r="L60" s="4119">
        <f>SUM(Table10s2!L59,Table10s3!L62*28,Table10s4!L62*268)</f>
        <v>9177.0831977980943</v>
      </c>
      <c r="M60" s="4119">
        <f>SUM(Table10s2!M59,Table10s3!M62*28,Table10s4!M62*268)</f>
        <v>9565.7854502000628</v>
      </c>
      <c r="N60" s="4119">
        <f>SUM(Table10s2!N59,Table10s3!N62*28,Table10s4!N62*268)</f>
        <v>9839.7658505127056</v>
      </c>
      <c r="O60" s="4119">
        <f>SUM(Table10s2!O59,Table10s3!O62*28,Table10s4!O62*268)</f>
        <v>10231.106149530577</v>
      </c>
      <c r="P60" s="4119">
        <f>SUM(Table10s2!P59,Table10s3!P62*28,Table10s4!P62*268)</f>
        <v>10527.009294596335</v>
      </c>
      <c r="Q60" s="4119">
        <f>SUM(Table10s2!Q59,Table10s3!Q62*28,Table10s4!Q62*268)</f>
        <v>9658.7369901411857</v>
      </c>
      <c r="R60" s="4119">
        <f>SUM(Table10s2!R59,Table10s3!R62*28,Table10s4!R62*268)</f>
        <v>8808.0330138057379</v>
      </c>
      <c r="S60" s="4119">
        <f>SUM(Table10s2!S59,Table10s3!S62*28,Table10s4!S62*268)</f>
        <v>10031.766594722136</v>
      </c>
      <c r="T60" s="4119">
        <f>SUM(Table10s2!T59,Table10s3!T62*28,Table10s4!T62*268)</f>
        <v>10987.044361435599</v>
      </c>
      <c r="U60" s="4119">
        <f>SUM(Table10s2!U59,Table10s3!U62*28,Table10s4!U62*268)</f>
        <v>11598.713556567169</v>
      </c>
      <c r="V60" s="4119">
        <f>SUM(Table10s2!V59,Table10s3!V62*28,Table10s4!V62*268)</f>
        <v>11964.189264803663</v>
      </c>
      <c r="W60" s="4119">
        <f>SUM(Table10s2!W59,Table10s3!W62*28,Table10s4!W62*268)</f>
        <v>12251.77790806641</v>
      </c>
      <c r="X60" s="4119">
        <f>SUM(Table10s2!X59,Table10s3!X62*28,Table10s4!X62*268)</f>
        <v>12228.679690351624</v>
      </c>
      <c r="Y60" s="4119">
        <f>SUM(Table10s2!Y59,Table10s3!Y62*28,Table10s4!Y62*268)</f>
        <v>12477.448343741382</v>
      </c>
      <c r="Z60" s="4119">
        <f>SUM(Table10s2!Z59,Table10s3!Z62*28,Table10s4!Z62*268)</f>
        <v>11991.118738173429</v>
      </c>
      <c r="AA60" s="4119">
        <f>SUM(Table10s2!AA59,Table10s3!AA62*28,Table10s4!AA62*268)</f>
        <v>12957.905741376017</v>
      </c>
      <c r="AB60" s="4119">
        <f>SUM(Table10s2!AB59,Table10s3!AB62*28,Table10s4!AB62*268)</f>
        <v>13005.412506853321</v>
      </c>
      <c r="AC60" s="4119">
        <f>SUM(Table10s2!AC59,Table10s3!AC62*28,Table10s4!AC62*268)</f>
        <v>14167.374904623124</v>
      </c>
      <c r="AD60" s="4119">
        <f>SUM(Table10s2!AD59,Table10s3!AD62*28,Table10s4!AD62*268)</f>
        <v>14106.46161606842</v>
      </c>
      <c r="AE60" s="4119">
        <f>SUM(Table10s2!AE59,Table10s3!AE62*28,Table10s4!AE62*268)</f>
        <v>15052.850211631305</v>
      </c>
      <c r="AF60" s="4119">
        <f>SUM(Table10s2!AF59,Table10s3!AF62*28,Table10s4!AF62*268)</f>
        <v>16224.20129471021</v>
      </c>
      <c r="AG60" s="4119">
        <f>SUM(Table10s2!AG59,Table10s3!AG62*28,Table10s4!AG62*268)</f>
        <v>16967.679694955092</v>
      </c>
      <c r="AH60" s="4119">
        <f>SUM(Table10s2!AH59,Table10s3!AH62*28,Table10s4!AH62*268)</f>
        <v>17765.387617896038</v>
      </c>
      <c r="AI60" s="4119">
        <f>SUM(Table10s2!AI59,Table10s3!AI62*28,Table10s4!AI62*268)</f>
        <v>13926.098563349919</v>
      </c>
      <c r="AJ60" s="4119">
        <f>SUM(Table10s2!AJ59,Table10s3!AJ62*28,Table10s4!AJ62*268)</f>
        <v>5263.6654990099742</v>
      </c>
      <c r="AK60" s="4101">
        <f t="shared" ref="AK60:AK66" si="2">IF(AJ60="NO",IF(E60="NO","NA",-100),IF(E60="NO",100,AJ60/E60*100-100))</f>
        <v>-18.866341966742212</v>
      </c>
    </row>
    <row r="61" spans="2:37" ht="18" customHeight="1" x14ac:dyDescent="0.2">
      <c r="B61" s="1371" t="s">
        <v>111</v>
      </c>
      <c r="C61" s="1995"/>
      <c r="D61" s="1995"/>
      <c r="E61" s="4094">
        <f>SUM(Table10s2!E60,Table10s3!E63*28,Table10s4!E63*268)</f>
        <v>4389.087886603611</v>
      </c>
      <c r="F61" s="4094">
        <f>SUM(Table10s2!F60,Table10s3!F63*28,Table10s4!F63*268)</f>
        <v>4565.4407494989673</v>
      </c>
      <c r="G61" s="4094">
        <f>SUM(Table10s2!G60,Table10s3!G63*28,Table10s4!G63*268)</f>
        <v>4844.1986109980935</v>
      </c>
      <c r="H61" s="4094">
        <f>SUM(Table10s2!H60,Table10s3!H63*28,Table10s4!H63*268)</f>
        <v>5251.9995340299902</v>
      </c>
      <c r="I61" s="4094">
        <f>SUM(Table10s2!I60,Table10s3!I63*28,Table10s4!I63*268)</f>
        <v>5404.6846330768522</v>
      </c>
      <c r="J61" s="4094">
        <f>SUM(Table10s2!J60,Table10s3!J63*28,Table10s4!J63*268)</f>
        <v>5916.8467507562946</v>
      </c>
      <c r="K61" s="4094">
        <f>SUM(Table10s2!K60,Table10s3!K63*28,Table10s4!K63*268)</f>
        <v>6372.6821569255035</v>
      </c>
      <c r="L61" s="4094">
        <f>SUM(Table10s2!L60,Table10s3!L63*28,Table10s4!L63*268)</f>
        <v>6605.5707577980929</v>
      </c>
      <c r="M61" s="4094">
        <f>SUM(Table10s2!M60,Table10s3!M63*28,Table10s4!M63*268)</f>
        <v>7303.6957302000628</v>
      </c>
      <c r="N61" s="4094">
        <f>SUM(Table10s2!N60,Table10s3!N63*28,Table10s4!N63*268)</f>
        <v>7339.1676505127052</v>
      </c>
      <c r="O61" s="4094">
        <f>SUM(Table10s2!O60,Table10s3!O63*28,Table10s4!O63*268)</f>
        <v>7404.7421495305771</v>
      </c>
      <c r="P61" s="4094">
        <f>SUM(Table10s2!P60,Table10s3!P63*28,Table10s4!P63*268)</f>
        <v>7872.3488945963354</v>
      </c>
      <c r="Q61" s="4094">
        <f>SUM(Table10s2!Q60,Table10s3!Q63*28,Table10s4!Q63*268)</f>
        <v>6761.6873901411864</v>
      </c>
      <c r="R61" s="4094">
        <f>SUM(Table10s2!R60,Table10s3!R63*28,Table10s4!R63*268)</f>
        <v>5983.9281058057368</v>
      </c>
      <c r="S61" s="4094">
        <f>SUM(Table10s2!S60,Table10s3!S63*28,Table10s4!S63*268)</f>
        <v>7184.3173547221368</v>
      </c>
      <c r="T61" s="4094">
        <f>SUM(Table10s2!T60,Table10s3!T63*28,Table10s4!T63*268)</f>
        <v>8304.6795214355989</v>
      </c>
      <c r="U61" s="4094">
        <f>SUM(Table10s2!U60,Table10s3!U63*28,Table10s4!U63*268)</f>
        <v>8406.0047565671684</v>
      </c>
      <c r="V61" s="4094">
        <f>SUM(Table10s2!V60,Table10s3!V63*28,Table10s4!V63*268)</f>
        <v>9370.8443820068624</v>
      </c>
      <c r="W61" s="4094">
        <f>SUM(Table10s2!W60,Table10s3!W63*28,Table10s4!W63*268)</f>
        <v>9284.74750526961</v>
      </c>
      <c r="X61" s="4094">
        <f>SUM(Table10s2!X60,Table10s3!X63*28,Table10s4!X63*268)</f>
        <v>9487.5716903516241</v>
      </c>
      <c r="Y61" s="4094">
        <f>SUM(Table10s2!Y60,Table10s3!Y63*28,Table10s4!Y63*268)</f>
        <v>10362.047383741383</v>
      </c>
      <c r="Z61" s="4094">
        <f>SUM(Table10s2!Z60,Table10s3!Z63*28,Table10s4!Z63*268)</f>
        <v>10107.821938173429</v>
      </c>
      <c r="AA61" s="4094">
        <f>SUM(Table10s2!AA60,Table10s3!AA63*28,Table10s4!AA63*268)</f>
        <v>10486.952341376016</v>
      </c>
      <c r="AB61" s="4094">
        <f>SUM(Table10s2!AB60,Table10s3!AB63*28,Table10s4!AB63*268)</f>
        <v>11041.631986853321</v>
      </c>
      <c r="AC61" s="4094">
        <f>SUM(Table10s2!AC60,Table10s3!AC63*28,Table10s4!AC63*268)</f>
        <v>11910.016664623123</v>
      </c>
      <c r="AD61" s="4094">
        <f>SUM(Table10s2!AD60,Table10s3!AD63*28,Table10s4!AD63*268)</f>
        <v>11838.92483469242</v>
      </c>
      <c r="AE61" s="4094">
        <f>SUM(Table10s2!AE60,Table10s3!AE63*28,Table10s4!AE63*268)</f>
        <v>12645.349930193881</v>
      </c>
      <c r="AF61" s="4094">
        <f>SUM(Table10s2!AF60,Table10s3!AF63*28,Table10s4!AF63*268)</f>
        <v>13632.604172191606</v>
      </c>
      <c r="AG61" s="4094">
        <f>SUM(Table10s2!AG60,Table10s3!AG63*28,Table10s4!AG63*268)</f>
        <v>14436.108297453395</v>
      </c>
      <c r="AH61" s="4094">
        <f>SUM(Table10s2!AH60,Table10s3!AH63*28,Table10s4!AH63*268)</f>
        <v>15359.649264552037</v>
      </c>
      <c r="AI61" s="4094">
        <f>SUM(Table10s2!AI60,Table10s3!AI63*28,Table10s4!AI63*268)</f>
        <v>11774.07342176272</v>
      </c>
      <c r="AJ61" s="4094">
        <f>SUM(Table10s2!AJ60,Table10s3!AJ63*28,Table10s4!AJ63*268)</f>
        <v>3845.6394048211737</v>
      </c>
      <c r="AK61" s="4101">
        <f t="shared" si="2"/>
        <v>-12.38180906427398</v>
      </c>
    </row>
    <row r="62" spans="2:37" ht="18" customHeight="1" x14ac:dyDescent="0.2">
      <c r="B62" s="1380" t="s">
        <v>1503</v>
      </c>
      <c r="C62" s="1995"/>
      <c r="D62" s="1995"/>
      <c r="E62" s="4094">
        <f>SUM(Table10s2!E61,Table10s3!E64*28,Table10s4!E64*268)</f>
        <v>2098.5593199999998</v>
      </c>
      <c r="F62" s="4094">
        <f>SUM(Table10s2!F61,Table10s3!F64*28,Table10s4!F64*268)</f>
        <v>1896.2083599999999</v>
      </c>
      <c r="G62" s="4094">
        <f>SUM(Table10s2!G61,Table10s3!G64*28,Table10s4!G64*268)</f>
        <v>1826.5245999999997</v>
      </c>
      <c r="H62" s="4094">
        <f>SUM(Table10s2!H61,Table10s3!H64*28,Table10s4!H64*268)</f>
        <v>1824.1466399999999</v>
      </c>
      <c r="I62" s="4094">
        <f>SUM(Table10s2!I61,Table10s3!I64*28,Table10s4!I64*268)</f>
        <v>2055.2147999999997</v>
      </c>
      <c r="J62" s="4094">
        <f>SUM(Table10s2!J61,Table10s3!J64*28,Table10s4!J64*268)</f>
        <v>2732.5538799999999</v>
      </c>
      <c r="K62" s="4094">
        <f>SUM(Table10s2!K61,Table10s3!K64*28,Table10s4!K64*268)</f>
        <v>2775.0545200000006</v>
      </c>
      <c r="L62" s="4094">
        <f>SUM(Table10s2!L61,Table10s3!L64*28,Table10s4!L64*268)</f>
        <v>2571.51244</v>
      </c>
      <c r="M62" s="4094">
        <f>SUM(Table10s2!M61,Table10s3!M64*28,Table10s4!M64*268)</f>
        <v>2262.0897199999995</v>
      </c>
      <c r="N62" s="4094">
        <f>SUM(Table10s2!N61,Table10s3!N64*28,Table10s4!N64*268)</f>
        <v>2500.5981999999995</v>
      </c>
      <c r="O62" s="4094">
        <f>SUM(Table10s2!O61,Table10s3!O64*28,Table10s4!O64*268)</f>
        <v>2826.364</v>
      </c>
      <c r="P62" s="4094">
        <f>SUM(Table10s2!P61,Table10s3!P64*28,Table10s4!P64*268)</f>
        <v>2654.6604000000002</v>
      </c>
      <c r="Q62" s="4094">
        <f>SUM(Table10s2!Q61,Table10s3!Q64*28,Table10s4!Q64*268)</f>
        <v>2897.0496000000003</v>
      </c>
      <c r="R62" s="4094">
        <f>SUM(Table10s2!R61,Table10s3!R64*28,Table10s4!R64*268)</f>
        <v>2824.1049080000007</v>
      </c>
      <c r="S62" s="4094">
        <f>SUM(Table10s2!S61,Table10s3!S64*28,Table10s4!S64*268)</f>
        <v>2847.4492400000004</v>
      </c>
      <c r="T62" s="4094">
        <f>SUM(Table10s2!T61,Table10s3!T64*28,Table10s4!T64*268)</f>
        <v>2682.3648400000002</v>
      </c>
      <c r="U62" s="4094">
        <f>SUM(Table10s2!U61,Table10s3!U64*28,Table10s4!U64*268)</f>
        <v>3192.7087999999999</v>
      </c>
      <c r="V62" s="4094">
        <f>SUM(Table10s2!V61,Table10s3!V64*28,Table10s4!V64*268)</f>
        <v>2593.3448827968</v>
      </c>
      <c r="W62" s="4094">
        <f>SUM(Table10s2!W61,Table10s3!W64*28,Table10s4!W64*268)</f>
        <v>2967.0304027968</v>
      </c>
      <c r="X62" s="4094">
        <f>SUM(Table10s2!X61,Table10s3!X64*28,Table10s4!X64*268)</f>
        <v>2741.1079999999993</v>
      </c>
      <c r="Y62" s="4094">
        <f>SUM(Table10s2!Y61,Table10s3!Y64*28,Table10s4!Y64*268)</f>
        <v>2115.4009599999999</v>
      </c>
      <c r="Z62" s="4094">
        <f>SUM(Table10s2!Z61,Table10s3!Z64*28,Table10s4!Z64*268)</f>
        <v>1883.2967999999998</v>
      </c>
      <c r="AA62" s="4094">
        <f>SUM(Table10s2!AA61,Table10s3!AA64*28,Table10s4!AA64*268)</f>
        <v>2470.9534000000003</v>
      </c>
      <c r="AB62" s="4094">
        <f>SUM(Table10s2!AB61,Table10s3!AB64*28,Table10s4!AB64*268)</f>
        <v>1963.78052</v>
      </c>
      <c r="AC62" s="4094">
        <f>SUM(Table10s2!AC61,Table10s3!AC64*28,Table10s4!AC64*268)</f>
        <v>2257.3582399999996</v>
      </c>
      <c r="AD62" s="4094">
        <f>SUM(Table10s2!AD61,Table10s3!AD64*28,Table10s4!AD64*268)</f>
        <v>2267.5367813760008</v>
      </c>
      <c r="AE62" s="4094">
        <f>SUM(Table10s2!AE61,Table10s3!AE64*28,Table10s4!AE64*268)</f>
        <v>2407.5002814374238</v>
      </c>
      <c r="AF62" s="4094">
        <f>SUM(Table10s2!AF61,Table10s3!AF64*28,Table10s4!AF64*268)</f>
        <v>2591.5971225186031</v>
      </c>
      <c r="AG62" s="4094">
        <f>SUM(Table10s2!AG61,Table10s3!AG64*28,Table10s4!AG64*268)</f>
        <v>2531.571397501697</v>
      </c>
      <c r="AH62" s="4094">
        <f>SUM(Table10s2!AH61,Table10s3!AH64*28,Table10s4!AH64*268)</f>
        <v>2405.7383533439997</v>
      </c>
      <c r="AI62" s="4094">
        <f>SUM(Table10s2!AI61,Table10s3!AI64*28,Table10s4!AI64*268)</f>
        <v>2152.0251415871985</v>
      </c>
      <c r="AJ62" s="4094">
        <f>SUM(Table10s2!AJ61,Table10s3!AJ64*28,Table10s4!AJ64*268)</f>
        <v>1418.0260941887991</v>
      </c>
      <c r="AK62" s="4101">
        <f t="shared" si="2"/>
        <v>-32.428591335278568</v>
      </c>
    </row>
    <row r="63" spans="2:37" ht="18" customHeight="1" x14ac:dyDescent="0.2">
      <c r="B63" s="1381" t="s">
        <v>113</v>
      </c>
      <c r="C63" s="1995"/>
      <c r="D63" s="1995"/>
      <c r="E63" s="4076" t="s">
        <v>2154</v>
      </c>
      <c r="F63" s="4076" t="s">
        <v>2154</v>
      </c>
      <c r="G63" s="4076" t="s">
        <v>2154</v>
      </c>
      <c r="H63" s="4076" t="s">
        <v>2154</v>
      </c>
      <c r="I63" s="4076" t="s">
        <v>2154</v>
      </c>
      <c r="J63" s="4076" t="s">
        <v>2154</v>
      </c>
      <c r="K63" s="4076" t="s">
        <v>2154</v>
      </c>
      <c r="L63" s="4076" t="s">
        <v>2154</v>
      </c>
      <c r="M63" s="4076" t="s">
        <v>2154</v>
      </c>
      <c r="N63" s="4076" t="s">
        <v>2154</v>
      </c>
      <c r="O63" s="4076" t="s">
        <v>2154</v>
      </c>
      <c r="P63" s="4076" t="s">
        <v>2154</v>
      </c>
      <c r="Q63" s="4076" t="s">
        <v>2154</v>
      </c>
      <c r="R63" s="4076" t="s">
        <v>2154</v>
      </c>
      <c r="S63" s="4076" t="s">
        <v>2154</v>
      </c>
      <c r="T63" s="4076" t="s">
        <v>2154</v>
      </c>
      <c r="U63" s="4076" t="s">
        <v>2154</v>
      </c>
      <c r="V63" s="4076" t="s">
        <v>2154</v>
      </c>
      <c r="W63" s="4076" t="s">
        <v>2154</v>
      </c>
      <c r="X63" s="4076" t="s">
        <v>2154</v>
      </c>
      <c r="Y63" s="4076" t="s">
        <v>2154</v>
      </c>
      <c r="Z63" s="4076" t="s">
        <v>2154</v>
      </c>
      <c r="AA63" s="4076" t="s">
        <v>2154</v>
      </c>
      <c r="AB63" s="4076" t="s">
        <v>2154</v>
      </c>
      <c r="AC63" s="4076" t="s">
        <v>2154</v>
      </c>
      <c r="AD63" s="4076" t="s">
        <v>2154</v>
      </c>
      <c r="AE63" s="4076" t="s">
        <v>2154</v>
      </c>
      <c r="AF63" s="4076" t="s">
        <v>2154</v>
      </c>
      <c r="AG63" s="4076" t="s">
        <v>2154</v>
      </c>
      <c r="AH63" s="4076" t="s">
        <v>2154</v>
      </c>
      <c r="AI63" s="4076" t="s">
        <v>2154</v>
      </c>
      <c r="AJ63" s="4076" t="s">
        <v>2154</v>
      </c>
      <c r="AK63" s="4101" t="s">
        <v>2147</v>
      </c>
    </row>
    <row r="64" spans="2:37" ht="18" customHeight="1" x14ac:dyDescent="0.2">
      <c r="B64" s="1379" t="s">
        <v>114</v>
      </c>
      <c r="C64" s="1995"/>
      <c r="D64" s="1995"/>
      <c r="E64" s="4094">
        <f>Table10s2!E63</f>
        <v>15142.26513</v>
      </c>
      <c r="F64" s="4094">
        <f>Table10s2!F63</f>
        <v>15017.922220000002</v>
      </c>
      <c r="G64" s="4094">
        <f>Table10s2!G63</f>
        <v>13705.034499999998</v>
      </c>
      <c r="H64" s="4094">
        <f>Table10s2!H63</f>
        <v>15366.505570000001</v>
      </c>
      <c r="I64" s="4094">
        <f>Table10s2!I63</f>
        <v>16319.267620000002</v>
      </c>
      <c r="J64" s="4094">
        <f>Table10s2!J63</f>
        <v>17109.553750000003</v>
      </c>
      <c r="K64" s="4094">
        <f>Table10s2!K63</f>
        <v>18140.992340000001</v>
      </c>
      <c r="L64" s="4094">
        <f>Table10s2!L63</f>
        <v>19020.636110000003</v>
      </c>
      <c r="M64" s="4094">
        <f>Table10s2!M63</f>
        <v>19328.68835</v>
      </c>
      <c r="N64" s="4094">
        <f>Table10s2!N63</f>
        <v>19067.450680000002</v>
      </c>
      <c r="O64" s="4094">
        <f>Table10s2!O63</f>
        <v>19243.867299999998</v>
      </c>
      <c r="P64" s="4094">
        <f>Table10s2!P63</f>
        <v>18429.667800000003</v>
      </c>
      <c r="Q64" s="4094">
        <f>Table10s2!Q63</f>
        <v>16548.893514000003</v>
      </c>
      <c r="R64" s="4094">
        <f>Table10s2!R63</f>
        <v>18217.17606758629</v>
      </c>
      <c r="S64" s="4094">
        <f>Table10s2!S63</f>
        <v>18497.257284546271</v>
      </c>
      <c r="T64" s="4094">
        <f>Table10s2!T63</f>
        <v>19092.019215944791</v>
      </c>
      <c r="U64" s="4094">
        <f>Table10s2!U63</f>
        <v>19106.106086929161</v>
      </c>
      <c r="V64" s="4094">
        <f>Table10s2!V63</f>
        <v>19274.567221454996</v>
      </c>
      <c r="W64" s="4094">
        <f>Table10s2!W63</f>
        <v>19671.577561818198</v>
      </c>
      <c r="X64" s="4094">
        <f>Table10s2!X63</f>
        <v>14734.322020375806</v>
      </c>
      <c r="Y64" s="4094">
        <f>Table10s2!Y63</f>
        <v>17225.562430001584</v>
      </c>
      <c r="Z64" s="4094">
        <f>Table10s2!Z63</f>
        <v>16224.776122492674</v>
      </c>
      <c r="AA64" s="4094">
        <f>Table10s2!AA63</f>
        <v>16595.144805259486</v>
      </c>
      <c r="AB64" s="4094">
        <f>Table10s2!AB63</f>
        <v>18101.183278204775</v>
      </c>
      <c r="AC64" s="4094">
        <f>Table10s2!AC63</f>
        <v>17928.42126602283</v>
      </c>
      <c r="AD64" s="4094">
        <f>Table10s2!AD63</f>
        <v>19106.935055972721</v>
      </c>
      <c r="AE64" s="4094">
        <f>Table10s2!AE63</f>
        <v>19096.838530978872</v>
      </c>
      <c r="AF64" s="4094">
        <f>Table10s2!AF63</f>
        <v>20250.584990791504</v>
      </c>
      <c r="AG64" s="4094">
        <f>Table10s2!AG63</f>
        <v>16465.223251645039</v>
      </c>
      <c r="AH64" s="4094">
        <f>Table10s2!AH63</f>
        <v>15497.010619893939</v>
      </c>
      <c r="AI64" s="4094">
        <f>Table10s2!AI63</f>
        <v>16307.706680631092</v>
      </c>
      <c r="AJ64" s="4094">
        <f>Table10s2!AJ63</f>
        <v>16816.091096385029</v>
      </c>
      <c r="AK64" s="4101">
        <f t="shared" si="2"/>
        <v>11.053999860752867</v>
      </c>
    </row>
    <row r="65" spans="2:37" ht="18" customHeight="1" x14ac:dyDescent="0.2">
      <c r="B65" s="1383" t="s">
        <v>1504</v>
      </c>
      <c r="C65" s="1995"/>
      <c r="D65" s="1995"/>
      <c r="E65" s="4094" t="str">
        <f>Table10s2!E64</f>
        <v>NO</v>
      </c>
      <c r="F65" s="4094" t="str">
        <f>Table10s2!F64</f>
        <v>NO</v>
      </c>
      <c r="G65" s="4094" t="str">
        <f>Table10s2!G64</f>
        <v>NO</v>
      </c>
      <c r="H65" s="4094" t="str">
        <f>Table10s2!H64</f>
        <v>NO</v>
      </c>
      <c r="I65" s="4094" t="str">
        <f>Table10s2!I64</f>
        <v>NO</v>
      </c>
      <c r="J65" s="4094" t="str">
        <f>Table10s2!J64</f>
        <v>NO</v>
      </c>
      <c r="K65" s="4094" t="str">
        <f>Table10s2!K64</f>
        <v>NO</v>
      </c>
      <c r="L65" s="4094" t="str">
        <f>Table10s2!L64</f>
        <v>NO</v>
      </c>
      <c r="M65" s="4094" t="str">
        <f>Table10s2!M64</f>
        <v>NO</v>
      </c>
      <c r="N65" s="4094" t="str">
        <f>Table10s2!N64</f>
        <v>NO</v>
      </c>
      <c r="O65" s="4094" t="str">
        <f>Table10s2!O64</f>
        <v>NO</v>
      </c>
      <c r="P65" s="4094" t="str">
        <f>Table10s2!P64</f>
        <v>NO</v>
      </c>
      <c r="Q65" s="4094" t="str">
        <f>Table10s2!Q64</f>
        <v>NO</v>
      </c>
      <c r="R65" s="4094" t="str">
        <f>Table10s2!R64</f>
        <v>NO</v>
      </c>
      <c r="S65" s="4094" t="str">
        <f>Table10s2!S64</f>
        <v>NO</v>
      </c>
      <c r="T65" s="4094" t="str">
        <f>Table10s2!T64</f>
        <v>NO</v>
      </c>
      <c r="U65" s="4094" t="str">
        <f>Table10s2!U64</f>
        <v>NO</v>
      </c>
      <c r="V65" s="4094" t="str">
        <f>Table10s2!V64</f>
        <v>NO</v>
      </c>
      <c r="W65" s="4094" t="str">
        <f>Table10s2!W64</f>
        <v>NO</v>
      </c>
      <c r="X65" s="4094" t="str">
        <f>Table10s2!X64</f>
        <v>NO</v>
      </c>
      <c r="Y65" s="4094" t="str">
        <f>Table10s2!Y64</f>
        <v>NO</v>
      </c>
      <c r="Z65" s="4094" t="str">
        <f>Table10s2!Z64</f>
        <v>NO</v>
      </c>
      <c r="AA65" s="4094" t="str">
        <f>Table10s2!AA64</f>
        <v>NO</v>
      </c>
      <c r="AB65" s="4094" t="str">
        <f>Table10s2!AB64</f>
        <v>NO</v>
      </c>
      <c r="AC65" s="4094" t="str">
        <f>Table10s2!AC64</f>
        <v>NO</v>
      </c>
      <c r="AD65" s="4094" t="str">
        <f>Table10s2!AD64</f>
        <v>NO</v>
      </c>
      <c r="AE65" s="4094" t="str">
        <f>Table10s2!AE64</f>
        <v>NO</v>
      </c>
      <c r="AF65" s="4094" t="str">
        <f>Table10s2!AF64</f>
        <v>NO</v>
      </c>
      <c r="AG65" s="4094" t="str">
        <f>Table10s2!AG64</f>
        <v>NO</v>
      </c>
      <c r="AH65" s="4094" t="str">
        <f>Table10s2!AH64</f>
        <v>NO</v>
      </c>
      <c r="AI65" s="4094">
        <f>Table10s2!AI64</f>
        <v>2720.328</v>
      </c>
      <c r="AJ65" s="4094">
        <f>Table10s2!AJ64</f>
        <v>2170.5940000000001</v>
      </c>
      <c r="AK65" s="4101">
        <f t="shared" si="2"/>
        <v>100</v>
      </c>
    </row>
    <row r="66" spans="2:37" ht="18" customHeight="1" x14ac:dyDescent="0.2">
      <c r="B66" s="1384" t="s">
        <v>1505</v>
      </c>
      <c r="C66" s="2229"/>
      <c r="D66" s="2229"/>
      <c r="E66" s="4094">
        <f>Table10s2!E65</f>
        <v>-186838.5274408925</v>
      </c>
      <c r="F66" s="4094">
        <f>Table10s2!F65</f>
        <v>-191072.90426935992</v>
      </c>
      <c r="G66" s="4094">
        <f>Table10s2!G65</f>
        <v>-195297.11549069456</v>
      </c>
      <c r="H66" s="4094">
        <f>Table10s2!H65</f>
        <v>-199463.90798235769</v>
      </c>
      <c r="I66" s="4094">
        <f>Table10s2!I65</f>
        <v>-203602.03176535841</v>
      </c>
      <c r="J66" s="4094">
        <f>Table10s2!J65</f>
        <v>-207830.41124779763</v>
      </c>
      <c r="K66" s="4094">
        <f>Table10s2!K65</f>
        <v>-212254.40872702294</v>
      </c>
      <c r="L66" s="4094">
        <f>Table10s2!L65</f>
        <v>-216632.26331277809</v>
      </c>
      <c r="M66" s="4094">
        <f>Table10s2!M65</f>
        <v>-221048.20759042792</v>
      </c>
      <c r="N66" s="4094">
        <f>Table10s2!N65</f>
        <v>-225660.25716917301</v>
      </c>
      <c r="O66" s="4094">
        <f>Table10s2!O65</f>
        <v>-230167.98373029524</v>
      </c>
      <c r="P66" s="4094">
        <f>Table10s2!P65</f>
        <v>-234968.98821381226</v>
      </c>
      <c r="Q66" s="4094">
        <f>Table10s2!Q65</f>
        <v>-239603.90497733816</v>
      </c>
      <c r="R66" s="4094">
        <f>Table10s2!R65</f>
        <v>-244247.10098693217</v>
      </c>
      <c r="S66" s="4094">
        <f>Table10s2!S65</f>
        <v>-248987.38813341095</v>
      </c>
      <c r="T66" s="4094">
        <f>Table10s2!T65</f>
        <v>-254050.20007476967</v>
      </c>
      <c r="U66" s="4094">
        <f>Table10s2!U65</f>
        <v>-259123.55020694385</v>
      </c>
      <c r="V66" s="4094">
        <f>Table10s2!V65</f>
        <v>-264169.75243978453</v>
      </c>
      <c r="W66" s="4094">
        <f>Table10s2!W65</f>
        <v>-269080.37844852312</v>
      </c>
      <c r="X66" s="4094">
        <f>Table10s2!X65</f>
        <v>-273959.04669071984</v>
      </c>
      <c r="Y66" s="4094">
        <f>Table10s2!Y65</f>
        <v>-278625.58622828347</v>
      </c>
      <c r="Z66" s="4094">
        <f>Table10s2!Z65</f>
        <v>-283001.54557760881</v>
      </c>
      <c r="AA66" s="4094">
        <f>Table10s2!AA65</f>
        <v>-287558.61443071772</v>
      </c>
      <c r="AB66" s="4094">
        <f>Table10s2!AB65</f>
        <v>-291675.82092544105</v>
      </c>
      <c r="AC66" s="4094">
        <f>Table10s2!AC65</f>
        <v>-295720.46673272207</v>
      </c>
      <c r="AD66" s="4094">
        <f>Table10s2!AD65</f>
        <v>-299793.21230336587</v>
      </c>
      <c r="AE66" s="4094">
        <f>Table10s2!AE65</f>
        <v>-303716.67515599198</v>
      </c>
      <c r="AF66" s="4094">
        <f>Table10s2!AF65</f>
        <v>-307574.46863041777</v>
      </c>
      <c r="AG66" s="4094">
        <f>Table10s2!AG65</f>
        <v>-311332.5287518152</v>
      </c>
      <c r="AH66" s="4094">
        <f>Table10s2!AH65</f>
        <v>-315434.18682635197</v>
      </c>
      <c r="AI66" s="4094">
        <f>Table10s2!AI65</f>
        <v>-319531.70392538008</v>
      </c>
      <c r="AJ66" s="4094">
        <f>Table10s2!AJ65</f>
        <v>-323573.66044693574</v>
      </c>
      <c r="AK66" s="4101">
        <f t="shared" si="2"/>
        <v>73.183585248122995</v>
      </c>
    </row>
    <row r="67" spans="2:37" ht="18" customHeight="1" thickBot="1" x14ac:dyDescent="0.25">
      <c r="B67" s="768" t="s">
        <v>1536</v>
      </c>
      <c r="C67" s="2013"/>
      <c r="D67" s="2013"/>
      <c r="E67" s="4079" t="str">
        <f>Table10s4!E69</f>
        <v>IE,NE,NO</v>
      </c>
      <c r="F67" s="4079" t="str">
        <f>Table10s4!F69</f>
        <v>IE,NE,NO</v>
      </c>
      <c r="G67" s="4079" t="str">
        <f>Table10s4!G69</f>
        <v>IE,NE,NO</v>
      </c>
      <c r="H67" s="4079" t="str">
        <f>Table10s4!H69</f>
        <v>IE,NE,NO</v>
      </c>
      <c r="I67" s="4079" t="str">
        <f>Table10s4!I69</f>
        <v>IE,NE,NO</v>
      </c>
      <c r="J67" s="4079" t="str">
        <f>Table10s4!J69</f>
        <v>IE,NE,NO</v>
      </c>
      <c r="K67" s="4079" t="str">
        <f>Table10s4!K69</f>
        <v>IE,NE,NO</v>
      </c>
      <c r="L67" s="4079" t="str">
        <f>Table10s4!L69</f>
        <v>IE,NE,NO</v>
      </c>
      <c r="M67" s="4079" t="str">
        <f>Table10s4!M69</f>
        <v>IE,NE,NO</v>
      </c>
      <c r="N67" s="4079" t="str">
        <f>Table10s4!N69</f>
        <v>IE,NE,NO</v>
      </c>
      <c r="O67" s="4079" t="str">
        <f>Table10s4!O69</f>
        <v>IE,NE,NO</v>
      </c>
      <c r="P67" s="4079" t="str">
        <f>Table10s4!P69</f>
        <v>IE,NE,NO</v>
      </c>
      <c r="Q67" s="4079" t="str">
        <f>Table10s4!Q69</f>
        <v>IE,NE,NO</v>
      </c>
      <c r="R67" s="4079" t="str">
        <f>Table10s4!R69</f>
        <v>IE,NE,NO</v>
      </c>
      <c r="S67" s="4079" t="str">
        <f>Table10s4!S69</f>
        <v>IE,NE,NO</v>
      </c>
      <c r="T67" s="4079" t="str">
        <f>Table10s4!T69</f>
        <v>IE,NE,NO</v>
      </c>
      <c r="U67" s="4079" t="str">
        <f>Table10s4!U69</f>
        <v>IE,NE,NO</v>
      </c>
      <c r="V67" s="4079" t="str">
        <f>Table10s4!V69</f>
        <v>IE,NE,NO</v>
      </c>
      <c r="W67" s="4079" t="str">
        <f>Table10s4!W69</f>
        <v>IE,NE,NO</v>
      </c>
      <c r="X67" s="4079" t="str">
        <f>Table10s4!X69</f>
        <v>IE,NE,NO</v>
      </c>
      <c r="Y67" s="4079" t="str">
        <f>Table10s4!Y69</f>
        <v>IE,NE,NO</v>
      </c>
      <c r="Z67" s="4079" t="str">
        <f>Table10s4!Z69</f>
        <v>IE,NE,NO</v>
      </c>
      <c r="AA67" s="4079" t="str">
        <f>Table10s4!AA69</f>
        <v>IE,NE,NO</v>
      </c>
      <c r="AB67" s="4079" t="str">
        <f>Table10s4!AB69</f>
        <v>IE,NE,NO</v>
      </c>
      <c r="AC67" s="4079" t="str">
        <f>Table10s4!AC69</f>
        <v>IE,NE,NO</v>
      </c>
      <c r="AD67" s="4079" t="str">
        <f>Table10s4!AD69</f>
        <v>IE,NE,NO</v>
      </c>
      <c r="AE67" s="4079" t="str">
        <f>Table10s4!AE69</f>
        <v>IE,NE,NO</v>
      </c>
      <c r="AF67" s="4079" t="str">
        <f>Table10s4!AF69</f>
        <v>IE,NE,NO</v>
      </c>
      <c r="AG67" s="4079" t="str">
        <f>Table10s4!AG69</f>
        <v>IE,NE,NO</v>
      </c>
      <c r="AH67" s="4079" t="str">
        <f>Table10s4!AH69</f>
        <v>IE,NE,NO</v>
      </c>
      <c r="AI67" s="4079" t="str">
        <f>Table10s4!AI69</f>
        <v>IE,NE,NO</v>
      </c>
      <c r="AJ67" s="4079" t="str">
        <f>Table10s4!AJ69</f>
        <v>IE,NE,NO</v>
      </c>
      <c r="AK67" s="4092" t="s">
        <v>2147</v>
      </c>
    </row>
    <row r="68" spans="2:37" ht="18" customHeight="1" thickBot="1" x14ac:dyDescent="0.25"/>
    <row r="69" spans="2:37" ht="18" customHeight="1" thickBot="1" x14ac:dyDescent="0.25">
      <c r="B69" s="769" t="s">
        <v>1722</v>
      </c>
      <c r="C69" s="2000"/>
      <c r="D69" s="2000"/>
      <c r="E69" s="4097" t="str">
        <f>Table10s2!E68</f>
        <v>NE,NO</v>
      </c>
      <c r="F69" s="4097" t="str">
        <f>Table10s2!F68</f>
        <v>NE,NO</v>
      </c>
      <c r="G69" s="4097" t="str">
        <f>Table10s2!G68</f>
        <v>NE,NO</v>
      </c>
      <c r="H69" s="4097" t="str">
        <f>Table10s2!H68</f>
        <v>NE,NO</v>
      </c>
      <c r="I69" s="4097" t="str">
        <f>Table10s2!I68</f>
        <v>NE,NO</v>
      </c>
      <c r="J69" s="4097" t="str">
        <f>Table10s2!J68</f>
        <v>NE,NO</v>
      </c>
      <c r="K69" s="4097" t="str">
        <f>Table10s2!K68</f>
        <v>NE,NO</v>
      </c>
      <c r="L69" s="4097" t="str">
        <f>Table10s2!L68</f>
        <v>NE,NO</v>
      </c>
      <c r="M69" s="4097" t="str">
        <f>Table10s2!M68</f>
        <v>NE,NO</v>
      </c>
      <c r="N69" s="4097" t="str">
        <f>Table10s2!N68</f>
        <v>NE,NO</v>
      </c>
      <c r="O69" s="4097" t="str">
        <f>Table10s2!O68</f>
        <v>NE,NO</v>
      </c>
      <c r="P69" s="4097" t="str">
        <f>Table10s2!P68</f>
        <v>NE,NO</v>
      </c>
      <c r="Q69" s="4097" t="str">
        <f>Table10s2!Q68</f>
        <v>NE,NO</v>
      </c>
      <c r="R69" s="4097" t="str">
        <f>Table10s2!R68</f>
        <v>NE,NO</v>
      </c>
      <c r="S69" s="4097" t="str">
        <f>Table10s2!S68</f>
        <v>NE,NO</v>
      </c>
      <c r="T69" s="4097" t="str">
        <f>Table10s2!T68</f>
        <v>NE,NO</v>
      </c>
      <c r="U69" s="4097" t="str">
        <f>Table10s2!U68</f>
        <v>NE,NO</v>
      </c>
      <c r="V69" s="4097" t="str">
        <f>Table10s2!V68</f>
        <v>NE,NO</v>
      </c>
      <c r="W69" s="4097" t="str">
        <f>Table10s2!W68</f>
        <v>NE,NO</v>
      </c>
      <c r="X69" s="4097" t="str">
        <f>Table10s2!X68</f>
        <v>NE,NO</v>
      </c>
      <c r="Y69" s="4097" t="str">
        <f>Table10s2!Y68</f>
        <v>NE,NO</v>
      </c>
      <c r="Z69" s="4097" t="str">
        <f>Table10s2!Z68</f>
        <v>NE,NO</v>
      </c>
      <c r="AA69" s="4097" t="str">
        <f>Table10s2!AA68</f>
        <v>NE,NO</v>
      </c>
      <c r="AB69" s="4097" t="str">
        <f>Table10s2!AB68</f>
        <v>NE,NO</v>
      </c>
      <c r="AC69" s="4097" t="str">
        <f>Table10s2!AC68</f>
        <v>NE,NO</v>
      </c>
      <c r="AD69" s="4097" t="str">
        <f>Table10s2!AD68</f>
        <v>NE,NO</v>
      </c>
      <c r="AE69" s="4097" t="str">
        <f>Table10s2!AE68</f>
        <v>NE,NO</v>
      </c>
      <c r="AF69" s="4097" t="str">
        <f>Table10s2!AF68</f>
        <v>NE,NO</v>
      </c>
      <c r="AG69" s="4097" t="str">
        <f>Table10s2!AG68</f>
        <v>NE,NO</v>
      </c>
      <c r="AH69" s="4097" t="str">
        <f>Table10s2!AH68</f>
        <v>NE,NO</v>
      </c>
      <c r="AI69" s="4097" t="str">
        <f>Table10s2!AI68</f>
        <v>NE,NO</v>
      </c>
      <c r="AJ69" s="4097" t="str">
        <f>Table10s2!AJ68</f>
        <v>NE,NO</v>
      </c>
      <c r="AK69" s="4103" t="s">
        <v>2147</v>
      </c>
    </row>
    <row r="70" spans="2:37" ht="18" customHeight="1" thickBot="1" x14ac:dyDescent="0.25">
      <c r="B70" s="984"/>
      <c r="C70" s="2011"/>
      <c r="D70" s="2011"/>
      <c r="E70" s="2011"/>
      <c r="F70" s="2011"/>
      <c r="G70" s="2011"/>
      <c r="H70" s="2011"/>
      <c r="I70" s="2011"/>
      <c r="J70" s="2011"/>
      <c r="K70" s="2011"/>
      <c r="L70" s="2011"/>
      <c r="M70" s="2011"/>
      <c r="N70" s="2011"/>
      <c r="O70" s="2011"/>
      <c r="P70" s="2011"/>
      <c r="Q70" s="2011"/>
      <c r="R70" s="2011"/>
      <c r="S70" s="2011"/>
      <c r="T70" s="2011"/>
      <c r="U70" s="2011"/>
      <c r="V70" s="2011"/>
      <c r="W70" s="2011"/>
      <c r="X70" s="2011"/>
      <c r="Y70" s="2011"/>
      <c r="Z70" s="2011"/>
      <c r="AA70" s="2011"/>
      <c r="AB70" s="2011"/>
      <c r="AC70" s="2011"/>
      <c r="AD70" s="2011"/>
      <c r="AE70" s="2011"/>
      <c r="AF70" s="2011"/>
      <c r="AG70" s="2011"/>
      <c r="AH70" s="2011"/>
      <c r="AI70" s="2011"/>
      <c r="AJ70" s="2011"/>
      <c r="AK70" s="2011"/>
    </row>
    <row r="71" spans="2:37" ht="18" customHeight="1" x14ac:dyDescent="0.2">
      <c r="B71" s="770" t="s">
        <v>2127</v>
      </c>
      <c r="C71" s="1998"/>
      <c r="D71" s="1998"/>
      <c r="E71" s="4107">
        <f>E72-E42</f>
        <v>438056.75735644426</v>
      </c>
      <c r="F71" s="4107">
        <f t="shared" ref="F71:AJ71" si="3">F72-F42</f>
        <v>438049.29034597671</v>
      </c>
      <c r="G71" s="4107">
        <f t="shared" si="3"/>
        <v>441752.18009183509</v>
      </c>
      <c r="H71" s="4107">
        <f t="shared" si="3"/>
        <v>442282.48173380003</v>
      </c>
      <c r="I71" s="4107">
        <f t="shared" si="3"/>
        <v>442610.5564098644</v>
      </c>
      <c r="J71" s="4107">
        <f t="shared" si="3"/>
        <v>451076.46269351547</v>
      </c>
      <c r="K71" s="4107">
        <f t="shared" si="3"/>
        <v>457574.9942149588</v>
      </c>
      <c r="L71" s="4107">
        <f t="shared" si="3"/>
        <v>469835.68826294626</v>
      </c>
      <c r="M71" s="4107">
        <f t="shared" si="3"/>
        <v>484037.12183535501</v>
      </c>
      <c r="N71" s="4107">
        <f t="shared" si="3"/>
        <v>489971.16444544873</v>
      </c>
      <c r="O71" s="4107">
        <f t="shared" si="3"/>
        <v>501588.98999331967</v>
      </c>
      <c r="P71" s="4107">
        <f t="shared" si="3"/>
        <v>509456.08035555802</v>
      </c>
      <c r="Q71" s="4107">
        <f t="shared" si="3"/>
        <v>513171.00734718511</v>
      </c>
      <c r="R71" s="4107">
        <f t="shared" si="3"/>
        <v>511714.20921999589</v>
      </c>
      <c r="S71" s="4107">
        <f t="shared" si="3"/>
        <v>528827.43025923171</v>
      </c>
      <c r="T71" s="4107">
        <f t="shared" si="3"/>
        <v>535589.75648047891</v>
      </c>
      <c r="U71" s="4107">
        <f t="shared" si="3"/>
        <v>540017.78256011987</v>
      </c>
      <c r="V71" s="4107">
        <f t="shared" si="3"/>
        <v>546739.51591188111</v>
      </c>
      <c r="W71" s="4107">
        <f t="shared" si="3"/>
        <v>549128.82231783425</v>
      </c>
      <c r="X71" s="4107">
        <f t="shared" si="3"/>
        <v>552127.35245781462</v>
      </c>
      <c r="Y71" s="4107">
        <f t="shared" si="3"/>
        <v>547172.76070434402</v>
      </c>
      <c r="Z71" s="4107">
        <f t="shared" si="3"/>
        <v>549007.35299067746</v>
      </c>
      <c r="AA71" s="4107">
        <f t="shared" si="3"/>
        <v>552305.54978858819</v>
      </c>
      <c r="AB71" s="4107">
        <f t="shared" si="3"/>
        <v>543798.67548528011</v>
      </c>
      <c r="AC71" s="4107">
        <f t="shared" si="3"/>
        <v>535451.44090373686</v>
      </c>
      <c r="AD71" s="4107">
        <f t="shared" si="3"/>
        <v>544231.81470411015</v>
      </c>
      <c r="AE71" s="4107">
        <f t="shared" si="3"/>
        <v>552354.82909506245</v>
      </c>
      <c r="AF71" s="4107">
        <f t="shared" si="3"/>
        <v>559581.11089009605</v>
      </c>
      <c r="AG71" s="4107">
        <f t="shared" si="3"/>
        <v>560827.41413744632</v>
      </c>
      <c r="AH71" s="4107">
        <f t="shared" si="3"/>
        <v>555244.93120457069</v>
      </c>
      <c r="AI71" s="4107">
        <f t="shared" si="3"/>
        <v>536739.71800910751</v>
      </c>
      <c r="AJ71" s="4107">
        <f t="shared" si="3"/>
        <v>528631.64796079381</v>
      </c>
      <c r="AK71" s="4101">
        <f t="shared" ref="AK71:AK72" si="4">IF(AJ71="NO",IF(E71="NO","NA",-100),IF(E71="NO",100,AJ71/E71*100-100))</f>
        <v>20.67651944258202</v>
      </c>
    </row>
    <row r="72" spans="2:37" ht="18" customHeight="1" x14ac:dyDescent="0.2">
      <c r="B72" s="771" t="s">
        <v>2128</v>
      </c>
      <c r="C72" s="1995"/>
      <c r="D72" s="1995"/>
      <c r="E72" s="4068">
        <f>E10</f>
        <v>636268.64723475114</v>
      </c>
      <c r="F72" s="4068">
        <f t="shared" ref="F72:AJ72" si="5">F10</f>
        <v>621497.02421226003</v>
      </c>
      <c r="G72" s="4068">
        <f t="shared" si="5"/>
        <v>556765.71901463135</v>
      </c>
      <c r="H72" s="4068">
        <f t="shared" si="5"/>
        <v>535319.21833551908</v>
      </c>
      <c r="I72" s="4068">
        <f t="shared" si="5"/>
        <v>530958.92406140314</v>
      </c>
      <c r="J72" s="4068">
        <f t="shared" si="5"/>
        <v>514211.96709500585</v>
      </c>
      <c r="K72" s="4068">
        <f t="shared" si="5"/>
        <v>522310.73100349813</v>
      </c>
      <c r="L72" s="4068">
        <f t="shared" si="5"/>
        <v>522850.34046829899</v>
      </c>
      <c r="M72" s="4068">
        <f t="shared" si="5"/>
        <v>524332.94139234256</v>
      </c>
      <c r="N72" s="4068">
        <f t="shared" si="5"/>
        <v>539610.26906447276</v>
      </c>
      <c r="O72" s="4068">
        <f t="shared" si="5"/>
        <v>566358.30873673793</v>
      </c>
      <c r="P72" s="4068">
        <f t="shared" si="5"/>
        <v>586636.35452851758</v>
      </c>
      <c r="Q72" s="4068">
        <f t="shared" si="5"/>
        <v>582524.56130253465</v>
      </c>
      <c r="R72" s="4068">
        <f t="shared" si="5"/>
        <v>591486.97931912506</v>
      </c>
      <c r="S72" s="4068">
        <f t="shared" si="5"/>
        <v>584853.80133001343</v>
      </c>
      <c r="T72" s="4068">
        <f t="shared" si="5"/>
        <v>616293.16022877872</v>
      </c>
      <c r="U72" s="4068">
        <f t="shared" si="5"/>
        <v>626790.48062156246</v>
      </c>
      <c r="V72" s="4068">
        <f t="shared" si="5"/>
        <v>641523.07809343457</v>
      </c>
      <c r="W72" s="4068">
        <f t="shared" si="5"/>
        <v>630251.31621980376</v>
      </c>
      <c r="X72" s="4068">
        <f t="shared" si="5"/>
        <v>630906.55015883956</v>
      </c>
      <c r="Y72" s="4068">
        <f t="shared" si="5"/>
        <v>613332.65270992648</v>
      </c>
      <c r="Z72" s="4068">
        <f t="shared" si="5"/>
        <v>594032.24890962371</v>
      </c>
      <c r="AA72" s="4068">
        <f t="shared" si="5"/>
        <v>579077.44343529863</v>
      </c>
      <c r="AB72" s="4068">
        <f t="shared" si="5"/>
        <v>561101.34733727563</v>
      </c>
      <c r="AC72" s="4068">
        <f t="shared" si="5"/>
        <v>555817.47376703657</v>
      </c>
      <c r="AD72" s="4068">
        <f t="shared" si="5"/>
        <v>540912.19966222229</v>
      </c>
      <c r="AE72" s="4068">
        <f t="shared" si="5"/>
        <v>512483.00685924484</v>
      </c>
      <c r="AF72" s="4068">
        <f t="shared" si="5"/>
        <v>509809.54045567475</v>
      </c>
      <c r="AG72" s="4068">
        <f t="shared" si="5"/>
        <v>514226.35653928772</v>
      </c>
      <c r="AH72" s="4068">
        <f t="shared" si="5"/>
        <v>505857.05677806993</v>
      </c>
      <c r="AI72" s="4068">
        <f t="shared" si="5"/>
        <v>494232.96110296802</v>
      </c>
      <c r="AJ72" s="4068">
        <f t="shared" si="5"/>
        <v>464770.66575427499</v>
      </c>
      <c r="AK72" s="4101">
        <f t="shared" si="4"/>
        <v>-26.953706146894589</v>
      </c>
    </row>
    <row r="73" spans="2:37" ht="18" customHeight="1" x14ac:dyDescent="0.2">
      <c r="B73" s="771" t="s">
        <v>2123</v>
      </c>
      <c r="C73" s="1995"/>
      <c r="D73" s="1995"/>
      <c r="E73" s="4076" t="s">
        <v>2147</v>
      </c>
      <c r="F73" s="4076" t="s">
        <v>2147</v>
      </c>
      <c r="G73" s="4076" t="s">
        <v>2147</v>
      </c>
      <c r="H73" s="4076" t="s">
        <v>2147</v>
      </c>
      <c r="I73" s="4076" t="s">
        <v>2147</v>
      </c>
      <c r="J73" s="4076" t="s">
        <v>2147</v>
      </c>
      <c r="K73" s="4076" t="s">
        <v>2147</v>
      </c>
      <c r="L73" s="4076" t="s">
        <v>2147</v>
      </c>
      <c r="M73" s="4076" t="s">
        <v>2147</v>
      </c>
      <c r="N73" s="4076" t="s">
        <v>2147</v>
      </c>
      <c r="O73" s="4076" t="s">
        <v>2147</v>
      </c>
      <c r="P73" s="4076" t="s">
        <v>2147</v>
      </c>
      <c r="Q73" s="4076" t="s">
        <v>2147</v>
      </c>
      <c r="R73" s="4076" t="s">
        <v>2147</v>
      </c>
      <c r="S73" s="4076" t="s">
        <v>2147</v>
      </c>
      <c r="T73" s="4076" t="s">
        <v>2147</v>
      </c>
      <c r="U73" s="4076" t="s">
        <v>2147</v>
      </c>
      <c r="V73" s="4076" t="s">
        <v>2147</v>
      </c>
      <c r="W73" s="4076" t="s">
        <v>2147</v>
      </c>
      <c r="X73" s="4076" t="s">
        <v>2147</v>
      </c>
      <c r="Y73" s="4076" t="s">
        <v>2147</v>
      </c>
      <c r="Z73" s="4076" t="s">
        <v>2147</v>
      </c>
      <c r="AA73" s="4076" t="s">
        <v>2147</v>
      </c>
      <c r="AB73" s="4076" t="s">
        <v>2147</v>
      </c>
      <c r="AC73" s="4076" t="s">
        <v>2147</v>
      </c>
      <c r="AD73" s="4076" t="s">
        <v>2147</v>
      </c>
      <c r="AE73" s="4076" t="s">
        <v>2147</v>
      </c>
      <c r="AF73" s="4076" t="s">
        <v>2147</v>
      </c>
      <c r="AG73" s="4076" t="s">
        <v>2147</v>
      </c>
      <c r="AH73" s="4076" t="s">
        <v>2147</v>
      </c>
      <c r="AI73" s="4076" t="s">
        <v>2147</v>
      </c>
      <c r="AJ73" s="4076" t="s">
        <v>2147</v>
      </c>
      <c r="AK73" s="1996"/>
    </row>
    <row r="74" spans="2:37" ht="18" customHeight="1" thickBot="1" x14ac:dyDescent="0.25">
      <c r="B74" s="2531" t="s">
        <v>2129</v>
      </c>
      <c r="C74" s="2013"/>
      <c r="D74" s="2013"/>
      <c r="E74" s="4079" t="s">
        <v>2147</v>
      </c>
      <c r="F74" s="4079" t="s">
        <v>2147</v>
      </c>
      <c r="G74" s="4079" t="s">
        <v>2147</v>
      </c>
      <c r="H74" s="4079" t="s">
        <v>2147</v>
      </c>
      <c r="I74" s="4079" t="s">
        <v>2147</v>
      </c>
      <c r="J74" s="4079" t="s">
        <v>2147</v>
      </c>
      <c r="K74" s="4079" t="s">
        <v>2147</v>
      </c>
      <c r="L74" s="4079" t="s">
        <v>2147</v>
      </c>
      <c r="M74" s="4079" t="s">
        <v>2147</v>
      </c>
      <c r="N74" s="4079" t="s">
        <v>2147</v>
      </c>
      <c r="O74" s="4079" t="s">
        <v>2147</v>
      </c>
      <c r="P74" s="4079" t="s">
        <v>2147</v>
      </c>
      <c r="Q74" s="4079" t="s">
        <v>2147</v>
      </c>
      <c r="R74" s="4079" t="s">
        <v>2147</v>
      </c>
      <c r="S74" s="4079" t="s">
        <v>2147</v>
      </c>
      <c r="T74" s="4079" t="s">
        <v>2147</v>
      </c>
      <c r="U74" s="4079" t="s">
        <v>2147</v>
      </c>
      <c r="V74" s="4079" t="s">
        <v>2147</v>
      </c>
      <c r="W74" s="4079" t="s">
        <v>2147</v>
      </c>
      <c r="X74" s="4079" t="s">
        <v>2147</v>
      </c>
      <c r="Y74" s="4079" t="s">
        <v>2147</v>
      </c>
      <c r="Z74" s="4079" t="s">
        <v>2147</v>
      </c>
      <c r="AA74" s="4079" t="s">
        <v>2147</v>
      </c>
      <c r="AB74" s="4079" t="s">
        <v>2147</v>
      </c>
      <c r="AC74" s="4079" t="s">
        <v>2147</v>
      </c>
      <c r="AD74" s="4079" t="s">
        <v>2147</v>
      </c>
      <c r="AE74" s="4079" t="s">
        <v>2147</v>
      </c>
      <c r="AF74" s="4079" t="s">
        <v>2147</v>
      </c>
      <c r="AG74" s="4079" t="s">
        <v>2147</v>
      </c>
      <c r="AH74" s="4079" t="s">
        <v>2147</v>
      </c>
      <c r="AI74" s="4079" t="s">
        <v>2147</v>
      </c>
      <c r="AJ74" s="4079" t="s">
        <v>2147</v>
      </c>
      <c r="AK74" s="2014"/>
    </row>
    <row r="75" spans="2:37" x14ac:dyDescent="0.2">
      <c r="E75" t="s">
        <v>389</v>
      </c>
    </row>
    <row r="76" spans="2:37" x14ac:dyDescent="0.2">
      <c r="B76" s="2015"/>
      <c r="C76" s="2015"/>
      <c r="D76" s="2015"/>
    </row>
  </sheetData>
  <dataValidations count="1">
    <dataValidation allowBlank="1" showInputMessage="1" showErrorMessage="1" sqref="B1 B3:B6 E8:AJ8 AK1:AK6 C8:D9 B69:B74 B76 B8:B67 AK8:AK9"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L75"/>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B7" sqref="B7"/>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140625" customWidth="1"/>
    <col min="37" max="37" width="13.5703125" customWidth="1"/>
    <col min="38" max="38" width="10.85546875" customWidth="1"/>
    <col min="39" max="39" width="9.140625" customWidth="1"/>
    <col min="40" max="40" width="8.42578125" customWidth="1"/>
    <col min="41" max="43" width="8.85546875" customWidth="1"/>
    <col min="44" max="44" width="8.5703125" customWidth="1"/>
    <col min="45" max="46" width="8.85546875" customWidth="1"/>
    <col min="47" max="48" width="9.140625" customWidth="1"/>
    <col min="49" max="49" width="8.85546875" customWidth="1"/>
    <col min="50" max="50" width="9.140625" customWidth="1"/>
    <col min="51" max="51" width="9.85546875" customWidth="1"/>
    <col min="52" max="53" width="8.5703125" customWidth="1"/>
    <col min="54" max="56" width="9" customWidth="1"/>
    <col min="57" max="58" width="9.140625" customWidth="1"/>
    <col min="59" max="59" width="9" customWidth="1"/>
    <col min="60" max="60" width="9.140625" customWidth="1"/>
    <col min="61" max="61" width="8.5703125" customWidth="1"/>
  </cols>
  <sheetData>
    <row r="1" spans="2:38" ht="17.25" customHeight="1" x14ac:dyDescent="0.2">
      <c r="B1" s="753" t="s">
        <v>1706</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customHeight="1" x14ac:dyDescent="0.2">
      <c r="B2" s="3" t="s">
        <v>1723</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customHeight="1" x14ac:dyDescent="0.2">
      <c r="B3" s="753" t="s">
        <v>1724</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customHeight="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customHeight="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customHeight="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2.75" customHeight="1" thickBot="1" x14ac:dyDescent="0.25">
      <c r="B7" s="2452" t="s">
        <v>64</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728"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29"/>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1">
        <f>SUM(E11,E17,E20)</f>
        <v>258951.78460704247</v>
      </c>
      <c r="F10" s="4071">
        <f t="shared" ref="F10:AJ10" si="0">SUM(F11,F17,F20)</f>
        <v>260937.17654980801</v>
      </c>
      <c r="G10" s="4071">
        <f t="shared" si="0"/>
        <v>265479.52700305701</v>
      </c>
      <c r="H10" s="4071">
        <f t="shared" si="0"/>
        <v>269540.68115543301</v>
      </c>
      <c r="I10" s="4071">
        <f t="shared" si="0"/>
        <v>272323.75255784375</v>
      </c>
      <c r="J10" s="4071">
        <f t="shared" si="0"/>
        <v>283311.20248621254</v>
      </c>
      <c r="K10" s="4071">
        <f t="shared" si="0"/>
        <v>289909.70809959463</v>
      </c>
      <c r="L10" s="4071">
        <f t="shared" si="0"/>
        <v>298077.03405701875</v>
      </c>
      <c r="M10" s="4071">
        <f t="shared" si="0"/>
        <v>311286.34421070101</v>
      </c>
      <c r="N10" s="4071">
        <f t="shared" si="0"/>
        <v>320227.94556871988</v>
      </c>
      <c r="O10" s="4071">
        <f t="shared" si="0"/>
        <v>326696.98239610076</v>
      </c>
      <c r="P10" s="4071">
        <f t="shared" si="0"/>
        <v>334694.85995944776</v>
      </c>
      <c r="Q10" s="4071">
        <f t="shared" si="0"/>
        <v>339322.03834284144</v>
      </c>
      <c r="R10" s="4071">
        <f t="shared" si="0"/>
        <v>344472.68233661866</v>
      </c>
      <c r="S10" s="4071">
        <f t="shared" si="0"/>
        <v>356994.1378218829</v>
      </c>
      <c r="T10" s="4071">
        <f t="shared" si="0"/>
        <v>362072.32844880829</v>
      </c>
      <c r="U10" s="4071">
        <f t="shared" si="0"/>
        <v>367332.27677549474</v>
      </c>
      <c r="V10" s="4071">
        <f t="shared" si="0"/>
        <v>373139.75137787632</v>
      </c>
      <c r="W10" s="4071">
        <f t="shared" si="0"/>
        <v>378446.13265769294</v>
      </c>
      <c r="X10" s="4071">
        <f t="shared" si="0"/>
        <v>384382.39784356515</v>
      </c>
      <c r="Y10" s="4071">
        <f t="shared" si="0"/>
        <v>379886.35301033489</v>
      </c>
      <c r="Z10" s="4071">
        <f t="shared" si="0"/>
        <v>377978.03559960274</v>
      </c>
      <c r="AA10" s="4071">
        <f t="shared" si="0"/>
        <v>383050.65741161257</v>
      </c>
      <c r="AB10" s="4071">
        <f t="shared" si="0"/>
        <v>377398.7888015036</v>
      </c>
      <c r="AC10" s="4071">
        <f t="shared" si="0"/>
        <v>371356.50764914247</v>
      </c>
      <c r="AD10" s="4071">
        <f t="shared" si="0"/>
        <v>379417.86501432763</v>
      </c>
      <c r="AE10" s="4071">
        <f t="shared" si="0"/>
        <v>388379.139994025</v>
      </c>
      <c r="AF10" s="4071">
        <f t="shared" si="0"/>
        <v>391274.79914234276</v>
      </c>
      <c r="AG10" s="4071">
        <f t="shared" si="0"/>
        <v>392802.7484247142</v>
      </c>
      <c r="AH10" s="4071">
        <f t="shared" si="0"/>
        <v>393744.40400292288</v>
      </c>
      <c r="AI10" s="4071">
        <f t="shared" si="0"/>
        <v>377805.58790832118</v>
      </c>
      <c r="AJ10" s="4071">
        <f t="shared" si="0"/>
        <v>366084.15093792562</v>
      </c>
      <c r="AK10" s="4070">
        <f>IF(AJ10="NO",IF(E10="NO","NA",-100),IF(E10="NO",100,AJ10/E10*100-100))</f>
        <v>41.371549724384295</v>
      </c>
      <c r="AL10" s="713"/>
    </row>
    <row r="11" spans="2:38" ht="18" customHeight="1" x14ac:dyDescent="0.2">
      <c r="B11" s="1370" t="s">
        <v>1477</v>
      </c>
      <c r="C11" s="1995"/>
      <c r="D11" s="1995"/>
      <c r="E11" s="4068">
        <f>SUM(E12:E16)</f>
        <v>251679.28872254473</v>
      </c>
      <c r="F11" s="4068">
        <f t="shared" ref="F11:AJ11" si="1">SUM(F12:F16)</f>
        <v>253935.97573652305</v>
      </c>
      <c r="G11" s="4068">
        <f t="shared" si="1"/>
        <v>258175.82649789358</v>
      </c>
      <c r="H11" s="4068">
        <f t="shared" si="1"/>
        <v>262403.93799937487</v>
      </c>
      <c r="I11" s="4068">
        <f t="shared" si="1"/>
        <v>265443.6046372939</v>
      </c>
      <c r="J11" s="4068">
        <f t="shared" si="1"/>
        <v>276250.48898081749</v>
      </c>
      <c r="K11" s="4068">
        <f t="shared" si="1"/>
        <v>283148.65591932641</v>
      </c>
      <c r="L11" s="4068">
        <f t="shared" si="1"/>
        <v>291389.68945926498</v>
      </c>
      <c r="M11" s="4068">
        <f t="shared" si="1"/>
        <v>304384.38556825282</v>
      </c>
      <c r="N11" s="4068">
        <f t="shared" si="1"/>
        <v>313062.80677665869</v>
      </c>
      <c r="O11" s="4068">
        <f t="shared" si="1"/>
        <v>318744.1243743794</v>
      </c>
      <c r="P11" s="4068">
        <f t="shared" si="1"/>
        <v>326522.57605830533</v>
      </c>
      <c r="Q11" s="4068">
        <f t="shared" si="1"/>
        <v>331314.54276073753</v>
      </c>
      <c r="R11" s="4068">
        <f t="shared" si="1"/>
        <v>337314.70461499348</v>
      </c>
      <c r="S11" s="4068">
        <f t="shared" si="1"/>
        <v>350136.1976506284</v>
      </c>
      <c r="T11" s="4068">
        <f t="shared" si="1"/>
        <v>355157.86794251978</v>
      </c>
      <c r="U11" s="4068">
        <f t="shared" si="1"/>
        <v>360285.88298889197</v>
      </c>
      <c r="V11" s="4068">
        <f t="shared" si="1"/>
        <v>365635.60767060501</v>
      </c>
      <c r="W11" s="4068">
        <f t="shared" si="1"/>
        <v>370963.40705041459</v>
      </c>
      <c r="X11" s="4068">
        <f t="shared" si="1"/>
        <v>376416.2992935949</v>
      </c>
      <c r="Y11" s="4068">
        <f t="shared" si="1"/>
        <v>371696.57372116932</v>
      </c>
      <c r="Z11" s="4068">
        <f t="shared" si="1"/>
        <v>370103.84032479691</v>
      </c>
      <c r="AA11" s="4068">
        <f t="shared" si="1"/>
        <v>374763.66058025236</v>
      </c>
      <c r="AB11" s="4068">
        <f t="shared" si="1"/>
        <v>368552.38361086883</v>
      </c>
      <c r="AC11" s="4068">
        <f t="shared" si="1"/>
        <v>362083.79998832318</v>
      </c>
      <c r="AD11" s="4068">
        <f t="shared" si="1"/>
        <v>368590.01085932757</v>
      </c>
      <c r="AE11" s="4068">
        <f t="shared" si="1"/>
        <v>375939.22900890425</v>
      </c>
      <c r="AF11" s="4068">
        <f t="shared" si="1"/>
        <v>376413.36947663868</v>
      </c>
      <c r="AG11" s="4068">
        <f t="shared" si="1"/>
        <v>375877.12066882144</v>
      </c>
      <c r="AH11" s="4068">
        <f t="shared" si="1"/>
        <v>373545.1573721919</v>
      </c>
      <c r="AI11" s="4068">
        <f t="shared" si="1"/>
        <v>360521.15590844711</v>
      </c>
      <c r="AJ11" s="4068">
        <f t="shared" si="1"/>
        <v>350631.1372656328</v>
      </c>
      <c r="AK11" s="4070">
        <f t="shared" ref="AK11:AK56" si="2">IF(AJ11="NO",IF(E11="NO","NA",-100),IF(E11="NO",100,AJ11/E11*100-100))</f>
        <v>39.31664343353026</v>
      </c>
      <c r="AL11" s="713"/>
    </row>
    <row r="12" spans="2:38" ht="18" customHeight="1" x14ac:dyDescent="0.2">
      <c r="B12" s="1371" t="s">
        <v>1478</v>
      </c>
      <c r="C12" s="1995"/>
      <c r="D12" s="1995"/>
      <c r="E12" s="4068">
        <v>142550.68803032237</v>
      </c>
      <c r="F12" s="4068">
        <v>145798.89301365922</v>
      </c>
      <c r="G12" s="4068">
        <v>149114.46071351453</v>
      </c>
      <c r="H12" s="4068">
        <v>150856.91356228245</v>
      </c>
      <c r="I12" s="4068">
        <v>151678.6592803059</v>
      </c>
      <c r="J12" s="4068">
        <v>157480.76333664166</v>
      </c>
      <c r="K12" s="4068">
        <v>162065.77593256431</v>
      </c>
      <c r="L12" s="4068">
        <v>168676.2909260561</v>
      </c>
      <c r="M12" s="4068">
        <v>181214.84033435362</v>
      </c>
      <c r="N12" s="4068">
        <v>188804.16706406118</v>
      </c>
      <c r="O12" s="4068">
        <v>191576.04276882479</v>
      </c>
      <c r="P12" s="4068">
        <v>199024.16474164414</v>
      </c>
      <c r="Q12" s="4068">
        <v>201393.46834509313</v>
      </c>
      <c r="R12" s="4068">
        <v>203966.72101794701</v>
      </c>
      <c r="S12" s="4068">
        <v>212910.90226205479</v>
      </c>
      <c r="T12" s="4068">
        <v>215219.5841305643</v>
      </c>
      <c r="U12" s="4068">
        <v>219705.33865122736</v>
      </c>
      <c r="V12" s="4068">
        <v>222727.89215060009</v>
      </c>
      <c r="W12" s="4068">
        <v>224490.41435401241</v>
      </c>
      <c r="X12" s="4068">
        <v>231140.21991732306</v>
      </c>
      <c r="Y12" s="4068">
        <v>225300.59314473628</v>
      </c>
      <c r="Z12" s="4068">
        <v>219385.6852446702</v>
      </c>
      <c r="AA12" s="4068">
        <v>221066.87190972728</v>
      </c>
      <c r="AB12" s="4068">
        <v>209945.84533172444</v>
      </c>
      <c r="AC12" s="4068">
        <v>203812.67589945492</v>
      </c>
      <c r="AD12" s="4068">
        <v>210657.41379242553</v>
      </c>
      <c r="AE12" s="4068">
        <v>217816.75285319224</v>
      </c>
      <c r="AF12" s="4068">
        <v>216810.23515755835</v>
      </c>
      <c r="AG12" s="4068">
        <v>212993.00937885189</v>
      </c>
      <c r="AH12" s="4068">
        <v>212185.04466208414</v>
      </c>
      <c r="AI12" s="4068">
        <v>206356.38761762789</v>
      </c>
      <c r="AJ12" s="4068">
        <v>196563.83465937959</v>
      </c>
      <c r="AK12" s="4070">
        <f t="shared" si="2"/>
        <v>37.890484693814955</v>
      </c>
      <c r="AL12" s="713"/>
    </row>
    <row r="13" spans="2:38" ht="18" customHeight="1" x14ac:dyDescent="0.2">
      <c r="B13" s="1371" t="s">
        <v>1714</v>
      </c>
      <c r="C13" s="1995"/>
      <c r="D13" s="1995"/>
      <c r="E13" s="4068">
        <v>35866.538631108204</v>
      </c>
      <c r="F13" s="4068">
        <v>35411.642792381528</v>
      </c>
      <c r="G13" s="4068">
        <v>34991.92526133739</v>
      </c>
      <c r="H13" s="4068">
        <v>35542.950719171269</v>
      </c>
      <c r="I13" s="4068">
        <v>36314.325746396418</v>
      </c>
      <c r="J13" s="4068">
        <v>37242.617392116284</v>
      </c>
      <c r="K13" s="4068">
        <v>37257.607917071393</v>
      </c>
      <c r="L13" s="4068">
        <v>37342.362579876841</v>
      </c>
      <c r="M13" s="4068">
        <v>37440.664739964937</v>
      </c>
      <c r="N13" s="4068">
        <v>37694.584804338752</v>
      </c>
      <c r="O13" s="4068">
        <v>38507.765084999031</v>
      </c>
      <c r="P13" s="4068">
        <v>38027.956942513309</v>
      </c>
      <c r="Q13" s="4068">
        <v>38705.238695703512</v>
      </c>
      <c r="R13" s="4068">
        <v>39194.987751362663</v>
      </c>
      <c r="S13" s="4068">
        <v>40063.565027746365</v>
      </c>
      <c r="T13" s="4068">
        <v>41127.210522033107</v>
      </c>
      <c r="U13" s="4068">
        <v>40191.294818873052</v>
      </c>
      <c r="V13" s="4068">
        <v>40457.906147434813</v>
      </c>
      <c r="W13" s="4068">
        <v>42551.080627390671</v>
      </c>
      <c r="X13" s="4068">
        <v>40172.086958314503</v>
      </c>
      <c r="Y13" s="4068">
        <v>39306.733886702707</v>
      </c>
      <c r="Z13" s="4068">
        <v>40476.859709533965</v>
      </c>
      <c r="AA13" s="4068">
        <v>42444.025966216817</v>
      </c>
      <c r="AB13" s="4068">
        <v>45496.846030480061</v>
      </c>
      <c r="AC13" s="4068">
        <v>45880.881345598253</v>
      </c>
      <c r="AD13" s="4068">
        <v>42279.340220573002</v>
      </c>
      <c r="AE13" s="4068">
        <v>40998.826293984224</v>
      </c>
      <c r="AF13" s="4068">
        <v>40210.408548286614</v>
      </c>
      <c r="AG13" s="4068">
        <v>41202.854256055114</v>
      </c>
      <c r="AH13" s="4068">
        <v>41150.608152621768</v>
      </c>
      <c r="AI13" s="4068">
        <v>41250.962720442454</v>
      </c>
      <c r="AJ13" s="4068">
        <v>41926.790645493253</v>
      </c>
      <c r="AK13" s="4070">
        <f t="shared" si="2"/>
        <v>16.896673740155109</v>
      </c>
      <c r="AL13" s="713"/>
    </row>
    <row r="14" spans="2:38" ht="18" customHeight="1" x14ac:dyDescent="0.2">
      <c r="B14" s="1371" t="s">
        <v>1480</v>
      </c>
      <c r="C14" s="1995"/>
      <c r="D14" s="1995"/>
      <c r="E14" s="4068">
        <v>59818.85626807365</v>
      </c>
      <c r="F14" s="4068">
        <v>59194.715442148314</v>
      </c>
      <c r="G14" s="4068">
        <v>60120.186322479196</v>
      </c>
      <c r="H14" s="4068">
        <v>61592.802636860804</v>
      </c>
      <c r="I14" s="4068">
        <v>62999.577832614035</v>
      </c>
      <c r="J14" s="4068">
        <v>66233.065766620843</v>
      </c>
      <c r="K14" s="4068">
        <v>68031.288995166862</v>
      </c>
      <c r="L14" s="4068">
        <v>69276.050596668152</v>
      </c>
      <c r="M14" s="4068">
        <v>69419.203221923817</v>
      </c>
      <c r="N14" s="4068">
        <v>70158.125555101506</v>
      </c>
      <c r="O14" s="4068">
        <v>71720.782928199653</v>
      </c>
      <c r="P14" s="4068">
        <v>71661.082472194277</v>
      </c>
      <c r="Q14" s="4068">
        <v>73052.312407992664</v>
      </c>
      <c r="R14" s="4068">
        <v>75418.998584785673</v>
      </c>
      <c r="S14" s="4068">
        <v>78429.970225474637</v>
      </c>
      <c r="T14" s="4068">
        <v>79580.043349184663</v>
      </c>
      <c r="U14" s="4068">
        <v>80926.112954754557</v>
      </c>
      <c r="V14" s="4068">
        <v>82931.239783305937</v>
      </c>
      <c r="W14" s="4068">
        <v>83992.78211791841</v>
      </c>
      <c r="X14" s="4068">
        <v>84939.139138535218</v>
      </c>
      <c r="Y14" s="4068">
        <v>86489.532786197218</v>
      </c>
      <c r="Z14" s="4068">
        <v>89170.954498498526</v>
      </c>
      <c r="AA14" s="4068">
        <v>89768.612818043577</v>
      </c>
      <c r="AB14" s="4068">
        <v>91165.480612694606</v>
      </c>
      <c r="AC14" s="4068">
        <v>91221.431392901068</v>
      </c>
      <c r="AD14" s="4068">
        <v>93380.354578501894</v>
      </c>
      <c r="AE14" s="4068">
        <v>94438.226181054706</v>
      </c>
      <c r="AF14" s="4068">
        <v>96120.601410734365</v>
      </c>
      <c r="AG14" s="4068">
        <v>98511.309671759809</v>
      </c>
      <c r="AH14" s="4068">
        <v>98631.029975998928</v>
      </c>
      <c r="AI14" s="4068">
        <v>91742.898963803265</v>
      </c>
      <c r="AJ14" s="4068">
        <v>88780.478077456573</v>
      </c>
      <c r="AK14" s="4070">
        <f t="shared" si="2"/>
        <v>48.415539206556559</v>
      </c>
      <c r="AL14" s="713"/>
    </row>
    <row r="15" spans="2:38" ht="18" customHeight="1" x14ac:dyDescent="0.2">
      <c r="B15" s="1371" t="s">
        <v>1481</v>
      </c>
      <c r="C15" s="1995"/>
      <c r="D15" s="1995"/>
      <c r="E15" s="4068">
        <v>13024.210275118598</v>
      </c>
      <c r="F15" s="4068">
        <v>13119.620695746999</v>
      </c>
      <c r="G15" s="4068">
        <v>13489.892046300974</v>
      </c>
      <c r="H15" s="4068">
        <v>13944.614520234085</v>
      </c>
      <c r="I15" s="4068">
        <v>13892.469308489219</v>
      </c>
      <c r="J15" s="4068">
        <v>14604.090964802337</v>
      </c>
      <c r="K15" s="4068">
        <v>15019.504600278809</v>
      </c>
      <c r="L15" s="4068">
        <v>15281.497449542618</v>
      </c>
      <c r="M15" s="4068">
        <v>15631.368149487875</v>
      </c>
      <c r="N15" s="4068">
        <v>15779.169384823215</v>
      </c>
      <c r="O15" s="4068">
        <v>16317.517867873599</v>
      </c>
      <c r="P15" s="4068">
        <v>17176.218506658803</v>
      </c>
      <c r="Q15" s="4068">
        <v>17571.427876691756</v>
      </c>
      <c r="R15" s="4068">
        <v>18178.359845635201</v>
      </c>
      <c r="S15" s="4068">
        <v>18154.119522443081</v>
      </c>
      <c r="T15" s="4068">
        <v>18613.331493013451</v>
      </c>
      <c r="U15" s="4068">
        <v>18814.081690346997</v>
      </c>
      <c r="V15" s="4068">
        <v>18698.626608088591</v>
      </c>
      <c r="W15" s="4068">
        <v>19090.37447806554</v>
      </c>
      <c r="X15" s="4068">
        <v>19338.07645335851</v>
      </c>
      <c r="Y15" s="4068">
        <v>19718.537468055078</v>
      </c>
      <c r="Z15" s="4068">
        <v>20179.949209216087</v>
      </c>
      <c r="AA15" s="4068">
        <v>20619.975763741699</v>
      </c>
      <c r="AB15" s="4068">
        <v>21040.695380384903</v>
      </c>
      <c r="AC15" s="4068">
        <v>20151.753283622373</v>
      </c>
      <c r="AD15" s="4068">
        <v>21335.584177847279</v>
      </c>
      <c r="AE15" s="4068">
        <v>21587.163667956698</v>
      </c>
      <c r="AF15" s="4068">
        <v>22356.07831010882</v>
      </c>
      <c r="AG15" s="4068">
        <v>22249.420221504897</v>
      </c>
      <c r="AH15" s="4068">
        <v>20793.448683802828</v>
      </c>
      <c r="AI15" s="4068">
        <v>20231.837046400862</v>
      </c>
      <c r="AJ15" s="4068">
        <v>22550.617989712831</v>
      </c>
      <c r="AK15" s="4070">
        <f t="shared" si="2"/>
        <v>73.143841456502344</v>
      </c>
      <c r="AL15" s="713"/>
    </row>
    <row r="16" spans="2:38" ht="18" customHeight="1" x14ac:dyDescent="0.2">
      <c r="B16" s="1371" t="s">
        <v>1482</v>
      </c>
      <c r="C16" s="1995"/>
      <c r="D16" s="1995"/>
      <c r="E16" s="4068">
        <v>418.99551792193483</v>
      </c>
      <c r="F16" s="4068">
        <v>411.10379258697037</v>
      </c>
      <c r="G16" s="4068">
        <v>459.36215426147743</v>
      </c>
      <c r="H16" s="4068">
        <v>466.65656082625452</v>
      </c>
      <c r="I16" s="4068">
        <v>558.57246948830539</v>
      </c>
      <c r="J16" s="4068">
        <v>689.95152063630871</v>
      </c>
      <c r="K16" s="4068">
        <v>774.4784742449724</v>
      </c>
      <c r="L16" s="4068">
        <v>813.48790712126583</v>
      </c>
      <c r="M16" s="4068">
        <v>678.30912252252608</v>
      </c>
      <c r="N16" s="4068">
        <v>626.75996833401359</v>
      </c>
      <c r="O16" s="4068">
        <v>622.01572448228933</v>
      </c>
      <c r="P16" s="4068">
        <v>633.15339529481685</v>
      </c>
      <c r="Q16" s="4068">
        <v>592.09543525646234</v>
      </c>
      <c r="R16" s="4068">
        <v>555.63741526293165</v>
      </c>
      <c r="S16" s="4068">
        <v>577.64061290953441</v>
      </c>
      <c r="T16" s="4068">
        <v>617.69844772425586</v>
      </c>
      <c r="U16" s="4068">
        <v>649.05487369003185</v>
      </c>
      <c r="V16" s="4068">
        <v>819.9429811755258</v>
      </c>
      <c r="W16" s="4068">
        <v>838.75547302757877</v>
      </c>
      <c r="X16" s="4068">
        <v>826.77682606361236</v>
      </c>
      <c r="Y16" s="4068">
        <v>881.17643547805289</v>
      </c>
      <c r="Z16" s="4068">
        <v>890.39166287810417</v>
      </c>
      <c r="AA16" s="4068">
        <v>864.17412252301733</v>
      </c>
      <c r="AB16" s="4068">
        <v>903.51625558477338</v>
      </c>
      <c r="AC16" s="4068">
        <v>1017.0580667465537</v>
      </c>
      <c r="AD16" s="4068">
        <v>937.31808997989651</v>
      </c>
      <c r="AE16" s="4068">
        <v>1098.2600127163214</v>
      </c>
      <c r="AF16" s="4068">
        <v>916.04604995053023</v>
      </c>
      <c r="AG16" s="4068">
        <v>920.52714064979261</v>
      </c>
      <c r="AH16" s="4068">
        <v>785.02589768422047</v>
      </c>
      <c r="AI16" s="4068">
        <v>939.06956017264702</v>
      </c>
      <c r="AJ16" s="4068">
        <v>809.41589359057934</v>
      </c>
      <c r="AK16" s="4070">
        <f t="shared" si="2"/>
        <v>93.180084026909725</v>
      </c>
      <c r="AL16" s="713"/>
    </row>
    <row r="17" spans="2:38" ht="18" customHeight="1" x14ac:dyDescent="0.2">
      <c r="B17" s="1370" t="s">
        <v>99</v>
      </c>
      <c r="C17" s="1995"/>
      <c r="D17" s="1995"/>
      <c r="E17" s="4068">
        <f>SUM(E18:E19)</f>
        <v>7272.4958844977455</v>
      </c>
      <c r="F17" s="4068">
        <f t="shared" ref="F17:AJ17" si="3">SUM(F18:F19)</f>
        <v>7001.2008132849487</v>
      </c>
      <c r="G17" s="4068">
        <f t="shared" si="3"/>
        <v>7303.7005051634515</v>
      </c>
      <c r="H17" s="4068">
        <f t="shared" si="3"/>
        <v>7136.743156058119</v>
      </c>
      <c r="I17" s="4068">
        <f t="shared" si="3"/>
        <v>6880.1479205498636</v>
      </c>
      <c r="J17" s="4068">
        <f t="shared" si="3"/>
        <v>7060.7135053950424</v>
      </c>
      <c r="K17" s="4068">
        <f t="shared" si="3"/>
        <v>6761.052180268236</v>
      </c>
      <c r="L17" s="4068">
        <f t="shared" si="3"/>
        <v>6687.344597753764</v>
      </c>
      <c r="M17" s="4068">
        <f t="shared" si="3"/>
        <v>6901.9586424481713</v>
      </c>
      <c r="N17" s="4068">
        <f t="shared" si="3"/>
        <v>7165.138792061196</v>
      </c>
      <c r="O17" s="4068">
        <f t="shared" si="3"/>
        <v>7952.8580217213621</v>
      </c>
      <c r="P17" s="4068">
        <f t="shared" si="3"/>
        <v>8172.283901142433</v>
      </c>
      <c r="Q17" s="4068">
        <f t="shared" si="3"/>
        <v>8007.4955821039139</v>
      </c>
      <c r="R17" s="4068">
        <f t="shared" si="3"/>
        <v>7157.9777216251823</v>
      </c>
      <c r="S17" s="4068">
        <f t="shared" si="3"/>
        <v>6857.9401712544877</v>
      </c>
      <c r="T17" s="4068">
        <f t="shared" si="3"/>
        <v>6914.460506288493</v>
      </c>
      <c r="U17" s="4068">
        <f t="shared" si="3"/>
        <v>7046.3937866027936</v>
      </c>
      <c r="V17" s="4068">
        <f t="shared" si="3"/>
        <v>7504.1437072713161</v>
      </c>
      <c r="W17" s="4068">
        <f t="shared" si="3"/>
        <v>7482.7256072783621</v>
      </c>
      <c r="X17" s="4068">
        <f t="shared" si="3"/>
        <v>7966.0985499702711</v>
      </c>
      <c r="Y17" s="4068">
        <f t="shared" si="3"/>
        <v>8189.7792891655736</v>
      </c>
      <c r="Z17" s="4068">
        <f t="shared" si="3"/>
        <v>7874.1952748058065</v>
      </c>
      <c r="AA17" s="4068">
        <f t="shared" si="3"/>
        <v>8286.996831360193</v>
      </c>
      <c r="AB17" s="4068">
        <f t="shared" si="3"/>
        <v>8846.4051906347904</v>
      </c>
      <c r="AC17" s="4068">
        <f t="shared" si="3"/>
        <v>9272.7076608192619</v>
      </c>
      <c r="AD17" s="4068">
        <f t="shared" si="3"/>
        <v>10827.854155000094</v>
      </c>
      <c r="AE17" s="4068">
        <f t="shared" si="3"/>
        <v>12439.910985120739</v>
      </c>
      <c r="AF17" s="4068">
        <f t="shared" si="3"/>
        <v>14861.429665704105</v>
      </c>
      <c r="AG17" s="4068">
        <f t="shared" si="3"/>
        <v>16925.627755892769</v>
      </c>
      <c r="AH17" s="4068">
        <f t="shared" si="3"/>
        <v>20199.246630730973</v>
      </c>
      <c r="AI17" s="4068">
        <f t="shared" si="3"/>
        <v>17272.014999874031</v>
      </c>
      <c r="AJ17" s="4068">
        <f t="shared" si="3"/>
        <v>15450.768672292797</v>
      </c>
      <c r="AK17" s="4070">
        <f t="shared" si="2"/>
        <v>112.45482868169216</v>
      </c>
      <c r="AL17" s="713"/>
    </row>
    <row r="18" spans="2:38" ht="18" customHeight="1" x14ac:dyDescent="0.2">
      <c r="B18" s="1371" t="s">
        <v>1483</v>
      </c>
      <c r="C18" s="1995"/>
      <c r="D18" s="1995"/>
      <c r="E18" s="4068">
        <v>1183.8805823664281</v>
      </c>
      <c r="F18" s="4068">
        <v>1171.7683050721826</v>
      </c>
      <c r="G18" s="4068">
        <v>1300.9915961012321</v>
      </c>
      <c r="H18" s="4068">
        <v>1195.2733323961854</v>
      </c>
      <c r="I18" s="4068">
        <v>1119.4358267168013</v>
      </c>
      <c r="J18" s="4068">
        <v>1111.5267994507171</v>
      </c>
      <c r="K18" s="4068">
        <v>1222.6491030835141</v>
      </c>
      <c r="L18" s="4068">
        <v>1333.0836919676028</v>
      </c>
      <c r="M18" s="4068">
        <v>1320.7717624290267</v>
      </c>
      <c r="N18" s="4068">
        <v>1127.8534806311104</v>
      </c>
      <c r="O18" s="4068">
        <v>1150.5101382610046</v>
      </c>
      <c r="P18" s="4068">
        <v>1218.1287625307975</v>
      </c>
      <c r="Q18" s="4068">
        <v>1239.4846044535864</v>
      </c>
      <c r="R18" s="4068">
        <v>1098.167618646499</v>
      </c>
      <c r="S18" s="4068">
        <v>1056.4851416166223</v>
      </c>
      <c r="T18" s="4068">
        <v>1295.9899052920709</v>
      </c>
      <c r="U18" s="4068">
        <v>1212.9142005812864</v>
      </c>
      <c r="V18" s="4068">
        <v>1284.9645005780499</v>
      </c>
      <c r="W18" s="4068">
        <v>1162.3635762445851</v>
      </c>
      <c r="X18" s="4068">
        <v>1308.4125121797349</v>
      </c>
      <c r="Y18" s="4068">
        <v>1292.1040585003002</v>
      </c>
      <c r="Z18" s="4068">
        <v>1545.9622565642071</v>
      </c>
      <c r="AA18" s="4068">
        <v>1580.216366257682</v>
      </c>
      <c r="AB18" s="4068">
        <v>1887.6981156232673</v>
      </c>
      <c r="AC18" s="4068">
        <v>1837.8700527484675</v>
      </c>
      <c r="AD18" s="4068">
        <v>1909.730431069916</v>
      </c>
      <c r="AE18" s="4068">
        <v>2063.8682509928403</v>
      </c>
      <c r="AF18" s="4068">
        <v>2143.2636270202638</v>
      </c>
      <c r="AG18" s="4068">
        <v>2361.4971654210785</v>
      </c>
      <c r="AH18" s="4068">
        <v>2062.347040363311</v>
      </c>
      <c r="AI18" s="4068">
        <v>2380.4751845029359</v>
      </c>
      <c r="AJ18" s="4068">
        <v>2087.8740202040094</v>
      </c>
      <c r="AK18" s="4070">
        <f t="shared" si="2"/>
        <v>76.358498593718991</v>
      </c>
      <c r="AL18" s="713"/>
    </row>
    <row r="19" spans="2:38" ht="18" customHeight="1" x14ac:dyDescent="0.2">
      <c r="B19" s="1415" t="s">
        <v>1484</v>
      </c>
      <c r="C19" s="1995"/>
      <c r="D19" s="1995"/>
      <c r="E19" s="4068">
        <v>6088.6153021313175</v>
      </c>
      <c r="F19" s="4068">
        <v>5829.4325082127662</v>
      </c>
      <c r="G19" s="4068">
        <v>6002.7089090622194</v>
      </c>
      <c r="H19" s="4068">
        <v>5941.4698236619333</v>
      </c>
      <c r="I19" s="4068">
        <v>5760.7120938330618</v>
      </c>
      <c r="J19" s="4068">
        <v>5949.1867059443248</v>
      </c>
      <c r="K19" s="4068">
        <v>5538.403077184722</v>
      </c>
      <c r="L19" s="4068">
        <v>5354.2609057861609</v>
      </c>
      <c r="M19" s="4068">
        <v>5581.1868800191451</v>
      </c>
      <c r="N19" s="4068">
        <v>6037.2853114300851</v>
      </c>
      <c r="O19" s="4068">
        <v>6802.3478834603575</v>
      </c>
      <c r="P19" s="4068">
        <v>6954.1551386116353</v>
      </c>
      <c r="Q19" s="4068">
        <v>6768.0109776503277</v>
      </c>
      <c r="R19" s="4068">
        <v>6059.8101029786831</v>
      </c>
      <c r="S19" s="4068">
        <v>5801.4550296378657</v>
      </c>
      <c r="T19" s="4068">
        <v>5618.470600996422</v>
      </c>
      <c r="U19" s="4068">
        <v>5833.4795860215072</v>
      </c>
      <c r="V19" s="4068">
        <v>6219.1792066932658</v>
      </c>
      <c r="W19" s="4068">
        <v>6320.3620310337774</v>
      </c>
      <c r="X19" s="4068">
        <v>6657.6860377905359</v>
      </c>
      <c r="Y19" s="4068">
        <v>6897.6752306652734</v>
      </c>
      <c r="Z19" s="4068">
        <v>6328.233018241599</v>
      </c>
      <c r="AA19" s="4068">
        <v>6706.7804651025108</v>
      </c>
      <c r="AB19" s="4068">
        <v>6958.7070750115236</v>
      </c>
      <c r="AC19" s="4068">
        <v>7434.8376080707949</v>
      </c>
      <c r="AD19" s="4068">
        <v>8918.1237239301772</v>
      </c>
      <c r="AE19" s="4068">
        <v>10376.042734127899</v>
      </c>
      <c r="AF19" s="4068">
        <v>12718.166038683841</v>
      </c>
      <c r="AG19" s="4068">
        <v>14564.13059047169</v>
      </c>
      <c r="AH19" s="4068">
        <v>18136.899590367662</v>
      </c>
      <c r="AI19" s="4068">
        <v>14891.539815371096</v>
      </c>
      <c r="AJ19" s="4068">
        <v>13362.894652088788</v>
      </c>
      <c r="AK19" s="4070">
        <f t="shared" si="2"/>
        <v>119.47345971112858</v>
      </c>
      <c r="AL19" s="713"/>
    </row>
    <row r="20" spans="2:38" ht="18" customHeight="1" thickBot="1" x14ac:dyDescent="0.25">
      <c r="B20" s="1373" t="s">
        <v>1485</v>
      </c>
      <c r="C20" s="2229"/>
      <c r="D20" s="2229"/>
      <c r="E20" s="4069" t="s">
        <v>2146</v>
      </c>
      <c r="F20" s="4069" t="s">
        <v>2146</v>
      </c>
      <c r="G20" s="4069" t="s">
        <v>2146</v>
      </c>
      <c r="H20" s="4069" t="s">
        <v>2146</v>
      </c>
      <c r="I20" s="4069" t="s">
        <v>2146</v>
      </c>
      <c r="J20" s="4069" t="s">
        <v>2146</v>
      </c>
      <c r="K20" s="4069" t="s">
        <v>2146</v>
      </c>
      <c r="L20" s="4069" t="s">
        <v>2146</v>
      </c>
      <c r="M20" s="4069" t="s">
        <v>2146</v>
      </c>
      <c r="N20" s="4069" t="s">
        <v>2146</v>
      </c>
      <c r="O20" s="4069" t="s">
        <v>2146</v>
      </c>
      <c r="P20" s="4069" t="s">
        <v>2146</v>
      </c>
      <c r="Q20" s="4069" t="s">
        <v>2146</v>
      </c>
      <c r="R20" s="4069" t="s">
        <v>2146</v>
      </c>
      <c r="S20" s="4069" t="s">
        <v>2146</v>
      </c>
      <c r="T20" s="4069" t="s">
        <v>2146</v>
      </c>
      <c r="U20" s="4069" t="s">
        <v>2146</v>
      </c>
      <c r="V20" s="4069" t="s">
        <v>2146</v>
      </c>
      <c r="W20" s="4069" t="s">
        <v>2146</v>
      </c>
      <c r="X20" s="4069" t="s">
        <v>2146</v>
      </c>
      <c r="Y20" s="4069" t="s">
        <v>2146</v>
      </c>
      <c r="Z20" s="4069" t="s">
        <v>2146</v>
      </c>
      <c r="AA20" s="4069" t="s">
        <v>2146</v>
      </c>
      <c r="AB20" s="4069" t="s">
        <v>2146</v>
      </c>
      <c r="AC20" s="4069" t="s">
        <v>2146</v>
      </c>
      <c r="AD20" s="4069" t="s">
        <v>2146</v>
      </c>
      <c r="AE20" s="4069" t="s">
        <v>2146</v>
      </c>
      <c r="AF20" s="4069" t="s">
        <v>2146</v>
      </c>
      <c r="AG20" s="4069" t="s">
        <v>2146</v>
      </c>
      <c r="AH20" s="4069" t="s">
        <v>2146</v>
      </c>
      <c r="AI20" s="4089">
        <v>12.417</v>
      </c>
      <c r="AJ20" s="4089">
        <v>2.2450000000000001</v>
      </c>
      <c r="AK20" s="4090">
        <f t="shared" si="2"/>
        <v>100</v>
      </c>
      <c r="AL20" s="713"/>
    </row>
    <row r="21" spans="2:38" ht="18" customHeight="1" x14ac:dyDescent="0.2">
      <c r="B21" s="1374" t="s">
        <v>1486</v>
      </c>
      <c r="C21" s="1998"/>
      <c r="D21" s="1998"/>
      <c r="E21" s="4074">
        <f>SUM(E22:E29)</f>
        <v>18552.628794626791</v>
      </c>
      <c r="F21" s="4074">
        <f t="shared" ref="F21:AJ21" si="4">SUM(F22:F29)</f>
        <v>17887.970274958665</v>
      </c>
      <c r="G21" s="4075">
        <f t="shared" si="4"/>
        <v>18285.307489733619</v>
      </c>
      <c r="H21" s="4075">
        <f t="shared" si="4"/>
        <v>18491.530253017816</v>
      </c>
      <c r="I21" s="4075">
        <f t="shared" si="4"/>
        <v>20433.980142541426</v>
      </c>
      <c r="J21" s="4075">
        <f t="shared" si="4"/>
        <v>20744.892915963468</v>
      </c>
      <c r="K21" s="4075">
        <f t="shared" si="4"/>
        <v>21026.592998158303</v>
      </c>
      <c r="L21" s="4075">
        <f t="shared" si="4"/>
        <v>21073.538601312313</v>
      </c>
      <c r="M21" s="4075">
        <f t="shared" si="4"/>
        <v>21491.85503553482</v>
      </c>
      <c r="N21" s="4075">
        <f t="shared" si="4"/>
        <v>22189.035610987365</v>
      </c>
      <c r="O21" s="4075">
        <f t="shared" si="4"/>
        <v>21581.379409024335</v>
      </c>
      <c r="P21" s="4075">
        <f t="shared" si="4"/>
        <v>21241.524367521088</v>
      </c>
      <c r="Q21" s="4075">
        <f t="shared" si="4"/>
        <v>21255.560630579854</v>
      </c>
      <c r="R21" s="4075">
        <f t="shared" si="4"/>
        <v>23014.446495124859</v>
      </c>
      <c r="S21" s="4075">
        <f t="shared" si="4"/>
        <v>23815.400141611957</v>
      </c>
      <c r="T21" s="4075">
        <f t="shared" si="4"/>
        <v>22140.575952241092</v>
      </c>
      <c r="U21" s="4075">
        <f t="shared" si="4"/>
        <v>23245.05679168686</v>
      </c>
      <c r="V21" s="4075">
        <f t="shared" si="4"/>
        <v>24691.051147405644</v>
      </c>
      <c r="W21" s="4075">
        <f t="shared" si="4"/>
        <v>23949.045712951374</v>
      </c>
      <c r="X21" s="4075">
        <f t="shared" si="4"/>
        <v>21120.996965749539</v>
      </c>
      <c r="Y21" s="4075">
        <f t="shared" si="4"/>
        <v>23406.315239742638</v>
      </c>
      <c r="Z21" s="4075">
        <f t="shared" si="4"/>
        <v>24047.7278792119</v>
      </c>
      <c r="AA21" s="4075">
        <f t="shared" si="4"/>
        <v>21453.369801551238</v>
      </c>
      <c r="AB21" s="4075">
        <f t="shared" si="4"/>
        <v>19820.028825191908</v>
      </c>
      <c r="AC21" s="4075">
        <f t="shared" si="4"/>
        <v>19170.454777412677</v>
      </c>
      <c r="AD21" s="4075">
        <f t="shared" si="4"/>
        <v>19396.344947431899</v>
      </c>
      <c r="AE21" s="4075">
        <f t="shared" si="4"/>
        <v>19179.871818340896</v>
      </c>
      <c r="AF21" s="4075">
        <f t="shared" si="4"/>
        <v>19487.468378126505</v>
      </c>
      <c r="AG21" s="4075">
        <f t="shared" si="4"/>
        <v>19841.843270344536</v>
      </c>
      <c r="AH21" s="4075">
        <f t="shared" si="4"/>
        <v>19370.098152743867</v>
      </c>
      <c r="AI21" s="4075">
        <f t="shared" si="4"/>
        <v>18771.898438398479</v>
      </c>
      <c r="AJ21" s="4075">
        <f t="shared" si="4"/>
        <v>19577.690793142552</v>
      </c>
      <c r="AK21" s="4085">
        <f t="shared" si="2"/>
        <v>5.5251577006307571</v>
      </c>
      <c r="AL21" s="713"/>
    </row>
    <row r="22" spans="2:38" ht="18" customHeight="1" x14ac:dyDescent="0.2">
      <c r="B22" s="1133" t="s">
        <v>1487</v>
      </c>
      <c r="C22" s="1995"/>
      <c r="D22" s="1995"/>
      <c r="E22" s="4068">
        <v>5489.5881371538135</v>
      </c>
      <c r="F22" s="4068">
        <v>5152.3958590686525</v>
      </c>
      <c r="G22" s="4068">
        <v>4966.195058905646</v>
      </c>
      <c r="H22" s="4068">
        <v>5195.8065521548606</v>
      </c>
      <c r="I22" s="4068">
        <v>5996.3007606972551</v>
      </c>
      <c r="J22" s="4068">
        <v>5826.2709371596793</v>
      </c>
      <c r="K22" s="4068">
        <v>5901.636801490803</v>
      </c>
      <c r="L22" s="4068">
        <v>5977.0239216720511</v>
      </c>
      <c r="M22" s="4068">
        <v>6357.0664970637499</v>
      </c>
      <c r="N22" s="4068">
        <v>6439.3317149694594</v>
      </c>
      <c r="O22" s="4068">
        <v>6231.9337366516957</v>
      </c>
      <c r="P22" s="4068">
        <v>6238.6898869835759</v>
      </c>
      <c r="Q22" s="4068">
        <v>6291.2170628710073</v>
      </c>
      <c r="R22" s="4068">
        <v>6429.0336414871217</v>
      </c>
      <c r="S22" s="4068">
        <v>6389.4246039360687</v>
      </c>
      <c r="T22" s="4068">
        <v>6478.7569533611777</v>
      </c>
      <c r="U22" s="4068">
        <v>6668.9977667490348</v>
      </c>
      <c r="V22" s="4068">
        <v>6985.4738057376526</v>
      </c>
      <c r="W22" s="4068">
        <v>6898.3975325174652</v>
      </c>
      <c r="X22" s="4068">
        <v>6408.1365207979152</v>
      </c>
      <c r="Y22" s="4068">
        <v>6303.975122199774</v>
      </c>
      <c r="Z22" s="4068">
        <v>6453.9565708100208</v>
      </c>
      <c r="AA22" s="4068">
        <v>6411.4761811194585</v>
      </c>
      <c r="AB22" s="4068">
        <v>6105.3304912396552</v>
      </c>
      <c r="AC22" s="4068">
        <v>6004.4700119044583</v>
      </c>
      <c r="AD22" s="4068">
        <v>5878.5662145273827</v>
      </c>
      <c r="AE22" s="4068">
        <v>5691.6739853939707</v>
      </c>
      <c r="AF22" s="4068">
        <v>5599.592005604869</v>
      </c>
      <c r="AG22" s="4068">
        <v>5522.079449308284</v>
      </c>
      <c r="AH22" s="4068">
        <v>5589.1561490136146</v>
      </c>
      <c r="AI22" s="4068">
        <v>5230.7196830967323</v>
      </c>
      <c r="AJ22" s="4068">
        <v>5584.8756679698126</v>
      </c>
      <c r="AK22" s="4070">
        <f t="shared" si="2"/>
        <v>1.7357865186841366</v>
      </c>
      <c r="AL22" s="713"/>
    </row>
    <row r="23" spans="2:38" ht="18" customHeight="1" x14ac:dyDescent="0.2">
      <c r="B23" s="1133" t="s">
        <v>621</v>
      </c>
      <c r="C23" s="1995"/>
      <c r="D23" s="1995"/>
      <c r="E23" s="4068">
        <v>1054.6897029809475</v>
      </c>
      <c r="F23" s="4068">
        <v>1061.076471625664</v>
      </c>
      <c r="G23" s="4068">
        <v>1114.7499284654682</v>
      </c>
      <c r="H23" s="4068">
        <v>1181.6235528289817</v>
      </c>
      <c r="I23" s="4068">
        <v>1213.297108074546</v>
      </c>
      <c r="J23" s="4068">
        <v>1426.6149132761361</v>
      </c>
      <c r="K23" s="4068">
        <v>1444.8131706630347</v>
      </c>
      <c r="L23" s="4068">
        <v>1420.3346702602551</v>
      </c>
      <c r="M23" s="4068">
        <v>1604.0621241970471</v>
      </c>
      <c r="N23" s="4068">
        <v>1591.5349229289993</v>
      </c>
      <c r="O23" s="4068">
        <v>1742.9476361760007</v>
      </c>
      <c r="P23" s="4068">
        <v>2004.6535722962217</v>
      </c>
      <c r="Q23" s="4068">
        <v>2036.709370586605</v>
      </c>
      <c r="R23" s="4068">
        <v>2394.0595336421798</v>
      </c>
      <c r="S23" s="4068">
        <v>2572.6230039920597</v>
      </c>
      <c r="T23" s="4068">
        <v>2728.3187362065478</v>
      </c>
      <c r="U23" s="4068">
        <v>3442.2998770693698</v>
      </c>
      <c r="V23" s="4068">
        <v>4015.7436099825827</v>
      </c>
      <c r="W23" s="4068">
        <v>3459.3511337487353</v>
      </c>
      <c r="X23" s="4068">
        <v>3186.7659698427397</v>
      </c>
      <c r="Y23" s="4068">
        <v>3586.5679135756227</v>
      </c>
      <c r="Z23" s="4068">
        <v>3536.9372239139716</v>
      </c>
      <c r="AA23" s="4068">
        <v>3232.4615421484664</v>
      </c>
      <c r="AB23" s="4068">
        <v>3139.890022361853</v>
      </c>
      <c r="AC23" s="4068">
        <v>3127.379500017169</v>
      </c>
      <c r="AD23" s="4068">
        <v>3219.2235632975812</v>
      </c>
      <c r="AE23" s="4068">
        <v>3099.2192149103885</v>
      </c>
      <c r="AF23" s="4068">
        <v>3073.5757672987811</v>
      </c>
      <c r="AG23" s="4068">
        <v>3267.9236320572513</v>
      </c>
      <c r="AH23" s="4068">
        <v>2820.770229881934</v>
      </c>
      <c r="AI23" s="4068">
        <v>2987.1547812315525</v>
      </c>
      <c r="AJ23" s="4068">
        <v>3104.4552540351287</v>
      </c>
      <c r="AK23" s="4070">
        <f t="shared" si="2"/>
        <v>194.34773519270902</v>
      </c>
      <c r="AL23" s="713"/>
    </row>
    <row r="24" spans="2:38" ht="18" customHeight="1" x14ac:dyDescent="0.2">
      <c r="B24" s="1133" t="s">
        <v>459</v>
      </c>
      <c r="C24" s="1995"/>
      <c r="D24" s="1995"/>
      <c r="E24" s="4068">
        <v>11644.473410340323</v>
      </c>
      <c r="F24" s="4068">
        <v>11331.682904243107</v>
      </c>
      <c r="G24" s="4068">
        <v>11860.438182471731</v>
      </c>
      <c r="H24" s="4068">
        <v>11759.366392773665</v>
      </c>
      <c r="I24" s="4068">
        <v>12862.996292639786</v>
      </c>
      <c r="J24" s="4068">
        <v>13085.711804528277</v>
      </c>
      <c r="K24" s="4068">
        <v>13259.681686861361</v>
      </c>
      <c r="L24" s="4068">
        <v>13255.058139770597</v>
      </c>
      <c r="M24" s="4068">
        <v>13111.731997972498</v>
      </c>
      <c r="N24" s="4068">
        <v>13745.157397730107</v>
      </c>
      <c r="O24" s="4068">
        <v>13177.297517780564</v>
      </c>
      <c r="P24" s="4068">
        <v>12559.720129267938</v>
      </c>
      <c r="Q24" s="4068">
        <v>12479.913157591614</v>
      </c>
      <c r="R24" s="4068">
        <v>13734.632117094354</v>
      </c>
      <c r="S24" s="4068">
        <v>14357.155159378399</v>
      </c>
      <c r="T24" s="4068">
        <v>12513.827512585629</v>
      </c>
      <c r="U24" s="4068">
        <v>12730.761169823347</v>
      </c>
      <c r="V24" s="4068">
        <v>13315.672838033808</v>
      </c>
      <c r="W24" s="4068">
        <v>13190.956265353814</v>
      </c>
      <c r="X24" s="4068">
        <v>11125.923167063165</v>
      </c>
      <c r="Y24" s="4068">
        <v>13036.785223962206</v>
      </c>
      <c r="Z24" s="4068">
        <v>13563.090273006294</v>
      </c>
      <c r="AA24" s="4068">
        <v>11398.781007211959</v>
      </c>
      <c r="AB24" s="4068">
        <v>10125.110621348897</v>
      </c>
      <c r="AC24" s="4068">
        <v>9608.8558369057628</v>
      </c>
      <c r="AD24" s="4068">
        <v>9863.6965812133349</v>
      </c>
      <c r="AE24" s="4068">
        <v>9904.9580408883448</v>
      </c>
      <c r="AF24" s="4068">
        <v>10374.471556019664</v>
      </c>
      <c r="AG24" s="4068">
        <v>10659.504142456715</v>
      </c>
      <c r="AH24" s="4068">
        <v>10558.578640061034</v>
      </c>
      <c r="AI24" s="4068">
        <v>10162.119319579853</v>
      </c>
      <c r="AJ24" s="4068">
        <v>10499.868143488124</v>
      </c>
      <c r="AK24" s="4070">
        <f t="shared" si="2"/>
        <v>-9.8296009318530935</v>
      </c>
      <c r="AL24" s="713"/>
    </row>
    <row r="25" spans="2:38" ht="18" customHeight="1" x14ac:dyDescent="0.2">
      <c r="B25" s="1133" t="s">
        <v>1488</v>
      </c>
      <c r="C25" s="1995"/>
      <c r="D25" s="1995"/>
      <c r="E25" s="4068">
        <v>281.30450949999999</v>
      </c>
      <c r="F25" s="4068">
        <v>257.74698899999999</v>
      </c>
      <c r="G25" s="4068">
        <v>256.36125249999992</v>
      </c>
      <c r="H25" s="4068">
        <v>264.67567150000002</v>
      </c>
      <c r="I25" s="4068">
        <v>268.83288099999999</v>
      </c>
      <c r="J25" s="4068">
        <v>267.44714449999998</v>
      </c>
      <c r="K25" s="4068">
        <v>281.30450949999994</v>
      </c>
      <c r="L25" s="4068">
        <v>278.53303649999992</v>
      </c>
      <c r="M25" s="4068">
        <v>278.53303649999992</v>
      </c>
      <c r="N25" s="4068">
        <v>270.21861749999999</v>
      </c>
      <c r="O25" s="4068">
        <v>284.07598249999995</v>
      </c>
      <c r="P25" s="4068">
        <v>291.00466500000005</v>
      </c>
      <c r="Q25" s="4068">
        <v>297.93334749999997</v>
      </c>
      <c r="R25" s="4068">
        <v>304.86202999999995</v>
      </c>
      <c r="S25" s="4068">
        <v>331.19102349999997</v>
      </c>
      <c r="T25" s="4068">
        <v>252.20404299999996</v>
      </c>
      <c r="U25" s="4068">
        <v>242.50388749999999</v>
      </c>
      <c r="V25" s="4068">
        <v>225.87504949999993</v>
      </c>
      <c r="W25" s="4068">
        <v>236.96094149999999</v>
      </c>
      <c r="X25" s="4068">
        <v>238.76239894999998</v>
      </c>
      <c r="Y25" s="4068">
        <v>247.53411099499993</v>
      </c>
      <c r="Z25" s="4068">
        <v>232.16629320999999</v>
      </c>
      <c r="AA25" s="4068">
        <v>192.64508823</v>
      </c>
      <c r="AB25" s="4068">
        <v>209.32935569</v>
      </c>
      <c r="AC25" s="4068">
        <v>228.05065580499999</v>
      </c>
      <c r="AD25" s="4068">
        <v>219.12651274499999</v>
      </c>
      <c r="AE25" s="4068">
        <v>211.18624259999996</v>
      </c>
      <c r="AF25" s="4068">
        <v>226.526345655</v>
      </c>
      <c r="AG25" s="4068">
        <v>173.43878034000002</v>
      </c>
      <c r="AH25" s="4068">
        <v>182.598498605</v>
      </c>
      <c r="AI25" s="4068">
        <v>178.35814491500003</v>
      </c>
      <c r="AJ25" s="4068">
        <v>162.71317983</v>
      </c>
      <c r="AK25" s="4070">
        <f t="shared" si="2"/>
        <v>-42.157635467980292</v>
      </c>
      <c r="AL25" s="713"/>
    </row>
    <row r="26" spans="2:38" ht="18" customHeight="1" x14ac:dyDescent="0.2">
      <c r="B26" s="1133" t="s">
        <v>1489</v>
      </c>
      <c r="C26" s="348"/>
      <c r="D26" s="348"/>
      <c r="E26" s="348"/>
      <c r="F26" s="348"/>
      <c r="G26" s="1999"/>
      <c r="H26" s="1999"/>
      <c r="I26" s="1999"/>
      <c r="J26" s="1999"/>
      <c r="K26" s="1999"/>
      <c r="L26" s="1999"/>
      <c r="M26" s="1999"/>
      <c r="N26" s="1999"/>
      <c r="O26" s="1999"/>
      <c r="P26" s="1999"/>
      <c r="Q26" s="1999"/>
      <c r="R26" s="1999"/>
      <c r="S26" s="1999"/>
      <c r="T26" s="1999"/>
      <c r="U26" s="1999"/>
      <c r="V26" s="1999"/>
      <c r="W26" s="1999"/>
      <c r="X26" s="1999"/>
      <c r="Y26" s="1999"/>
      <c r="Z26" s="1999"/>
      <c r="AA26" s="1999"/>
      <c r="AB26" s="1999"/>
      <c r="AC26" s="1999"/>
      <c r="AD26" s="1999"/>
      <c r="AE26" s="1999"/>
      <c r="AF26" s="1999"/>
      <c r="AG26" s="1999"/>
      <c r="AH26" s="1999"/>
      <c r="AI26" s="1999"/>
      <c r="AJ26" s="1999"/>
      <c r="AK26" s="349"/>
      <c r="AL26" s="713"/>
    </row>
    <row r="27" spans="2:38" ht="18" customHeight="1" x14ac:dyDescent="0.2">
      <c r="B27" s="1133" t="s">
        <v>1490</v>
      </c>
      <c r="C27" s="348"/>
      <c r="D27" s="348"/>
      <c r="E27" s="348"/>
      <c r="F27" s="348"/>
      <c r="G27" s="1999"/>
      <c r="H27" s="1999"/>
      <c r="I27" s="1999"/>
      <c r="J27" s="1999"/>
      <c r="K27" s="1999"/>
      <c r="L27" s="1999"/>
      <c r="M27" s="1999"/>
      <c r="N27" s="1999"/>
      <c r="O27" s="1999"/>
      <c r="P27" s="1999"/>
      <c r="Q27" s="1999"/>
      <c r="R27" s="1999"/>
      <c r="S27" s="1999"/>
      <c r="T27" s="1999"/>
      <c r="U27" s="1999"/>
      <c r="V27" s="1999"/>
      <c r="W27" s="1999"/>
      <c r="X27" s="1999"/>
      <c r="Y27" s="1999"/>
      <c r="Z27" s="1999"/>
      <c r="AA27" s="1999"/>
      <c r="AB27" s="1999"/>
      <c r="AC27" s="1999"/>
      <c r="AD27" s="1999"/>
      <c r="AE27" s="1999"/>
      <c r="AF27" s="1999"/>
      <c r="AG27" s="1999"/>
      <c r="AH27" s="1999"/>
      <c r="AI27" s="1999"/>
      <c r="AJ27" s="1999"/>
      <c r="AK27" s="349"/>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88">
        <v>82.573034651705768</v>
      </c>
      <c r="F29" s="4088">
        <v>85.06805102123964</v>
      </c>
      <c r="G29" s="4088">
        <v>87.563067390773512</v>
      </c>
      <c r="H29" s="4088">
        <v>90.058083760307383</v>
      </c>
      <c r="I29" s="4088">
        <v>92.553100129841269</v>
      </c>
      <c r="J29" s="4088">
        <v>138.84811649937512</v>
      </c>
      <c r="K29" s="4088">
        <v>139.15682964310255</v>
      </c>
      <c r="L29" s="4088">
        <v>142.58883310941064</v>
      </c>
      <c r="M29" s="4088">
        <v>140.46137980152514</v>
      </c>
      <c r="N29" s="4088">
        <v>142.79295785880095</v>
      </c>
      <c r="O29" s="4088">
        <v>145.12453591607675</v>
      </c>
      <c r="P29" s="4088">
        <v>147.45611397335256</v>
      </c>
      <c r="Q29" s="4088">
        <v>149.78769203062836</v>
      </c>
      <c r="R29" s="4088">
        <v>151.85917290120341</v>
      </c>
      <c r="S29" s="4088">
        <v>165.00635080543125</v>
      </c>
      <c r="T29" s="4088">
        <v>167.46870708773244</v>
      </c>
      <c r="U29" s="4088">
        <v>160.49409054511213</v>
      </c>
      <c r="V29" s="4088">
        <v>148.28584415160208</v>
      </c>
      <c r="W29" s="4088">
        <v>163.37983983135788</v>
      </c>
      <c r="X29" s="4088">
        <v>161.40890909572053</v>
      </c>
      <c r="Y29" s="4088">
        <v>231.45286901003672</v>
      </c>
      <c r="Z29" s="4088">
        <v>261.5775182716128</v>
      </c>
      <c r="AA29" s="4088">
        <v>218.00598284134924</v>
      </c>
      <c r="AB29" s="4088">
        <v>240.36833455150557</v>
      </c>
      <c r="AC29" s="4088">
        <v>201.69877278028781</v>
      </c>
      <c r="AD29" s="4088">
        <v>215.73207564860138</v>
      </c>
      <c r="AE29" s="4088">
        <v>272.83433454819283</v>
      </c>
      <c r="AF29" s="4088">
        <v>213.3027035481928</v>
      </c>
      <c r="AG29" s="4088">
        <v>218.8972661822873</v>
      </c>
      <c r="AH29" s="4088">
        <v>218.99463518228731</v>
      </c>
      <c r="AI29" s="4088">
        <v>213.54650957533741</v>
      </c>
      <c r="AJ29" s="4088">
        <v>225.77854781948912</v>
      </c>
      <c r="AK29" s="4081">
        <f t="shared" si="2"/>
        <v>173.42890905224232</v>
      </c>
      <c r="AL29" s="713"/>
    </row>
    <row r="30" spans="2:38" ht="18" customHeight="1" x14ac:dyDescent="0.2">
      <c r="B30" s="764" t="s">
        <v>1491</v>
      </c>
      <c r="C30" s="1994"/>
      <c r="D30" s="1994"/>
      <c r="E30" s="4074">
        <f>SUM(E31:E40)</f>
        <v>582.01320937951778</v>
      </c>
      <c r="F30" s="4074">
        <f t="shared" ref="F30:AJ30" si="5">SUM(F31:F40)</f>
        <v>634.89614176008422</v>
      </c>
      <c r="G30" s="4074">
        <f t="shared" si="5"/>
        <v>689.81122303868347</v>
      </c>
      <c r="H30" s="4074">
        <f t="shared" si="5"/>
        <v>767.03461056825881</v>
      </c>
      <c r="I30" s="4074">
        <f t="shared" si="5"/>
        <v>868.78488273287883</v>
      </c>
      <c r="J30" s="4074">
        <f t="shared" si="5"/>
        <v>919.39740653519459</v>
      </c>
      <c r="K30" s="4074">
        <f t="shared" si="5"/>
        <v>945.55276989130448</v>
      </c>
      <c r="L30" s="4074">
        <f t="shared" si="5"/>
        <v>1153.6863212061298</v>
      </c>
      <c r="M30" s="4074">
        <f t="shared" si="5"/>
        <v>1328.7246776096777</v>
      </c>
      <c r="N30" s="4074">
        <f t="shared" si="5"/>
        <v>1512.8996475617591</v>
      </c>
      <c r="O30" s="4074">
        <f t="shared" si="5"/>
        <v>1701.1214271861495</v>
      </c>
      <c r="P30" s="4074">
        <f t="shared" si="5"/>
        <v>1818.6433506091305</v>
      </c>
      <c r="Q30" s="4074">
        <f t="shared" si="5"/>
        <v>1930.4128002981445</v>
      </c>
      <c r="R30" s="4074">
        <f t="shared" si="5"/>
        <v>1925.9237464120329</v>
      </c>
      <c r="S30" s="4074">
        <f t="shared" si="5"/>
        <v>2035.0700679623124</v>
      </c>
      <c r="T30" s="4074">
        <f t="shared" si="5"/>
        <v>1963.4523584977419</v>
      </c>
      <c r="U30" s="4074">
        <f t="shared" si="5"/>
        <v>1829.6911462013227</v>
      </c>
      <c r="V30" s="4074">
        <f t="shared" si="5"/>
        <v>1815.7872546355406</v>
      </c>
      <c r="W30" s="4074">
        <f t="shared" si="5"/>
        <v>1830.382472917935</v>
      </c>
      <c r="X30" s="4074">
        <f t="shared" si="5"/>
        <v>1943.1837325816937</v>
      </c>
      <c r="Y30" s="4074">
        <f t="shared" si="5"/>
        <v>2189.1387733806687</v>
      </c>
      <c r="Z30" s="4074">
        <f t="shared" si="5"/>
        <v>2200.5507644848653</v>
      </c>
      <c r="AA30" s="4074">
        <f t="shared" si="5"/>
        <v>2045.0737274324219</v>
      </c>
      <c r="AB30" s="4074">
        <f t="shared" si="5"/>
        <v>2038.1123900765215</v>
      </c>
      <c r="AC30" s="4074">
        <f t="shared" si="5"/>
        <v>2490.9097255348615</v>
      </c>
      <c r="AD30" s="4074">
        <f t="shared" si="5"/>
        <v>2532.9696484659198</v>
      </c>
      <c r="AE30" s="4074">
        <f t="shared" si="5"/>
        <v>2663.2503062592914</v>
      </c>
      <c r="AF30" s="4074">
        <f t="shared" si="5"/>
        <v>2861.7397487352414</v>
      </c>
      <c r="AG30" s="4074">
        <f t="shared" si="5"/>
        <v>2674.7142496895085</v>
      </c>
      <c r="AH30" s="4074">
        <f t="shared" si="5"/>
        <v>2665.3844979798414</v>
      </c>
      <c r="AI30" s="4074">
        <f t="shared" si="5"/>
        <v>2796.5451532274419</v>
      </c>
      <c r="AJ30" s="4074">
        <f t="shared" si="5"/>
        <v>3083.3902291881086</v>
      </c>
      <c r="AK30" s="4085">
        <f t="shared" si="2"/>
        <v>429.78011142999662</v>
      </c>
      <c r="AL30" s="713"/>
    </row>
    <row r="31" spans="2:38" ht="18" customHeight="1" x14ac:dyDescent="0.2">
      <c r="B31" s="1135" t="s">
        <v>1492</v>
      </c>
      <c r="C31" s="348"/>
      <c r="D31" s="348"/>
      <c r="E31" s="348"/>
      <c r="F31" s="348"/>
      <c r="G31" s="1999"/>
      <c r="H31" s="1999"/>
      <c r="I31" s="1999"/>
      <c r="J31" s="1999"/>
      <c r="K31" s="1999"/>
      <c r="L31" s="1999"/>
      <c r="M31" s="1999"/>
      <c r="N31" s="1999"/>
      <c r="O31" s="1999"/>
      <c r="P31" s="1999"/>
      <c r="Q31" s="1999"/>
      <c r="R31" s="1999"/>
      <c r="S31" s="1999"/>
      <c r="T31" s="1999"/>
      <c r="U31" s="1999"/>
      <c r="V31" s="1999"/>
      <c r="W31" s="1999"/>
      <c r="X31" s="1999"/>
      <c r="Y31" s="1999"/>
      <c r="Z31" s="1999"/>
      <c r="AA31" s="1999"/>
      <c r="AB31" s="1999"/>
      <c r="AC31" s="1999"/>
      <c r="AD31" s="1999"/>
      <c r="AE31" s="1999"/>
      <c r="AF31" s="1999"/>
      <c r="AG31" s="1999"/>
      <c r="AH31" s="1999"/>
      <c r="AI31" s="1999"/>
      <c r="AJ31" s="1999"/>
      <c r="AK31" s="349"/>
      <c r="AL31" s="713"/>
    </row>
    <row r="32" spans="2:38" ht="18" customHeight="1" x14ac:dyDescent="0.2">
      <c r="B32" s="1135" t="s">
        <v>1493</v>
      </c>
      <c r="C32" s="348"/>
      <c r="D32" s="348"/>
      <c r="E32" s="348"/>
      <c r="F32" s="348"/>
      <c r="G32" s="1999"/>
      <c r="H32" s="1999"/>
      <c r="I32" s="1999"/>
      <c r="J32" s="1999"/>
      <c r="K32" s="1999"/>
      <c r="L32" s="1999"/>
      <c r="M32" s="1999"/>
      <c r="N32" s="1999"/>
      <c r="O32" s="1999"/>
      <c r="P32" s="1999"/>
      <c r="Q32" s="1999"/>
      <c r="R32" s="1999"/>
      <c r="S32" s="1999"/>
      <c r="T32" s="1999"/>
      <c r="U32" s="1999"/>
      <c r="V32" s="1999"/>
      <c r="W32" s="1999"/>
      <c r="X32" s="1999"/>
      <c r="Y32" s="1999"/>
      <c r="Z32" s="1999"/>
      <c r="AA32" s="1999"/>
      <c r="AB32" s="1999"/>
      <c r="AC32" s="1999"/>
      <c r="AD32" s="1999"/>
      <c r="AE32" s="1999"/>
      <c r="AF32" s="1999"/>
      <c r="AG32" s="1999"/>
      <c r="AH32" s="1999"/>
      <c r="AI32" s="1999"/>
      <c r="AJ32" s="1999"/>
      <c r="AK32" s="349"/>
      <c r="AL32" s="713"/>
    </row>
    <row r="33" spans="2:38" ht="18" customHeight="1" x14ac:dyDescent="0.2">
      <c r="B33" s="1135" t="s">
        <v>1494</v>
      </c>
      <c r="C33" s="348"/>
      <c r="D33" s="348"/>
      <c r="E33" s="348"/>
      <c r="F33" s="348"/>
      <c r="G33" s="1999"/>
      <c r="H33" s="1999"/>
      <c r="I33" s="1999"/>
      <c r="J33" s="1999"/>
      <c r="K33" s="1999"/>
      <c r="L33" s="1999"/>
      <c r="M33" s="1999"/>
      <c r="N33" s="1999"/>
      <c r="O33" s="1999"/>
      <c r="P33" s="1999"/>
      <c r="Q33" s="1999"/>
      <c r="R33" s="1999"/>
      <c r="S33" s="1999"/>
      <c r="T33" s="1999"/>
      <c r="U33" s="1999"/>
      <c r="V33" s="1999"/>
      <c r="W33" s="1999"/>
      <c r="X33" s="1999"/>
      <c r="Y33" s="1999"/>
      <c r="Z33" s="1999"/>
      <c r="AA33" s="1999"/>
      <c r="AB33" s="1999"/>
      <c r="AC33" s="1999"/>
      <c r="AD33" s="1999"/>
      <c r="AE33" s="1999"/>
      <c r="AF33" s="1999"/>
      <c r="AG33" s="1999"/>
      <c r="AH33" s="1999"/>
      <c r="AI33" s="1999"/>
      <c r="AJ33" s="1999"/>
      <c r="AK33" s="349"/>
      <c r="AL33" s="713"/>
    </row>
    <row r="34" spans="2:38" ht="18" customHeight="1" x14ac:dyDescent="0.2">
      <c r="B34" s="1135" t="s">
        <v>1495</v>
      </c>
      <c r="C34" s="348"/>
      <c r="D34" s="348"/>
      <c r="E34" s="348"/>
      <c r="F34" s="348"/>
      <c r="G34" s="1999"/>
      <c r="H34" s="1999"/>
      <c r="I34" s="1999"/>
      <c r="J34" s="1999"/>
      <c r="K34" s="1999"/>
      <c r="L34" s="1999"/>
      <c r="M34" s="1999"/>
      <c r="N34" s="1999"/>
      <c r="O34" s="1999"/>
      <c r="P34" s="1999"/>
      <c r="Q34" s="1999"/>
      <c r="R34" s="1999"/>
      <c r="S34" s="1999"/>
      <c r="T34" s="1999"/>
      <c r="U34" s="1999"/>
      <c r="V34" s="1999"/>
      <c r="W34" s="1999"/>
      <c r="X34" s="1999"/>
      <c r="Y34" s="1999"/>
      <c r="Z34" s="1999"/>
      <c r="AA34" s="1999"/>
      <c r="AB34" s="1999"/>
      <c r="AC34" s="1999"/>
      <c r="AD34" s="1999"/>
      <c r="AE34" s="1999"/>
      <c r="AF34" s="1999"/>
      <c r="AG34" s="1999"/>
      <c r="AH34" s="1999"/>
      <c r="AI34" s="1999"/>
      <c r="AJ34" s="1999"/>
      <c r="AK34" s="349"/>
      <c r="AL34" s="713"/>
    </row>
    <row r="35" spans="2:38" ht="18" customHeight="1" x14ac:dyDescent="0.2">
      <c r="B35" s="1135" t="s">
        <v>1496</v>
      </c>
      <c r="C35" s="348"/>
      <c r="D35" s="348"/>
      <c r="E35" s="348"/>
      <c r="F35" s="348"/>
      <c r="G35" s="1999"/>
      <c r="H35" s="1999"/>
      <c r="I35" s="1999"/>
      <c r="J35" s="1999"/>
      <c r="K35" s="1999"/>
      <c r="L35" s="1999"/>
      <c r="M35" s="1999"/>
      <c r="N35" s="1999"/>
      <c r="O35" s="1999"/>
      <c r="P35" s="1999"/>
      <c r="Q35" s="1999"/>
      <c r="R35" s="1999"/>
      <c r="S35" s="1999"/>
      <c r="T35" s="1999"/>
      <c r="U35" s="1999"/>
      <c r="V35" s="1999"/>
      <c r="W35" s="1999"/>
      <c r="X35" s="1999"/>
      <c r="Y35" s="1999"/>
      <c r="Z35" s="1999"/>
      <c r="AA35" s="1999"/>
      <c r="AB35" s="1999"/>
      <c r="AC35" s="1999"/>
      <c r="AD35" s="1999"/>
      <c r="AE35" s="1999"/>
      <c r="AF35" s="1999"/>
      <c r="AG35" s="1999"/>
      <c r="AH35" s="1999"/>
      <c r="AI35" s="1999"/>
      <c r="AJ35" s="1999"/>
      <c r="AK35" s="349"/>
      <c r="AL35" s="713"/>
    </row>
    <row r="36" spans="2:38" ht="18" customHeight="1" x14ac:dyDescent="0.2">
      <c r="B36" s="1135" t="s">
        <v>1497</v>
      </c>
      <c r="C36" s="348"/>
      <c r="D36" s="348"/>
      <c r="E36" s="348"/>
      <c r="F36" s="348"/>
      <c r="G36" s="1999"/>
      <c r="H36" s="1999"/>
      <c r="I36" s="1999"/>
      <c r="J36" s="1999"/>
      <c r="K36" s="1999"/>
      <c r="L36" s="1999"/>
      <c r="M36" s="1999"/>
      <c r="N36" s="1999"/>
      <c r="O36" s="1999"/>
      <c r="P36" s="1999"/>
      <c r="Q36" s="1999"/>
      <c r="R36" s="1999"/>
      <c r="S36" s="1999"/>
      <c r="T36" s="1999"/>
      <c r="U36" s="1999"/>
      <c r="V36" s="1999"/>
      <c r="W36" s="1999"/>
      <c r="X36" s="1999"/>
      <c r="Y36" s="1999"/>
      <c r="Z36" s="1999"/>
      <c r="AA36" s="1999"/>
      <c r="AB36" s="1999"/>
      <c r="AC36" s="1999"/>
      <c r="AD36" s="1999"/>
      <c r="AE36" s="1999"/>
      <c r="AF36" s="1999"/>
      <c r="AG36" s="1999"/>
      <c r="AH36" s="1999"/>
      <c r="AI36" s="1999"/>
      <c r="AJ36" s="1999"/>
      <c r="AK36" s="349"/>
      <c r="AL36" s="713"/>
    </row>
    <row r="37" spans="2:38" ht="18" customHeight="1" x14ac:dyDescent="0.2">
      <c r="B37" s="1136" t="s">
        <v>721</v>
      </c>
      <c r="C37" s="2229"/>
      <c r="D37" s="2229"/>
      <c r="E37" s="4068">
        <v>215.34654271285109</v>
      </c>
      <c r="F37" s="4068">
        <v>260.25846060066385</v>
      </c>
      <c r="G37" s="4068">
        <v>316.7677447778139</v>
      </c>
      <c r="H37" s="4068">
        <v>382.83171201753419</v>
      </c>
      <c r="I37" s="4068">
        <v>487.77038997925558</v>
      </c>
      <c r="J37" s="4068">
        <v>439.54233407142647</v>
      </c>
      <c r="K37" s="4068">
        <v>385.98755249999999</v>
      </c>
      <c r="L37" s="4068">
        <v>485.71530671337609</v>
      </c>
      <c r="M37" s="4068">
        <v>585.8261268850398</v>
      </c>
      <c r="N37" s="4068">
        <v>720.58080698204878</v>
      </c>
      <c r="O37" s="4068">
        <v>738.22287646151176</v>
      </c>
      <c r="P37" s="4068">
        <v>761.68682887</v>
      </c>
      <c r="Q37" s="4068">
        <v>1021.2878336833335</v>
      </c>
      <c r="R37" s="4068">
        <v>1050.1937704120328</v>
      </c>
      <c r="S37" s="4068">
        <v>1079.5133123531791</v>
      </c>
      <c r="T37" s="4068">
        <v>1076.1779476621882</v>
      </c>
      <c r="U37" s="4068">
        <v>1072.8425829711978</v>
      </c>
      <c r="V37" s="4068">
        <v>1069.5072182802071</v>
      </c>
      <c r="W37" s="4068">
        <v>1065.5307007157301</v>
      </c>
      <c r="X37" s="4068">
        <v>1159.4904844523769</v>
      </c>
      <c r="Y37" s="4068">
        <v>1252.8287349164823</v>
      </c>
      <c r="Z37" s="4068">
        <v>1088.302771159184</v>
      </c>
      <c r="AA37" s="4068">
        <v>924.61635380044606</v>
      </c>
      <c r="AB37" s="4068">
        <v>760.31554032500014</v>
      </c>
      <c r="AC37" s="4068">
        <v>1138.7434395518412</v>
      </c>
      <c r="AD37" s="4068">
        <v>1224.3892800541203</v>
      </c>
      <c r="AE37" s="4068">
        <v>1153.3920301118246</v>
      </c>
      <c r="AF37" s="4068">
        <v>1318.3866247265748</v>
      </c>
      <c r="AG37" s="4068">
        <v>1318.3866247265748</v>
      </c>
      <c r="AH37" s="4068">
        <v>1318.3866247265748</v>
      </c>
      <c r="AI37" s="4068">
        <v>1318.3866247265748</v>
      </c>
      <c r="AJ37" s="4068">
        <v>1318.3866247265748</v>
      </c>
      <c r="AK37" s="4070">
        <f t="shared" si="2"/>
        <v>512.2162947768087</v>
      </c>
      <c r="AL37" s="713"/>
    </row>
    <row r="38" spans="2:38" ht="18" customHeight="1" x14ac:dyDescent="0.2">
      <c r="B38" s="1136" t="s">
        <v>722</v>
      </c>
      <c r="C38" s="2229"/>
      <c r="D38" s="2229"/>
      <c r="E38" s="4068">
        <v>366.66666666666663</v>
      </c>
      <c r="F38" s="4068">
        <v>374.63768115942037</v>
      </c>
      <c r="G38" s="4068">
        <v>373.04347826086962</v>
      </c>
      <c r="H38" s="4068">
        <v>384.20289855072468</v>
      </c>
      <c r="I38" s="4068">
        <v>381.01449275362324</v>
      </c>
      <c r="J38" s="4068">
        <v>479.85507246376812</v>
      </c>
      <c r="K38" s="4068">
        <v>559.56521739130449</v>
      </c>
      <c r="L38" s="4068">
        <v>667.97101449275374</v>
      </c>
      <c r="M38" s="4068">
        <v>742.89855072463774</v>
      </c>
      <c r="N38" s="4068">
        <v>792.31884057971024</v>
      </c>
      <c r="O38" s="4068">
        <v>962.89855072463774</v>
      </c>
      <c r="P38" s="4068">
        <v>1056.9565217391305</v>
      </c>
      <c r="Q38" s="4068">
        <v>909.124966614811</v>
      </c>
      <c r="R38" s="4068">
        <v>875.72997600000019</v>
      </c>
      <c r="S38" s="4068">
        <v>955.55675560913323</v>
      </c>
      <c r="T38" s="4068">
        <v>887.27441083555368</v>
      </c>
      <c r="U38" s="4068">
        <v>756.84856323012491</v>
      </c>
      <c r="V38" s="4068">
        <v>746.28003635533344</v>
      </c>
      <c r="W38" s="4068">
        <v>764.85177220220487</v>
      </c>
      <c r="X38" s="4068">
        <v>783.69324812931677</v>
      </c>
      <c r="Y38" s="4068">
        <v>936.31003846418662</v>
      </c>
      <c r="Z38" s="4068">
        <v>1112.2479933256814</v>
      </c>
      <c r="AA38" s="4068">
        <v>1120.457373631976</v>
      </c>
      <c r="AB38" s="4068">
        <v>1277.7968497515212</v>
      </c>
      <c r="AC38" s="4068">
        <v>1352.1662859830203</v>
      </c>
      <c r="AD38" s="4068">
        <v>1308.5803684117998</v>
      </c>
      <c r="AE38" s="4068">
        <v>1509.858276147467</v>
      </c>
      <c r="AF38" s="4068">
        <v>1543.3531240086666</v>
      </c>
      <c r="AG38" s="4068">
        <v>1356.3276249629334</v>
      </c>
      <c r="AH38" s="4068">
        <v>1346.9978732532668</v>
      </c>
      <c r="AI38" s="4068">
        <v>1478.1585285008669</v>
      </c>
      <c r="AJ38" s="4068">
        <v>1765.0036044615335</v>
      </c>
      <c r="AK38" s="4070">
        <f t="shared" si="2"/>
        <v>381.3646193986001</v>
      </c>
      <c r="AL38" s="713"/>
    </row>
    <row r="39" spans="2:38" ht="18" customHeight="1" x14ac:dyDescent="0.2">
      <c r="B39" s="1136" t="s">
        <v>1498</v>
      </c>
      <c r="C39" s="2229"/>
      <c r="D39" s="2229"/>
      <c r="E39" s="4076" t="s">
        <v>2154</v>
      </c>
      <c r="F39" s="4076" t="s">
        <v>2154</v>
      </c>
      <c r="G39" s="4076" t="s">
        <v>2154</v>
      </c>
      <c r="H39" s="4076" t="s">
        <v>2154</v>
      </c>
      <c r="I39" s="4076" t="s">
        <v>2154</v>
      </c>
      <c r="J39" s="4076" t="s">
        <v>2154</v>
      </c>
      <c r="K39" s="4076" t="s">
        <v>2154</v>
      </c>
      <c r="L39" s="4076" t="s">
        <v>2154</v>
      </c>
      <c r="M39" s="4076" t="s">
        <v>2154</v>
      </c>
      <c r="N39" s="4076" t="s">
        <v>2154</v>
      </c>
      <c r="O39" s="4076" t="s">
        <v>2154</v>
      </c>
      <c r="P39" s="4076" t="s">
        <v>2154</v>
      </c>
      <c r="Q39" s="4076" t="s">
        <v>2154</v>
      </c>
      <c r="R39" s="4076" t="s">
        <v>2154</v>
      </c>
      <c r="S39" s="4076" t="s">
        <v>2154</v>
      </c>
      <c r="T39" s="4076" t="s">
        <v>2154</v>
      </c>
      <c r="U39" s="4076" t="s">
        <v>2154</v>
      </c>
      <c r="V39" s="4076" t="s">
        <v>2154</v>
      </c>
      <c r="W39" s="4076" t="s">
        <v>2154</v>
      </c>
      <c r="X39" s="4076" t="s">
        <v>2154</v>
      </c>
      <c r="Y39" s="4076" t="s">
        <v>2154</v>
      </c>
      <c r="Z39" s="4076" t="s">
        <v>2154</v>
      </c>
      <c r="AA39" s="4076" t="s">
        <v>2154</v>
      </c>
      <c r="AB39" s="4076" t="s">
        <v>2154</v>
      </c>
      <c r="AC39" s="4076" t="s">
        <v>2154</v>
      </c>
      <c r="AD39" s="4076" t="s">
        <v>2154</v>
      </c>
      <c r="AE39" s="4076" t="s">
        <v>2154</v>
      </c>
      <c r="AF39" s="4076" t="s">
        <v>2154</v>
      </c>
      <c r="AG39" s="4076" t="s">
        <v>2154</v>
      </c>
      <c r="AH39" s="4076" t="s">
        <v>2154</v>
      </c>
      <c r="AI39" s="4076" t="s">
        <v>2154</v>
      </c>
      <c r="AJ39" s="4076" t="s">
        <v>2154</v>
      </c>
      <c r="AK39" s="4082" t="s">
        <v>2147</v>
      </c>
      <c r="AL39" s="713"/>
    </row>
    <row r="40" spans="2:38" ht="18" customHeight="1" thickBot="1" x14ac:dyDescent="0.25">
      <c r="B40" s="1376" t="s">
        <v>1499</v>
      </c>
      <c r="C40" s="2229"/>
      <c r="D40" s="2229"/>
      <c r="E40" s="4069" t="s">
        <v>2146</v>
      </c>
      <c r="F40" s="4069" t="s">
        <v>2146</v>
      </c>
      <c r="G40" s="4091" t="s">
        <v>2146</v>
      </c>
      <c r="H40" s="4091" t="s">
        <v>2146</v>
      </c>
      <c r="I40" s="4091" t="s">
        <v>2146</v>
      </c>
      <c r="J40" s="4091" t="s">
        <v>2146</v>
      </c>
      <c r="K40" s="4091" t="s">
        <v>2146</v>
      </c>
      <c r="L40" s="4091" t="s">
        <v>2146</v>
      </c>
      <c r="M40" s="4091" t="s">
        <v>2146</v>
      </c>
      <c r="N40" s="4091" t="s">
        <v>2146</v>
      </c>
      <c r="O40" s="4091" t="s">
        <v>2146</v>
      </c>
      <c r="P40" s="4091" t="s">
        <v>2146</v>
      </c>
      <c r="Q40" s="4091" t="s">
        <v>2146</v>
      </c>
      <c r="R40" s="4091" t="s">
        <v>2146</v>
      </c>
      <c r="S40" s="4091" t="s">
        <v>2146</v>
      </c>
      <c r="T40" s="4091" t="s">
        <v>2146</v>
      </c>
      <c r="U40" s="4091" t="s">
        <v>2146</v>
      </c>
      <c r="V40" s="4091" t="s">
        <v>2146</v>
      </c>
      <c r="W40" s="4091" t="s">
        <v>2146</v>
      </c>
      <c r="X40" s="4091" t="s">
        <v>2146</v>
      </c>
      <c r="Y40" s="4091" t="s">
        <v>2146</v>
      </c>
      <c r="Z40" s="4091" t="s">
        <v>2146</v>
      </c>
      <c r="AA40" s="4091" t="s">
        <v>2146</v>
      </c>
      <c r="AB40" s="4091" t="s">
        <v>2146</v>
      </c>
      <c r="AC40" s="4091" t="s">
        <v>2146</v>
      </c>
      <c r="AD40" s="4091" t="s">
        <v>2146</v>
      </c>
      <c r="AE40" s="4091" t="s">
        <v>2146</v>
      </c>
      <c r="AF40" s="4091" t="s">
        <v>2146</v>
      </c>
      <c r="AG40" s="4091" t="s">
        <v>2146</v>
      </c>
      <c r="AH40" s="4091" t="s">
        <v>2146</v>
      </c>
      <c r="AI40" s="4091" t="s">
        <v>2146</v>
      </c>
      <c r="AJ40" s="4091" t="s">
        <v>2146</v>
      </c>
      <c r="AK40" s="4084" t="str">
        <f t="shared" si="2"/>
        <v>NA</v>
      </c>
      <c r="AL40" s="713"/>
    </row>
    <row r="41" spans="2:38" ht="18" customHeight="1" x14ac:dyDescent="0.2">
      <c r="B41" s="765" t="s">
        <v>1725</v>
      </c>
      <c r="C41" s="1998"/>
      <c r="D41" s="1998"/>
      <c r="E41" s="4074">
        <f>SUM(E42:E49)</f>
        <v>173581.36026367304</v>
      </c>
      <c r="F41" s="4074">
        <f t="shared" ref="F41:AJ41" si="6">SUM(F42:F49)</f>
        <v>159807.79369455593</v>
      </c>
      <c r="G41" s="4074">
        <f t="shared" si="6"/>
        <v>93300.057357073587</v>
      </c>
      <c r="H41" s="4074">
        <f t="shared" si="6"/>
        <v>72110.552764169464</v>
      </c>
      <c r="I41" s="4074">
        <f t="shared" si="6"/>
        <v>67967.019044303408</v>
      </c>
      <c r="J41" s="4074">
        <f t="shared" si="6"/>
        <v>43019.814255361656</v>
      </c>
      <c r="K41" s="4074">
        <f t="shared" si="6"/>
        <v>43356.510110354226</v>
      </c>
      <c r="L41" s="4074">
        <f t="shared" si="6"/>
        <v>31870.404873711737</v>
      </c>
      <c r="M41" s="4074">
        <f t="shared" si="6"/>
        <v>19210.644503414005</v>
      </c>
      <c r="N41" s="4074">
        <f t="shared" si="6"/>
        <v>27019.10939841489</v>
      </c>
      <c r="O41" s="4074">
        <f t="shared" si="6"/>
        <v>39875.568701189317</v>
      </c>
      <c r="P41" s="4074">
        <f t="shared" si="6"/>
        <v>53149.910942369759</v>
      </c>
      <c r="Q41" s="4074">
        <f t="shared" si="6"/>
        <v>44897.602155895111</v>
      </c>
      <c r="R41" s="4074">
        <f t="shared" si="6"/>
        <v>54963.06997739197</v>
      </c>
      <c r="S41" s="4074">
        <f t="shared" si="6"/>
        <v>33222.881996431912</v>
      </c>
      <c r="T41" s="4074">
        <f t="shared" si="6"/>
        <v>57467.761399167568</v>
      </c>
      <c r="U41" s="4074">
        <f t="shared" si="6"/>
        <v>61853.129233805019</v>
      </c>
      <c r="V41" s="4074">
        <f t="shared" si="6"/>
        <v>69110.035361393748</v>
      </c>
      <c r="W41" s="4074">
        <f t="shared" si="6"/>
        <v>55914.654785077153</v>
      </c>
      <c r="X41" s="4074">
        <f t="shared" si="6"/>
        <v>53642.717751712662</v>
      </c>
      <c r="Y41" s="4074">
        <f t="shared" si="6"/>
        <v>41156.259006938868</v>
      </c>
      <c r="Z41" s="4074">
        <f t="shared" si="6"/>
        <v>19489.084468116394</v>
      </c>
      <c r="AA41" s="4074">
        <f t="shared" si="6"/>
        <v>2947.3699441122849</v>
      </c>
      <c r="AB41" s="4074">
        <f t="shared" si="6"/>
        <v>-5907.1025579193738</v>
      </c>
      <c r="AC41" s="4074">
        <f t="shared" si="6"/>
        <v>-3577.6490938680809</v>
      </c>
      <c r="AD41" s="4074">
        <f t="shared" si="6"/>
        <v>-26158.795994845852</v>
      </c>
      <c r="AE41" s="4074">
        <f t="shared" si="6"/>
        <v>-60914.133383424683</v>
      </c>
      <c r="AF41" s="4074">
        <f t="shared" si="6"/>
        <v>-71018.045286268069</v>
      </c>
      <c r="AG41" s="4074">
        <f t="shared" si="6"/>
        <v>-65525.354313199583</v>
      </c>
      <c r="AH41" s="4074">
        <f t="shared" si="6"/>
        <v>-67445.207102485147</v>
      </c>
      <c r="AI41" s="4074">
        <f t="shared" si="6"/>
        <v>-59086.938689664683</v>
      </c>
      <c r="AJ41" s="4074">
        <f t="shared" si="6"/>
        <v>-79383.670959077906</v>
      </c>
      <c r="AK41" s="4087">
        <f t="shared" si="2"/>
        <v>-145.73283147366328</v>
      </c>
      <c r="AL41" s="713"/>
    </row>
    <row r="42" spans="2:38" ht="18" customHeight="1" x14ac:dyDescent="0.2">
      <c r="B42" s="1135" t="s">
        <v>981</v>
      </c>
      <c r="C42" s="1995"/>
      <c r="D42" s="1995"/>
      <c r="E42" s="4068">
        <v>-15706.288508129455</v>
      </c>
      <c r="F42" s="4068">
        <v>-12082.033388131171</v>
      </c>
      <c r="G42" s="4068">
        <v>-16278.679950053736</v>
      </c>
      <c r="H42" s="4068">
        <v>-23502.690019258636</v>
      </c>
      <c r="I42" s="4068">
        <v>-17968.425691014367</v>
      </c>
      <c r="J42" s="4068">
        <v>-20875.51926770695</v>
      </c>
      <c r="K42" s="4068">
        <v>-27362.653514315181</v>
      </c>
      <c r="L42" s="4068">
        <v>-42869.555552519771</v>
      </c>
      <c r="M42" s="4068">
        <v>-38345.538956690492</v>
      </c>
      <c r="N42" s="4068">
        <v>-37278.770755724327</v>
      </c>
      <c r="O42" s="4068">
        <v>-26770.09086726647</v>
      </c>
      <c r="P42" s="4068">
        <v>-27133.5552168047</v>
      </c>
      <c r="Q42" s="4068">
        <v>-32448.668831322972</v>
      </c>
      <c r="R42" s="4068">
        <v>-30986.554765584075</v>
      </c>
      <c r="S42" s="4068">
        <v>-41114.378851143752</v>
      </c>
      <c r="T42" s="4068">
        <v>-45077.917702750245</v>
      </c>
      <c r="U42" s="4068">
        <v>-44030.092111633712</v>
      </c>
      <c r="V42" s="4068">
        <v>-37521.021091248454</v>
      </c>
      <c r="W42" s="4068">
        <v>-27800.46736514787</v>
      </c>
      <c r="X42" s="4068">
        <v>-26117.059401995783</v>
      </c>
      <c r="Y42" s="4068">
        <v>-27019.4742192757</v>
      </c>
      <c r="Z42" s="4068">
        <v>-31728.225705798533</v>
      </c>
      <c r="AA42" s="4068">
        <v>-46193.257331282119</v>
      </c>
      <c r="AB42" s="4068">
        <v>-53458.252813978601</v>
      </c>
      <c r="AC42" s="4068">
        <v>-56210.407494995394</v>
      </c>
      <c r="AD42" s="4068">
        <v>-64626.08099979016</v>
      </c>
      <c r="AE42" s="4068">
        <v>-86149.359368465462</v>
      </c>
      <c r="AF42" s="4068">
        <v>-90677.542419215446</v>
      </c>
      <c r="AG42" s="4068">
        <v>-92396.129653850279</v>
      </c>
      <c r="AH42" s="4068">
        <v>-77000.733566457639</v>
      </c>
      <c r="AI42" s="4068">
        <v>-83852.807125403706</v>
      </c>
      <c r="AJ42" s="4068">
        <v>-95415.955257247289</v>
      </c>
      <c r="AK42" s="4082">
        <f t="shared" si="2"/>
        <v>507.50160808430792</v>
      </c>
      <c r="AL42" s="713"/>
    </row>
    <row r="43" spans="2:38" ht="18" customHeight="1" x14ac:dyDescent="0.2">
      <c r="B43" s="1135" t="s">
        <v>984</v>
      </c>
      <c r="C43" s="1995"/>
      <c r="D43" s="1995"/>
      <c r="E43" s="4068">
        <v>45095.374848360872</v>
      </c>
      <c r="F43" s="4068">
        <v>39717.359150626733</v>
      </c>
      <c r="G43" s="4068">
        <v>26788.73302578416</v>
      </c>
      <c r="H43" s="4068">
        <v>24534.620902699542</v>
      </c>
      <c r="I43" s="4068">
        <v>21934.43206963635</v>
      </c>
      <c r="J43" s="4068">
        <v>12887.613706553717</v>
      </c>
      <c r="K43" s="4068">
        <v>14067.889517603386</v>
      </c>
      <c r="L43" s="4068">
        <v>11692.60655918782</v>
      </c>
      <c r="M43" s="4068">
        <v>4967.0981540024195</v>
      </c>
      <c r="N43" s="4068">
        <v>4846.7204649307114</v>
      </c>
      <c r="O43" s="4068">
        <v>3293.0174661600395</v>
      </c>
      <c r="P43" s="4068">
        <v>6129.4941960607184</v>
      </c>
      <c r="Q43" s="4068">
        <v>6036.0685759903336</v>
      </c>
      <c r="R43" s="4068">
        <v>7491.2105306849935</v>
      </c>
      <c r="S43" s="4068">
        <v>8265.1879916794078</v>
      </c>
      <c r="T43" s="4068">
        <v>11528.344051154809</v>
      </c>
      <c r="U43" s="4068">
        <v>10431.513443562888</v>
      </c>
      <c r="V43" s="4068">
        <v>10366.324591842264</v>
      </c>
      <c r="W43" s="4068">
        <v>10292.388232477662</v>
      </c>
      <c r="X43" s="4068">
        <v>11084.152476448246</v>
      </c>
      <c r="Y43" s="4068">
        <v>5069.6846030701599</v>
      </c>
      <c r="Z43" s="4068">
        <v>6059.0768462673786</v>
      </c>
      <c r="AA43" s="4068">
        <v>3415.2845572074875</v>
      </c>
      <c r="AB43" s="4068">
        <v>5539.738744382712</v>
      </c>
      <c r="AC43" s="4068">
        <v>5946.5026159676063</v>
      </c>
      <c r="AD43" s="4068">
        <v>1663.1103756569228</v>
      </c>
      <c r="AE43" s="4068">
        <v>-2959.6375306847513</v>
      </c>
      <c r="AF43" s="4068">
        <v>-3199.2756470159493</v>
      </c>
      <c r="AG43" s="4068">
        <v>-2908.4745050085494</v>
      </c>
      <c r="AH43" s="4068">
        <v>-3129.3537479996539</v>
      </c>
      <c r="AI43" s="4068">
        <v>2643.2465976602662</v>
      </c>
      <c r="AJ43" s="4068">
        <v>5083.8959237084691</v>
      </c>
      <c r="AK43" s="4082">
        <f t="shared" si="2"/>
        <v>-88.72634734536804</v>
      </c>
      <c r="AL43" s="713"/>
    </row>
    <row r="44" spans="2:38" ht="18" customHeight="1" x14ac:dyDescent="0.2">
      <c r="B44" s="1135" t="s">
        <v>1717</v>
      </c>
      <c r="C44" s="1995"/>
      <c r="D44" s="1995"/>
      <c r="E44" s="4068">
        <v>142919.7014527928</v>
      </c>
      <c r="F44" s="4068">
        <v>130310.91111872907</v>
      </c>
      <c r="G44" s="4068">
        <v>81142.990304352468</v>
      </c>
      <c r="H44" s="4068">
        <v>70377.655305142835</v>
      </c>
      <c r="I44" s="4068">
        <v>64838.724705967121</v>
      </c>
      <c r="J44" s="4068">
        <v>52838.478964578302</v>
      </c>
      <c r="K44" s="4068">
        <v>56682.191050440502</v>
      </c>
      <c r="L44" s="4068">
        <v>62716.360721619727</v>
      </c>
      <c r="M44" s="4068">
        <v>53426.538709294808</v>
      </c>
      <c r="N44" s="4068">
        <v>59677.831725228862</v>
      </c>
      <c r="O44" s="4068">
        <v>64897.394992357884</v>
      </c>
      <c r="P44" s="4068">
        <v>75427.288369374452</v>
      </c>
      <c r="Q44" s="4068">
        <v>72736.645187142421</v>
      </c>
      <c r="R44" s="4068">
        <v>80138.954415526387</v>
      </c>
      <c r="S44" s="4068">
        <v>68700.153340731209</v>
      </c>
      <c r="T44" s="4068">
        <v>92515.6301460143</v>
      </c>
      <c r="U44" s="4068">
        <v>95703.865611283793</v>
      </c>
      <c r="V44" s="4068">
        <v>95844.326427410386</v>
      </c>
      <c r="W44" s="4068">
        <v>73349.847931771044</v>
      </c>
      <c r="X44" s="4068">
        <v>67256.970193606205</v>
      </c>
      <c r="Y44" s="4068">
        <v>61752.143609332081</v>
      </c>
      <c r="Z44" s="4068">
        <v>43307.582183012652</v>
      </c>
      <c r="AA44" s="4068">
        <v>44536.938163050392</v>
      </c>
      <c r="AB44" s="4068">
        <v>41672.382799520135</v>
      </c>
      <c r="AC44" s="4068">
        <v>46182.290146237414</v>
      </c>
      <c r="AD44" s="4068">
        <v>36771.703687128887</v>
      </c>
      <c r="AE44" s="4068">
        <v>28461.148450275501</v>
      </c>
      <c r="AF44" s="4068">
        <v>23337.442795247978</v>
      </c>
      <c r="AG44" s="4068">
        <v>32004.618977773785</v>
      </c>
      <c r="AH44" s="4068">
        <v>14709.317805011882</v>
      </c>
      <c r="AI44" s="4068">
        <v>24209.509126284302</v>
      </c>
      <c r="AJ44" s="4068">
        <v>13624.838403144377</v>
      </c>
      <c r="AK44" s="4082">
        <f t="shared" si="2"/>
        <v>-90.466787808366121</v>
      </c>
      <c r="AL44" s="713"/>
    </row>
    <row r="45" spans="2:38" ht="18" customHeight="1" x14ac:dyDescent="0.2">
      <c r="B45" s="1135" t="s">
        <v>1525</v>
      </c>
      <c r="C45" s="1995"/>
      <c r="D45" s="1995"/>
      <c r="E45" s="4068">
        <v>1393.272890155898</v>
      </c>
      <c r="F45" s="4068">
        <v>1678.2768901873424</v>
      </c>
      <c r="G45" s="4068">
        <v>1945.4130819571151</v>
      </c>
      <c r="H45" s="4068">
        <v>1425.4208460000748</v>
      </c>
      <c r="I45" s="4068">
        <v>339.09199916679427</v>
      </c>
      <c r="J45" s="4068">
        <v>420.85388622961739</v>
      </c>
      <c r="K45" s="4068">
        <v>1209.2165133499741</v>
      </c>
      <c r="L45" s="4068">
        <v>1326.3293190950926</v>
      </c>
      <c r="M45" s="4068">
        <v>1138.6297219973442</v>
      </c>
      <c r="N45" s="4068">
        <v>1126.0008246080376</v>
      </c>
      <c r="O45" s="4068">
        <v>1102.4248220060906</v>
      </c>
      <c r="P45" s="4068">
        <v>387.88955243601089</v>
      </c>
      <c r="Q45" s="4068">
        <v>870.65990739696224</v>
      </c>
      <c r="R45" s="4068">
        <v>721.9612325323792</v>
      </c>
      <c r="S45" s="4068">
        <v>159.28817855286994</v>
      </c>
      <c r="T45" s="4068">
        <v>809.52850977989476</v>
      </c>
      <c r="U45" s="4068">
        <v>1302.9933634580768</v>
      </c>
      <c r="V45" s="4068">
        <v>1048.2472841848178</v>
      </c>
      <c r="W45" s="4068">
        <v>1335.633591673567</v>
      </c>
      <c r="X45" s="4068">
        <v>1389.7699748607342</v>
      </c>
      <c r="Y45" s="4068">
        <v>1008.7166343037343</v>
      </c>
      <c r="Z45" s="4068">
        <v>1437.9561952250435</v>
      </c>
      <c r="AA45" s="4068">
        <v>310.34609700100862</v>
      </c>
      <c r="AB45" s="4068">
        <v>309.92265624618767</v>
      </c>
      <c r="AC45" s="4068">
        <v>315.42685009245645</v>
      </c>
      <c r="AD45" s="4068">
        <v>430.58599290460222</v>
      </c>
      <c r="AE45" s="4068">
        <v>-261.86533523587912</v>
      </c>
      <c r="AF45" s="4068">
        <v>-337.50441056301611</v>
      </c>
      <c r="AG45" s="4068">
        <v>-689.6875392607194</v>
      </c>
      <c r="AH45" s="4068">
        <v>-500.11089071223188</v>
      </c>
      <c r="AI45" s="4068">
        <v>-1011.9488428008227</v>
      </c>
      <c r="AJ45" s="4068">
        <v>-837.10798999087615</v>
      </c>
      <c r="AK45" s="4082">
        <f t="shared" si="2"/>
        <v>-160.08212719169532</v>
      </c>
      <c r="AL45" s="713"/>
    </row>
    <row r="46" spans="2:38" ht="18" customHeight="1" x14ac:dyDescent="0.2">
      <c r="B46" s="1135" t="s">
        <v>992</v>
      </c>
      <c r="C46" s="1995"/>
      <c r="D46" s="1995"/>
      <c r="E46" s="4068">
        <v>7263.3273582147904</v>
      </c>
      <c r="F46" s="4068">
        <v>6750.9811935626794</v>
      </c>
      <c r="G46" s="4068">
        <v>6400.8493995465415</v>
      </c>
      <c r="H46" s="4068">
        <v>6110.2372696552547</v>
      </c>
      <c r="I46" s="4068">
        <v>5934.3744851814427</v>
      </c>
      <c r="J46" s="4068">
        <v>5259.0434028994614</v>
      </c>
      <c r="K46" s="4068">
        <v>5188.0929198390504</v>
      </c>
      <c r="L46" s="4068">
        <v>5336.3033428056888</v>
      </c>
      <c r="M46" s="4068">
        <v>5163.5843041827757</v>
      </c>
      <c r="N46" s="4068">
        <v>4984.8809461455057</v>
      </c>
      <c r="O46" s="4068">
        <v>5106.7778963744622</v>
      </c>
      <c r="P46" s="4068">
        <v>4860.0469660885974</v>
      </c>
      <c r="Q46" s="4068">
        <v>4540.8835016655885</v>
      </c>
      <c r="R46" s="4068">
        <v>4947.6011116615036</v>
      </c>
      <c r="S46" s="4068">
        <v>5241.0018922011741</v>
      </c>
      <c r="T46" s="4068">
        <v>5521.2704657235072</v>
      </c>
      <c r="U46" s="4068">
        <v>5931.1504564207271</v>
      </c>
      <c r="V46" s="4068">
        <v>5748.0897985584879</v>
      </c>
      <c r="W46" s="4068">
        <v>5069.8052539375803</v>
      </c>
      <c r="X46" s="4068">
        <v>4791.8709359467639</v>
      </c>
      <c r="Y46" s="4068">
        <v>4573.2206086710739</v>
      </c>
      <c r="Z46" s="4068">
        <v>5146.8869734725686</v>
      </c>
      <c r="AA46" s="4068">
        <v>4890.8790089352833</v>
      </c>
      <c r="AB46" s="4068">
        <v>4072.1762386157802</v>
      </c>
      <c r="AC46" s="4068">
        <v>4124.2236562394728</v>
      </c>
      <c r="AD46" s="4068">
        <v>3799.273014209321</v>
      </c>
      <c r="AE46" s="4068">
        <v>4409.4994612760966</v>
      </c>
      <c r="AF46" s="4068">
        <v>4396.801346490588</v>
      </c>
      <c r="AG46" s="4068">
        <v>3625.8625635434792</v>
      </c>
      <c r="AH46" s="4068">
        <v>3404.987447331574</v>
      </c>
      <c r="AI46" s="4068">
        <v>3324.9322261048824</v>
      </c>
      <c r="AJ46" s="4068">
        <v>3073.3592522749436</v>
      </c>
      <c r="AK46" s="4082">
        <f t="shared" si="2"/>
        <v>-57.686620735894714</v>
      </c>
      <c r="AL46" s="713"/>
    </row>
    <row r="47" spans="2:38" ht="18" customHeight="1" x14ac:dyDescent="0.2">
      <c r="B47" s="1135" t="s">
        <v>1527</v>
      </c>
      <c r="C47" s="1995"/>
      <c r="D47" s="1995"/>
      <c r="E47" s="4094" t="s">
        <v>2146</v>
      </c>
      <c r="F47" s="4094" t="s">
        <v>2146</v>
      </c>
      <c r="G47" s="4094" t="s">
        <v>2146</v>
      </c>
      <c r="H47" s="4094" t="s">
        <v>2146</v>
      </c>
      <c r="I47" s="4094" t="s">
        <v>2146</v>
      </c>
      <c r="J47" s="4094" t="s">
        <v>2146</v>
      </c>
      <c r="K47" s="4094" t="s">
        <v>2146</v>
      </c>
      <c r="L47" s="4094" t="s">
        <v>2146</v>
      </c>
      <c r="M47" s="4094" t="s">
        <v>2146</v>
      </c>
      <c r="N47" s="4094" t="s">
        <v>2146</v>
      </c>
      <c r="O47" s="4094" t="s">
        <v>2146</v>
      </c>
      <c r="P47" s="4094" t="s">
        <v>2146</v>
      </c>
      <c r="Q47" s="4094" t="s">
        <v>2146</v>
      </c>
      <c r="R47" s="4094" t="s">
        <v>2146</v>
      </c>
      <c r="S47" s="4094" t="s">
        <v>2146</v>
      </c>
      <c r="T47" s="4094" t="s">
        <v>2146</v>
      </c>
      <c r="U47" s="4094" t="s">
        <v>2146</v>
      </c>
      <c r="V47" s="4094" t="s">
        <v>2146</v>
      </c>
      <c r="W47" s="4094" t="s">
        <v>2146</v>
      </c>
      <c r="X47" s="4094" t="s">
        <v>2146</v>
      </c>
      <c r="Y47" s="4094" t="s">
        <v>2146</v>
      </c>
      <c r="Z47" s="4094" t="s">
        <v>2146</v>
      </c>
      <c r="AA47" s="4094" t="s">
        <v>2146</v>
      </c>
      <c r="AB47" s="4094" t="s">
        <v>2146</v>
      </c>
      <c r="AC47" s="4094" t="s">
        <v>2146</v>
      </c>
      <c r="AD47" s="4094" t="s">
        <v>2146</v>
      </c>
      <c r="AE47" s="4094" t="s">
        <v>2146</v>
      </c>
      <c r="AF47" s="4094" t="s">
        <v>2146</v>
      </c>
      <c r="AG47" s="4094" t="s">
        <v>2146</v>
      </c>
      <c r="AH47" s="4094" t="s">
        <v>2146</v>
      </c>
      <c r="AI47" s="4094" t="s">
        <v>2146</v>
      </c>
      <c r="AJ47" s="4094" t="s">
        <v>2146</v>
      </c>
      <c r="AK47" s="4082" t="str">
        <f t="shared" si="2"/>
        <v>NA</v>
      </c>
      <c r="AL47" s="713"/>
    </row>
    <row r="48" spans="2:38" ht="18" customHeight="1" x14ac:dyDescent="0.2">
      <c r="B48" s="1135" t="s">
        <v>1528</v>
      </c>
      <c r="C48" s="2229"/>
      <c r="D48" s="2229"/>
      <c r="E48" s="4068">
        <v>-7384.0277777218835</v>
      </c>
      <c r="F48" s="4068">
        <v>-6567.7012704187337</v>
      </c>
      <c r="G48" s="4068">
        <v>-6699.2485045129588</v>
      </c>
      <c r="H48" s="4068">
        <v>-6834.6915400696043</v>
      </c>
      <c r="I48" s="4068">
        <v>-7111.1785246339268</v>
      </c>
      <c r="J48" s="4068">
        <v>-7510.6564371924978</v>
      </c>
      <c r="K48" s="4068">
        <v>-6428.2464339131238</v>
      </c>
      <c r="L48" s="4068">
        <v>-6332.1664108200339</v>
      </c>
      <c r="M48" s="4068">
        <v>-7140.1742663664472</v>
      </c>
      <c r="N48" s="4068">
        <v>-6338.0606437674915</v>
      </c>
      <c r="O48" s="4068">
        <v>-7754.4624454362875</v>
      </c>
      <c r="P48" s="4068">
        <v>-6523.2703985077651</v>
      </c>
      <c r="Q48" s="4068">
        <v>-6842.5868497042429</v>
      </c>
      <c r="R48" s="4068">
        <v>-7352.6527229086214</v>
      </c>
      <c r="S48" s="4068">
        <v>-8030.5759852622941</v>
      </c>
      <c r="T48" s="4068">
        <v>-7839.9375024043311</v>
      </c>
      <c r="U48" s="4068">
        <v>-7496.5171084051362</v>
      </c>
      <c r="V48" s="4068">
        <v>-6376.5885717226511</v>
      </c>
      <c r="W48" s="4068">
        <v>-6387.0494601329492</v>
      </c>
      <c r="X48" s="4068">
        <v>-4763.393118684573</v>
      </c>
      <c r="Y48" s="4068">
        <v>-4228.4389206935439</v>
      </c>
      <c r="Z48" s="4068">
        <v>-4734.1920240627169</v>
      </c>
      <c r="AA48" s="4068">
        <v>-4014.2814824961433</v>
      </c>
      <c r="AB48" s="4068">
        <v>-4044.802265639682</v>
      </c>
      <c r="AC48" s="4068">
        <v>-3969.4457462444443</v>
      </c>
      <c r="AD48" s="4068">
        <v>-4198.8822615059344</v>
      </c>
      <c r="AE48" s="4068">
        <v>-4413.9190605901867</v>
      </c>
      <c r="AF48" s="4068">
        <v>-4537.9669512122073</v>
      </c>
      <c r="AG48" s="4068">
        <v>-5161.5441563973091</v>
      </c>
      <c r="AH48" s="4068">
        <v>-4929.3141496590633</v>
      </c>
      <c r="AI48" s="4068">
        <v>-4399.8706715096032</v>
      </c>
      <c r="AJ48" s="4068">
        <v>-4912.7012909675041</v>
      </c>
      <c r="AK48" s="4082">
        <f t="shared" si="2"/>
        <v>-33.468542659204786</v>
      </c>
      <c r="AL48" s="713"/>
    </row>
    <row r="49" spans="2:38" ht="18" customHeight="1" thickBot="1" x14ac:dyDescent="0.25">
      <c r="B49" s="1376" t="s">
        <v>1718</v>
      </c>
      <c r="C49" s="2013"/>
      <c r="D49" s="2013"/>
      <c r="E49" s="4093" t="s">
        <v>2146</v>
      </c>
      <c r="F49" s="4093" t="s">
        <v>2146</v>
      </c>
      <c r="G49" s="4093" t="s">
        <v>2146</v>
      </c>
      <c r="H49" s="4093" t="s">
        <v>2146</v>
      </c>
      <c r="I49" s="4093" t="s">
        <v>2146</v>
      </c>
      <c r="J49" s="4093" t="s">
        <v>2146</v>
      </c>
      <c r="K49" s="4093">
        <v>2.0057349620000001E-2</v>
      </c>
      <c r="L49" s="4093">
        <v>0.52689434321333339</v>
      </c>
      <c r="M49" s="4093">
        <v>0.50683699359333334</v>
      </c>
      <c r="N49" s="4093">
        <v>0.50683699359333334</v>
      </c>
      <c r="O49" s="4093">
        <v>0.50683699359333334</v>
      </c>
      <c r="P49" s="4093">
        <v>2.0174737224522223</v>
      </c>
      <c r="Q49" s="4093">
        <v>4.6006647270185557</v>
      </c>
      <c r="R49" s="4093">
        <v>2.5501754794022227</v>
      </c>
      <c r="S49" s="4093">
        <v>2.2054296732966669</v>
      </c>
      <c r="T49" s="4093">
        <v>10.843431649636667</v>
      </c>
      <c r="U49" s="4093">
        <v>10.215579118396668</v>
      </c>
      <c r="V49" s="4093">
        <v>0.65692236888666677</v>
      </c>
      <c r="W49" s="4093">
        <v>54.49660049812001</v>
      </c>
      <c r="X49" s="4093">
        <v>0.40669153106816663</v>
      </c>
      <c r="Y49" s="4093">
        <v>0.40669153106816663</v>
      </c>
      <c r="Z49" s="4093" t="s">
        <v>2146</v>
      </c>
      <c r="AA49" s="4093">
        <v>1.4609316963755554</v>
      </c>
      <c r="AB49" s="4093">
        <v>1.7320829340955557</v>
      </c>
      <c r="AC49" s="4093">
        <v>33.760878834808885</v>
      </c>
      <c r="AD49" s="4093">
        <v>1.4941965505133337</v>
      </c>
      <c r="AE49" s="4093" t="s">
        <v>2146</v>
      </c>
      <c r="AF49" s="4093" t="s">
        <v>2146</v>
      </c>
      <c r="AG49" s="4093" t="s">
        <v>2146</v>
      </c>
      <c r="AH49" s="4093" t="s">
        <v>2146</v>
      </c>
      <c r="AI49" s="4093" t="s">
        <v>2146</v>
      </c>
      <c r="AJ49" s="4093" t="s">
        <v>2146</v>
      </c>
      <c r="AK49" s="4084" t="str">
        <f t="shared" si="2"/>
        <v>NA</v>
      </c>
      <c r="AL49" s="713"/>
    </row>
    <row r="50" spans="2:38" ht="18" customHeight="1" x14ac:dyDescent="0.2">
      <c r="B50" s="766" t="s">
        <v>1500</v>
      </c>
      <c r="C50" s="1994"/>
      <c r="D50" s="1994"/>
      <c r="E50" s="4074">
        <f>SUM(E51:E55)</f>
        <v>73.841444217785693</v>
      </c>
      <c r="F50" s="4074">
        <f t="shared" ref="F50:AJ50" si="7">SUM(F51:F55)</f>
        <v>73.988845759355272</v>
      </c>
      <c r="G50" s="4074">
        <f t="shared" si="7"/>
        <v>74.127612218528455</v>
      </c>
      <c r="H50" s="4074">
        <f t="shared" si="7"/>
        <v>74.260865903522287</v>
      </c>
      <c r="I50" s="4074">
        <f t="shared" si="7"/>
        <v>74.401996819369387</v>
      </c>
      <c r="J50" s="4074">
        <f t="shared" si="7"/>
        <v>80.093277747652635</v>
      </c>
      <c r="K50" s="4074">
        <f t="shared" si="7"/>
        <v>58.640624527512315</v>
      </c>
      <c r="L50" s="4074">
        <f t="shared" si="7"/>
        <v>28.498582921678484</v>
      </c>
      <c r="M50" s="4074">
        <f t="shared" si="7"/>
        <v>28.621172748861426</v>
      </c>
      <c r="N50" s="4074">
        <f t="shared" si="7"/>
        <v>29.325568882446802</v>
      </c>
      <c r="O50" s="4074">
        <f t="shared" si="7"/>
        <v>28.212514195710089</v>
      </c>
      <c r="P50" s="4074">
        <f t="shared" si="7"/>
        <v>28.362785964459299</v>
      </c>
      <c r="Q50" s="4074">
        <f t="shared" si="7"/>
        <v>28.521775413558473</v>
      </c>
      <c r="R50" s="4074">
        <f t="shared" si="7"/>
        <v>28.688468053852297</v>
      </c>
      <c r="S50" s="4074">
        <f t="shared" si="7"/>
        <v>28.845923344468943</v>
      </c>
      <c r="T50" s="4074">
        <f t="shared" si="7"/>
        <v>29.0183583726607</v>
      </c>
      <c r="U50" s="4074">
        <f t="shared" si="7"/>
        <v>29.308601056242154</v>
      </c>
      <c r="V50" s="4074">
        <f t="shared" si="7"/>
        <v>29.670531219562221</v>
      </c>
      <c r="W50" s="4074">
        <f t="shared" si="7"/>
        <v>30.138931124908421</v>
      </c>
      <c r="X50" s="4074">
        <f t="shared" si="7"/>
        <v>30.577141562580699</v>
      </c>
      <c r="Y50" s="4074">
        <f t="shared" si="7"/>
        <v>30.362806605700698</v>
      </c>
      <c r="Z50" s="4074">
        <f t="shared" si="7"/>
        <v>30.475238146900701</v>
      </c>
      <c r="AA50" s="4074">
        <f t="shared" si="7"/>
        <v>30.629801780740696</v>
      </c>
      <c r="AB50" s="4074">
        <f t="shared" si="7"/>
        <v>31.081119583060698</v>
      </c>
      <c r="AC50" s="4074">
        <f t="shared" si="7"/>
        <v>31.499220380900699</v>
      </c>
      <c r="AD50" s="4074">
        <f t="shared" si="7"/>
        <v>31.180693138900697</v>
      </c>
      <c r="AE50" s="4074">
        <f t="shared" si="7"/>
        <v>31.331062638344687</v>
      </c>
      <c r="AF50" s="4074">
        <f t="shared" si="7"/>
        <v>31.457446360654316</v>
      </c>
      <c r="AG50" s="4074">
        <f t="shared" si="7"/>
        <v>31.414508582309281</v>
      </c>
      <c r="AH50" s="4074">
        <f t="shared" si="7"/>
        <v>31.383403080597994</v>
      </c>
      <c r="AI50" s="4074">
        <f t="shared" si="7"/>
        <v>31.466299785649113</v>
      </c>
      <c r="AJ50" s="4074">
        <f t="shared" si="7"/>
        <v>32.297548304455532</v>
      </c>
      <c r="AK50" s="4082">
        <f t="shared" si="2"/>
        <v>-56.26094715970325</v>
      </c>
      <c r="AL50" s="713"/>
    </row>
    <row r="51" spans="2:38" ht="18" customHeight="1" x14ac:dyDescent="0.2">
      <c r="B51" s="1135" t="s">
        <v>1719</v>
      </c>
      <c r="C51" s="348"/>
      <c r="D51" s="348"/>
      <c r="E51" s="348"/>
      <c r="F51" s="348"/>
      <c r="G51" s="348"/>
      <c r="H51" s="348"/>
      <c r="I51" s="348"/>
      <c r="J51" s="348"/>
      <c r="K51" s="348"/>
      <c r="L51" s="348"/>
      <c r="M51" s="348"/>
      <c r="N51" s="348"/>
      <c r="O51" s="348"/>
      <c r="P51" s="348"/>
      <c r="Q51" s="348"/>
      <c r="R51" s="348"/>
      <c r="S51" s="348"/>
      <c r="T51" s="348"/>
      <c r="U51" s="348"/>
      <c r="V51" s="348"/>
      <c r="W51" s="348"/>
      <c r="X51" s="348"/>
      <c r="Y51" s="348"/>
      <c r="Z51" s="348"/>
      <c r="AA51" s="348"/>
      <c r="AB51" s="348"/>
      <c r="AC51" s="348"/>
      <c r="AD51" s="348"/>
      <c r="AE51" s="348"/>
      <c r="AF51" s="348"/>
      <c r="AG51" s="348"/>
      <c r="AH51" s="348"/>
      <c r="AI51" s="348"/>
      <c r="AJ51" s="348"/>
      <c r="AK51" s="349"/>
      <c r="AL51" s="713"/>
    </row>
    <row r="52" spans="2:38" ht="18" customHeight="1" x14ac:dyDescent="0.2">
      <c r="B52" s="1135" t="s">
        <v>1531</v>
      </c>
      <c r="C52" s="348"/>
      <c r="D52" s="348"/>
      <c r="E52" s="348"/>
      <c r="F52" s="348"/>
      <c r="G52" s="348"/>
      <c r="H52" s="348"/>
      <c r="I52" s="348"/>
      <c r="J52" s="348"/>
      <c r="K52" s="348"/>
      <c r="L52" s="348"/>
      <c r="M52" s="348"/>
      <c r="N52" s="348"/>
      <c r="O52" s="348"/>
      <c r="P52" s="348"/>
      <c r="Q52" s="348"/>
      <c r="R52" s="348"/>
      <c r="S52" s="348"/>
      <c r="T52" s="348"/>
      <c r="U52" s="348"/>
      <c r="V52" s="348"/>
      <c r="W52" s="348"/>
      <c r="X52" s="348"/>
      <c r="Y52" s="348"/>
      <c r="Z52" s="348"/>
      <c r="AA52" s="348"/>
      <c r="AB52" s="348"/>
      <c r="AC52" s="348"/>
      <c r="AD52" s="348"/>
      <c r="AE52" s="348"/>
      <c r="AF52" s="348"/>
      <c r="AG52" s="348"/>
      <c r="AH52" s="348"/>
      <c r="AI52" s="348"/>
      <c r="AJ52" s="348"/>
      <c r="AK52" s="349"/>
      <c r="AL52" s="713"/>
    </row>
    <row r="53" spans="2:38" ht="18" customHeight="1" x14ac:dyDescent="0.2">
      <c r="B53" s="1135" t="s">
        <v>1532</v>
      </c>
      <c r="C53" s="1995"/>
      <c r="D53" s="1995"/>
      <c r="E53" s="4068">
        <v>73.841444217785693</v>
      </c>
      <c r="F53" s="4068">
        <v>73.988845759355272</v>
      </c>
      <c r="G53" s="4068">
        <v>74.127612218528455</v>
      </c>
      <c r="H53" s="4068">
        <v>74.260865903522287</v>
      </c>
      <c r="I53" s="4068">
        <v>74.401996819369387</v>
      </c>
      <c r="J53" s="4068">
        <v>80.093277747652635</v>
      </c>
      <c r="K53" s="4068">
        <v>58.640624527512315</v>
      </c>
      <c r="L53" s="4068">
        <v>28.498582921678484</v>
      </c>
      <c r="M53" s="4068">
        <v>28.621172748861426</v>
      </c>
      <c r="N53" s="4068">
        <v>29.325568882446802</v>
      </c>
      <c r="O53" s="4068">
        <v>28.212514195710089</v>
      </c>
      <c r="P53" s="4068">
        <v>28.362785964459299</v>
      </c>
      <c r="Q53" s="4068">
        <v>28.521775413558473</v>
      </c>
      <c r="R53" s="4068">
        <v>28.688468053852297</v>
      </c>
      <c r="S53" s="4068">
        <v>28.845923344468943</v>
      </c>
      <c r="T53" s="4068">
        <v>29.0183583726607</v>
      </c>
      <c r="U53" s="4068">
        <v>29.308601056242154</v>
      </c>
      <c r="V53" s="4068">
        <v>29.670531219562221</v>
      </c>
      <c r="W53" s="4068">
        <v>30.138931124908421</v>
      </c>
      <c r="X53" s="4068">
        <v>30.577141562580699</v>
      </c>
      <c r="Y53" s="4068">
        <v>30.362806605700698</v>
      </c>
      <c r="Z53" s="4068">
        <v>30.475238146900701</v>
      </c>
      <c r="AA53" s="4068">
        <v>30.629801780740696</v>
      </c>
      <c r="AB53" s="4068">
        <v>31.081119583060698</v>
      </c>
      <c r="AC53" s="4068">
        <v>31.499220380900699</v>
      </c>
      <c r="AD53" s="4068">
        <v>31.180693138900697</v>
      </c>
      <c r="AE53" s="4068">
        <v>31.331062638344687</v>
      </c>
      <c r="AF53" s="4068">
        <v>31.457446360654316</v>
      </c>
      <c r="AG53" s="4068">
        <v>31.414508582309281</v>
      </c>
      <c r="AH53" s="4068">
        <v>31.383403080597994</v>
      </c>
      <c r="AI53" s="4068">
        <v>31.466299785649113</v>
      </c>
      <c r="AJ53" s="4068">
        <v>32.297548304455532</v>
      </c>
      <c r="AK53" s="4082">
        <f t="shared" si="2"/>
        <v>-56.26094715970325</v>
      </c>
      <c r="AL53" s="713"/>
    </row>
    <row r="54" spans="2:38" ht="18" customHeight="1" x14ac:dyDescent="0.2">
      <c r="B54" s="1135" t="s">
        <v>1502</v>
      </c>
      <c r="C54" s="348"/>
      <c r="D54" s="348"/>
      <c r="E54" s="348"/>
      <c r="F54" s="348"/>
      <c r="G54" s="348"/>
      <c r="H54" s="348"/>
      <c r="I54" s="348"/>
      <c r="J54" s="348"/>
      <c r="K54" s="348"/>
      <c r="L54" s="348"/>
      <c r="M54" s="348"/>
      <c r="N54" s="348"/>
      <c r="O54" s="348"/>
      <c r="P54" s="348"/>
      <c r="Q54" s="348"/>
      <c r="R54" s="348"/>
      <c r="S54" s="348"/>
      <c r="T54" s="348"/>
      <c r="U54" s="348"/>
      <c r="V54" s="348"/>
      <c r="W54" s="348"/>
      <c r="X54" s="348"/>
      <c r="Y54" s="348"/>
      <c r="Z54" s="348"/>
      <c r="AA54" s="348"/>
      <c r="AB54" s="348"/>
      <c r="AC54" s="348"/>
      <c r="AD54" s="348"/>
      <c r="AE54" s="348"/>
      <c r="AF54" s="348"/>
      <c r="AG54" s="348"/>
      <c r="AH54" s="348"/>
      <c r="AI54" s="348"/>
      <c r="AJ54" s="348"/>
      <c r="AK54" s="349"/>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2074</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 t="shared" si="2"/>
        <v>NA</v>
      </c>
      <c r="AL56" s="713"/>
    </row>
    <row r="57" spans="2:38" ht="18" customHeight="1" thickBot="1" x14ac:dyDescent="0.25">
      <c r="B57" s="2011"/>
      <c r="C57" s="2011"/>
      <c r="D57" s="2011"/>
      <c r="E57" s="2011"/>
      <c r="F57" s="2011"/>
      <c r="G57" s="2011"/>
      <c r="H57" s="2011"/>
      <c r="I57" s="2011"/>
      <c r="J57" s="2011"/>
      <c r="K57" s="2011"/>
      <c r="L57" s="2011"/>
      <c r="M57" s="2011"/>
      <c r="N57" s="2011"/>
      <c r="O57" s="2011"/>
      <c r="P57" s="2011"/>
      <c r="Q57" s="2011"/>
      <c r="R57" s="2011"/>
      <c r="S57" s="2011"/>
      <c r="T57" s="2011"/>
      <c r="U57" s="2011"/>
      <c r="V57" s="2011"/>
      <c r="W57" s="2011"/>
      <c r="X57" s="2011"/>
      <c r="Y57" s="2011"/>
      <c r="Z57" s="2011"/>
      <c r="AA57" s="2011"/>
      <c r="AB57" s="2011"/>
      <c r="AC57" s="2011"/>
      <c r="AD57" s="2011"/>
      <c r="AE57" s="2011"/>
      <c r="AF57" s="2011"/>
      <c r="AG57" s="2011"/>
      <c r="AH57" s="2011"/>
      <c r="AI57" s="2011"/>
      <c r="AJ57" s="2011"/>
      <c r="AK57" s="2011"/>
      <c r="AL57" s="19"/>
    </row>
    <row r="58" spans="2:38" ht="18" customHeight="1" x14ac:dyDescent="0.2">
      <c r="B58" s="772" t="s">
        <v>1721</v>
      </c>
      <c r="C58" s="2001"/>
      <c r="D58" s="2001"/>
      <c r="E58" s="2001"/>
      <c r="F58" s="2001"/>
      <c r="G58" s="2002"/>
      <c r="H58" s="2002"/>
      <c r="I58" s="2002"/>
      <c r="J58" s="2002"/>
      <c r="K58" s="2002"/>
      <c r="L58" s="2002"/>
      <c r="M58" s="2002"/>
      <c r="N58" s="2002"/>
      <c r="O58" s="2002"/>
      <c r="P58" s="2002"/>
      <c r="Q58" s="2002"/>
      <c r="R58" s="2002"/>
      <c r="S58" s="2002"/>
      <c r="T58" s="2002"/>
      <c r="U58" s="2002"/>
      <c r="V58" s="2002"/>
      <c r="W58" s="2002"/>
      <c r="X58" s="2002"/>
      <c r="Y58" s="2002"/>
      <c r="Z58" s="2002"/>
      <c r="AA58" s="2002"/>
      <c r="AB58" s="2002"/>
      <c r="AC58" s="2002"/>
      <c r="AD58" s="2002"/>
      <c r="AE58" s="2002"/>
      <c r="AF58" s="2002"/>
      <c r="AG58" s="2002"/>
      <c r="AH58" s="2002"/>
      <c r="AI58" s="2002"/>
      <c r="AJ58" s="2002"/>
      <c r="AK58" s="2003"/>
      <c r="AL58" s="713"/>
    </row>
    <row r="59" spans="2:38" ht="18" customHeight="1" x14ac:dyDescent="0.2">
      <c r="B59" s="1379" t="s">
        <v>110</v>
      </c>
      <c r="C59" s="1995"/>
      <c r="D59" s="1995"/>
      <c r="E59" s="4102">
        <f>SUM(E60:E61)</f>
        <v>6460.402</v>
      </c>
      <c r="F59" s="4102">
        <f t="shared" ref="F59:AJ59" si="8">SUM(F60:F61)</f>
        <v>6436.1739999999991</v>
      </c>
      <c r="G59" s="4102">
        <f t="shared" si="8"/>
        <v>6645.570999999999</v>
      </c>
      <c r="H59" s="4102">
        <f t="shared" si="8"/>
        <v>7050.375</v>
      </c>
      <c r="I59" s="4102">
        <f t="shared" si="8"/>
        <v>7431.5759999999991</v>
      </c>
      <c r="J59" s="4102">
        <f t="shared" si="8"/>
        <v>8613.7479999999996</v>
      </c>
      <c r="K59" s="4102">
        <f t="shared" si="8"/>
        <v>9111.0519999999997</v>
      </c>
      <c r="L59" s="4102">
        <f t="shared" si="8"/>
        <v>9141.9429999999993</v>
      </c>
      <c r="M59" s="4102">
        <f t="shared" si="8"/>
        <v>9532.9939999999988</v>
      </c>
      <c r="N59" s="4102">
        <f t="shared" si="8"/>
        <v>9804.7000000000007</v>
      </c>
      <c r="O59" s="4102">
        <f t="shared" si="8"/>
        <v>10192.668999999998</v>
      </c>
      <c r="P59" s="4102">
        <f t="shared" si="8"/>
        <v>10489.664999999999</v>
      </c>
      <c r="Q59" s="4102">
        <f t="shared" si="8"/>
        <v>9620.1779999999962</v>
      </c>
      <c r="R59" s="4102">
        <f t="shared" si="8"/>
        <v>8770.8212600000006</v>
      </c>
      <c r="S59" s="4102">
        <f t="shared" si="8"/>
        <v>9992.887999999999</v>
      </c>
      <c r="T59" s="4102">
        <f t="shared" si="8"/>
        <v>10948.224645759999</v>
      </c>
      <c r="U59" s="4102">
        <f t="shared" si="8"/>
        <v>11554.7</v>
      </c>
      <c r="V59" s="4102">
        <f t="shared" si="8"/>
        <v>11925.5122242</v>
      </c>
      <c r="W59" s="4102">
        <f t="shared" si="8"/>
        <v>12209.314722839999</v>
      </c>
      <c r="X59" s="4102">
        <f t="shared" si="8"/>
        <v>12188.047604479998</v>
      </c>
      <c r="Y59" s="4102">
        <f t="shared" si="8"/>
        <v>12442.13430304</v>
      </c>
      <c r="Z59" s="4102">
        <f t="shared" si="8"/>
        <v>11958.095999999998</v>
      </c>
      <c r="AA59" s="4102">
        <f t="shared" si="8"/>
        <v>12918.575500000003</v>
      </c>
      <c r="AB59" s="4102">
        <f t="shared" si="8"/>
        <v>12970.425499999999</v>
      </c>
      <c r="AC59" s="4102">
        <f t="shared" si="8"/>
        <v>14128.3205</v>
      </c>
      <c r="AD59" s="4102">
        <f t="shared" si="8"/>
        <v>14067.179558613647</v>
      </c>
      <c r="AE59" s="4102">
        <f t="shared" si="8"/>
        <v>15011.326463288071</v>
      </c>
      <c r="AF59" s="4102">
        <f t="shared" si="8"/>
        <v>16179.095613604841</v>
      </c>
      <c r="AG59" s="4102">
        <f t="shared" si="8"/>
        <v>16922.532561538646</v>
      </c>
      <c r="AH59" s="4102">
        <f t="shared" si="8"/>
        <v>17720.65496688</v>
      </c>
      <c r="AI59" s="4102">
        <f t="shared" si="8"/>
        <v>13888.5497904</v>
      </c>
      <c r="AJ59" s="4102">
        <f t="shared" si="8"/>
        <v>5244.5494330199999</v>
      </c>
      <c r="AK59" s="4082">
        <f t="shared" ref="AK59:AK65" si="9">IF(AJ59="NO",IF(E59="NO","NA",-100),IF(E59="NO",100,AJ59/E59*100-100))</f>
        <v>-18.820076010440218</v>
      </c>
      <c r="AL59" s="713"/>
    </row>
    <row r="60" spans="2:38" ht="18" customHeight="1" x14ac:dyDescent="0.2">
      <c r="B60" s="1371" t="s">
        <v>111</v>
      </c>
      <c r="C60" s="1995"/>
      <c r="D60" s="1995"/>
      <c r="E60" s="4068">
        <v>4382.7120000000004</v>
      </c>
      <c r="F60" s="4068">
        <v>4558.7999999999993</v>
      </c>
      <c r="G60" s="4068">
        <v>4837.1999999999989</v>
      </c>
      <c r="H60" s="4068">
        <v>5244.3600000000006</v>
      </c>
      <c r="I60" s="4068">
        <v>5396.7839999999997</v>
      </c>
      <c r="J60" s="4068">
        <v>5908.3440000000001</v>
      </c>
      <c r="K60" s="4068">
        <v>6363.5279999999984</v>
      </c>
      <c r="L60" s="4068">
        <v>6595.9919999999984</v>
      </c>
      <c r="M60" s="4068">
        <v>7293.3839999999991</v>
      </c>
      <c r="N60" s="4068">
        <v>7328.88</v>
      </c>
      <c r="O60" s="4068">
        <v>7394.3039999999983</v>
      </c>
      <c r="P60" s="4068">
        <v>7861.3199999999988</v>
      </c>
      <c r="Q60" s="4068">
        <v>6751.895999999997</v>
      </c>
      <c r="R60" s="4068">
        <v>5974.7841599999992</v>
      </c>
      <c r="S60" s="4068">
        <v>7173.6719999999996</v>
      </c>
      <c r="T60" s="4068">
        <v>8292.4826457599993</v>
      </c>
      <c r="U60" s="4068">
        <v>8393.76</v>
      </c>
      <c r="V60" s="4068">
        <v>9357.8260147199999</v>
      </c>
      <c r="W60" s="4068">
        <v>9271.6158911999992</v>
      </c>
      <c r="X60" s="4068">
        <v>9474.0236044799985</v>
      </c>
      <c r="Y60" s="4068">
        <v>10347.61730304</v>
      </c>
      <c r="Z60" s="4068">
        <v>10093.391999999998</v>
      </c>
      <c r="AA60" s="4068">
        <v>10472.016000000001</v>
      </c>
      <c r="AB60" s="4068">
        <v>11026.031999999999</v>
      </c>
      <c r="AC60" s="4068">
        <v>11893.248</v>
      </c>
      <c r="AD60" s="4068">
        <v>11822.063913813647</v>
      </c>
      <c r="AE60" s="4068">
        <v>12627.611555322994</v>
      </c>
      <c r="AF60" s="4068">
        <v>13613.098709328446</v>
      </c>
      <c r="AG60" s="4068">
        <v>14415.981132621524</v>
      </c>
      <c r="AH60" s="4068">
        <v>15338.735155679999</v>
      </c>
      <c r="AI60" s="4068">
        <v>11757.883683840002</v>
      </c>
      <c r="AJ60" s="4068">
        <v>3840.5573990400003</v>
      </c>
      <c r="AK60" s="4082">
        <f t="shared" si="9"/>
        <v>-12.370299507702086</v>
      </c>
      <c r="AL60" s="713"/>
    </row>
    <row r="61" spans="2:38" ht="18" customHeight="1" x14ac:dyDescent="0.2">
      <c r="B61" s="1380" t="s">
        <v>1503</v>
      </c>
      <c r="C61" s="1995"/>
      <c r="D61" s="1995"/>
      <c r="E61" s="4068">
        <v>2077.69</v>
      </c>
      <c r="F61" s="4068">
        <v>1877.374</v>
      </c>
      <c r="G61" s="4068">
        <v>1808.3709999999999</v>
      </c>
      <c r="H61" s="4068">
        <v>1806.0149999999999</v>
      </c>
      <c r="I61" s="4068">
        <v>2034.7919999999997</v>
      </c>
      <c r="J61" s="4068">
        <v>2705.404</v>
      </c>
      <c r="K61" s="4068">
        <v>2747.5240000000003</v>
      </c>
      <c r="L61" s="4068">
        <v>2545.951</v>
      </c>
      <c r="M61" s="4068">
        <v>2239.6099999999997</v>
      </c>
      <c r="N61" s="4068">
        <v>2475.8199999999997</v>
      </c>
      <c r="O61" s="4068">
        <v>2798.3650000000002</v>
      </c>
      <c r="P61" s="4068">
        <v>2628.3449999999998</v>
      </c>
      <c r="Q61" s="4068">
        <v>2868.2820000000002</v>
      </c>
      <c r="R61" s="4068">
        <v>2796.0371000000005</v>
      </c>
      <c r="S61" s="4068">
        <v>2819.2160000000003</v>
      </c>
      <c r="T61" s="4068">
        <v>2655.7420000000002</v>
      </c>
      <c r="U61" s="4068">
        <v>3160.9399999999996</v>
      </c>
      <c r="V61" s="4068">
        <v>2567.6862094799999</v>
      </c>
      <c r="W61" s="4068">
        <v>2937.6988316399998</v>
      </c>
      <c r="X61" s="4068">
        <v>2714.0239999999994</v>
      </c>
      <c r="Y61" s="4068">
        <v>2094.5169999999998</v>
      </c>
      <c r="Z61" s="4068">
        <v>1864.704</v>
      </c>
      <c r="AA61" s="4068">
        <v>2446.5595000000003</v>
      </c>
      <c r="AB61" s="4068">
        <v>1944.3934999999999</v>
      </c>
      <c r="AC61" s="4068">
        <v>2235.0724999999998</v>
      </c>
      <c r="AD61" s="4068">
        <v>2245.1156448000011</v>
      </c>
      <c r="AE61" s="4068">
        <v>2383.7149079650771</v>
      </c>
      <c r="AF61" s="4068">
        <v>2565.9969042763955</v>
      </c>
      <c r="AG61" s="4068">
        <v>2506.5514289171228</v>
      </c>
      <c r="AH61" s="4068">
        <v>2381.9198111999999</v>
      </c>
      <c r="AI61" s="4068">
        <v>2130.6661065599983</v>
      </c>
      <c r="AJ61" s="4068">
        <v>1403.9920339799992</v>
      </c>
      <c r="AK61" s="4082">
        <f t="shared" si="9"/>
        <v>-32.425336119440388</v>
      </c>
      <c r="AL61" s="713"/>
    </row>
    <row r="62" spans="2:38" ht="18" customHeight="1" x14ac:dyDescent="0.2">
      <c r="B62" s="1381" t="s">
        <v>113</v>
      </c>
      <c r="C62" s="1995"/>
      <c r="D62" s="1995"/>
      <c r="E62" s="4076" t="s">
        <v>2154</v>
      </c>
      <c r="F62" s="4076" t="s">
        <v>2154</v>
      </c>
      <c r="G62" s="4076" t="s">
        <v>2154</v>
      </c>
      <c r="H62" s="4076" t="s">
        <v>2154</v>
      </c>
      <c r="I62" s="4076" t="s">
        <v>2154</v>
      </c>
      <c r="J62" s="4076" t="s">
        <v>2154</v>
      </c>
      <c r="K62" s="4076" t="s">
        <v>2154</v>
      </c>
      <c r="L62" s="4076" t="s">
        <v>2154</v>
      </c>
      <c r="M62" s="4076" t="s">
        <v>2154</v>
      </c>
      <c r="N62" s="4076" t="s">
        <v>2154</v>
      </c>
      <c r="O62" s="4076" t="s">
        <v>2154</v>
      </c>
      <c r="P62" s="4076" t="s">
        <v>2154</v>
      </c>
      <c r="Q62" s="4076" t="s">
        <v>2154</v>
      </c>
      <c r="R62" s="4076" t="s">
        <v>2154</v>
      </c>
      <c r="S62" s="4076" t="s">
        <v>2154</v>
      </c>
      <c r="T62" s="4076" t="s">
        <v>2154</v>
      </c>
      <c r="U62" s="4076" t="s">
        <v>2154</v>
      </c>
      <c r="V62" s="4076" t="s">
        <v>2154</v>
      </c>
      <c r="W62" s="4076" t="s">
        <v>2154</v>
      </c>
      <c r="X62" s="4076" t="s">
        <v>2154</v>
      </c>
      <c r="Y62" s="4076" t="s">
        <v>2154</v>
      </c>
      <c r="Z62" s="4076" t="s">
        <v>2154</v>
      </c>
      <c r="AA62" s="4076" t="s">
        <v>2154</v>
      </c>
      <c r="AB62" s="4076" t="s">
        <v>2154</v>
      </c>
      <c r="AC62" s="4076" t="s">
        <v>2154</v>
      </c>
      <c r="AD62" s="4076" t="s">
        <v>2154</v>
      </c>
      <c r="AE62" s="4076" t="s">
        <v>2154</v>
      </c>
      <c r="AF62" s="4076" t="s">
        <v>2154</v>
      </c>
      <c r="AG62" s="4076" t="s">
        <v>2154</v>
      </c>
      <c r="AH62" s="4076" t="s">
        <v>2154</v>
      </c>
      <c r="AI62" s="4076" t="s">
        <v>2154</v>
      </c>
      <c r="AJ62" s="4076" t="s">
        <v>2154</v>
      </c>
      <c r="AK62" s="4082" t="s">
        <v>2147</v>
      </c>
      <c r="AL62" s="713"/>
    </row>
    <row r="63" spans="2:38" ht="18" customHeight="1" x14ac:dyDescent="0.2">
      <c r="B63" s="1379" t="s">
        <v>114</v>
      </c>
      <c r="C63" s="1995"/>
      <c r="D63" s="1995"/>
      <c r="E63" s="4068">
        <v>15142.26513</v>
      </c>
      <c r="F63" s="4068">
        <v>15017.922220000002</v>
      </c>
      <c r="G63" s="4068">
        <v>13705.034499999998</v>
      </c>
      <c r="H63" s="4068">
        <v>15366.505570000001</v>
      </c>
      <c r="I63" s="4068">
        <v>16319.267620000002</v>
      </c>
      <c r="J63" s="4068">
        <v>17109.553750000003</v>
      </c>
      <c r="K63" s="4068">
        <v>18140.992340000001</v>
      </c>
      <c r="L63" s="4068">
        <v>19020.636110000003</v>
      </c>
      <c r="M63" s="4068">
        <v>19328.68835</v>
      </c>
      <c r="N63" s="4068">
        <v>19067.450680000002</v>
      </c>
      <c r="O63" s="4068">
        <v>19243.867299999998</v>
      </c>
      <c r="P63" s="4068">
        <v>18429.667800000003</v>
      </c>
      <c r="Q63" s="4068">
        <v>16548.893514000003</v>
      </c>
      <c r="R63" s="4068">
        <v>18217.17606758629</v>
      </c>
      <c r="S63" s="4068">
        <v>18497.257284546271</v>
      </c>
      <c r="T63" s="4068">
        <v>19092.019215944791</v>
      </c>
      <c r="U63" s="4068">
        <v>19106.106086929161</v>
      </c>
      <c r="V63" s="4068">
        <v>19274.567221454996</v>
      </c>
      <c r="W63" s="4068">
        <v>19671.577561818198</v>
      </c>
      <c r="X63" s="4068">
        <v>14734.322020375806</v>
      </c>
      <c r="Y63" s="4068">
        <v>17225.562430001584</v>
      </c>
      <c r="Z63" s="4068">
        <v>16224.776122492674</v>
      </c>
      <c r="AA63" s="4068">
        <v>16595.144805259486</v>
      </c>
      <c r="AB63" s="4068">
        <v>18101.183278204775</v>
      </c>
      <c r="AC63" s="4068">
        <v>17928.42126602283</v>
      </c>
      <c r="AD63" s="4068">
        <v>19106.935055972721</v>
      </c>
      <c r="AE63" s="4068">
        <v>19096.838530978872</v>
      </c>
      <c r="AF63" s="4068">
        <v>20250.584990791504</v>
      </c>
      <c r="AG63" s="4068">
        <v>16465.223251645039</v>
      </c>
      <c r="AH63" s="4068">
        <v>15497.010619893939</v>
      </c>
      <c r="AI63" s="4068">
        <v>16307.706680631092</v>
      </c>
      <c r="AJ63" s="4068">
        <v>16816.091096385029</v>
      </c>
      <c r="AK63" s="4082">
        <f t="shared" si="9"/>
        <v>11.053999860752867</v>
      </c>
      <c r="AL63" s="713"/>
    </row>
    <row r="64" spans="2:38" ht="18" customHeight="1" x14ac:dyDescent="0.2">
      <c r="B64" s="1383" t="s">
        <v>1504</v>
      </c>
      <c r="C64" s="1995"/>
      <c r="D64" s="1995"/>
      <c r="E64" s="4076" t="s">
        <v>2146</v>
      </c>
      <c r="F64" s="4076" t="s">
        <v>2146</v>
      </c>
      <c r="G64" s="4076" t="s">
        <v>2146</v>
      </c>
      <c r="H64" s="4076" t="s">
        <v>2146</v>
      </c>
      <c r="I64" s="4076" t="s">
        <v>2146</v>
      </c>
      <c r="J64" s="4076" t="s">
        <v>2146</v>
      </c>
      <c r="K64" s="4076" t="s">
        <v>2146</v>
      </c>
      <c r="L64" s="4076" t="s">
        <v>2146</v>
      </c>
      <c r="M64" s="4076" t="s">
        <v>2146</v>
      </c>
      <c r="N64" s="4076" t="s">
        <v>2146</v>
      </c>
      <c r="O64" s="4076" t="s">
        <v>2146</v>
      </c>
      <c r="P64" s="4076" t="s">
        <v>2146</v>
      </c>
      <c r="Q64" s="4076" t="s">
        <v>2146</v>
      </c>
      <c r="R64" s="4076" t="s">
        <v>2146</v>
      </c>
      <c r="S64" s="4076" t="s">
        <v>2146</v>
      </c>
      <c r="T64" s="4076" t="s">
        <v>2146</v>
      </c>
      <c r="U64" s="4076" t="s">
        <v>2146</v>
      </c>
      <c r="V64" s="4076" t="s">
        <v>2146</v>
      </c>
      <c r="W64" s="4076" t="s">
        <v>2146</v>
      </c>
      <c r="X64" s="4076" t="s">
        <v>2146</v>
      </c>
      <c r="Y64" s="4076" t="s">
        <v>2146</v>
      </c>
      <c r="Z64" s="4076" t="s">
        <v>2146</v>
      </c>
      <c r="AA64" s="4076" t="s">
        <v>2146</v>
      </c>
      <c r="AB64" s="4076" t="s">
        <v>2146</v>
      </c>
      <c r="AC64" s="4076" t="s">
        <v>2146</v>
      </c>
      <c r="AD64" s="4076" t="s">
        <v>2146</v>
      </c>
      <c r="AE64" s="4076" t="s">
        <v>2146</v>
      </c>
      <c r="AF64" s="4076" t="s">
        <v>2146</v>
      </c>
      <c r="AG64" s="4076" t="s">
        <v>2146</v>
      </c>
      <c r="AH64" s="4076" t="s">
        <v>2146</v>
      </c>
      <c r="AI64" s="4068">
        <v>2720.328</v>
      </c>
      <c r="AJ64" s="4068">
        <v>2170.5940000000001</v>
      </c>
      <c r="AK64" s="4082">
        <f t="shared" si="9"/>
        <v>100</v>
      </c>
      <c r="AL64" s="713"/>
    </row>
    <row r="65" spans="2:38" ht="18" customHeight="1" x14ac:dyDescent="0.2">
      <c r="B65" s="1384" t="s">
        <v>1505</v>
      </c>
      <c r="C65" s="2229"/>
      <c r="D65" s="2229"/>
      <c r="E65" s="4068">
        <v>-186838.5274408925</v>
      </c>
      <c r="F65" s="4068">
        <v>-191072.90426935992</v>
      </c>
      <c r="G65" s="4068">
        <v>-195297.11549069456</v>
      </c>
      <c r="H65" s="4068">
        <v>-199463.90798235769</v>
      </c>
      <c r="I65" s="4068">
        <v>-203602.03176535841</v>
      </c>
      <c r="J65" s="4068">
        <v>-207830.41124779763</v>
      </c>
      <c r="K65" s="4068">
        <v>-212254.40872702294</v>
      </c>
      <c r="L65" s="4068">
        <v>-216632.26331277809</v>
      </c>
      <c r="M65" s="4068">
        <v>-221048.20759042792</v>
      </c>
      <c r="N65" s="4068">
        <v>-225660.25716917301</v>
      </c>
      <c r="O65" s="4068">
        <v>-230167.98373029524</v>
      </c>
      <c r="P65" s="4068">
        <v>-234968.98821381226</v>
      </c>
      <c r="Q65" s="4068">
        <v>-239603.90497733816</v>
      </c>
      <c r="R65" s="4068">
        <v>-244247.10098693217</v>
      </c>
      <c r="S65" s="4068">
        <v>-248987.38813341095</v>
      </c>
      <c r="T65" s="4068">
        <v>-254050.20007476967</v>
      </c>
      <c r="U65" s="4068">
        <v>-259123.55020694385</v>
      </c>
      <c r="V65" s="4068">
        <v>-264169.75243978453</v>
      </c>
      <c r="W65" s="4068">
        <v>-269080.37844852312</v>
      </c>
      <c r="X65" s="4068">
        <v>-273959.04669071984</v>
      </c>
      <c r="Y65" s="4068">
        <v>-278625.58622828347</v>
      </c>
      <c r="Z65" s="4068">
        <v>-283001.54557760881</v>
      </c>
      <c r="AA65" s="4068">
        <v>-287558.61443071772</v>
      </c>
      <c r="AB65" s="4068">
        <v>-291675.82092544105</v>
      </c>
      <c r="AC65" s="4068">
        <v>-295720.46673272207</v>
      </c>
      <c r="AD65" s="4068">
        <v>-299793.21230336587</v>
      </c>
      <c r="AE65" s="4068">
        <v>-303716.67515599198</v>
      </c>
      <c r="AF65" s="4068">
        <v>-307574.46863041777</v>
      </c>
      <c r="AG65" s="4068">
        <v>-311332.5287518152</v>
      </c>
      <c r="AH65" s="4068">
        <v>-315434.18682635197</v>
      </c>
      <c r="AI65" s="4068">
        <v>-319531.70392538008</v>
      </c>
      <c r="AJ65" s="4068">
        <v>-323573.66044693574</v>
      </c>
      <c r="AK65" s="4082">
        <f t="shared" si="9"/>
        <v>73.183585248122995</v>
      </c>
      <c r="AL65" s="19"/>
    </row>
    <row r="66" spans="2:38" ht="18" customHeight="1" thickBot="1" x14ac:dyDescent="0.25">
      <c r="B66" s="768" t="s">
        <v>1726</v>
      </c>
      <c r="C66" s="2008"/>
      <c r="D66" s="2008"/>
      <c r="E66" s="2008"/>
      <c r="F66" s="2008"/>
      <c r="G66" s="2009"/>
      <c r="H66" s="2009"/>
      <c r="I66" s="2009"/>
      <c r="J66" s="2009"/>
      <c r="K66" s="2009"/>
      <c r="L66" s="2009"/>
      <c r="M66" s="2009"/>
      <c r="N66" s="2009"/>
      <c r="O66" s="2009"/>
      <c r="P66" s="2009"/>
      <c r="Q66" s="2009"/>
      <c r="R66" s="2009"/>
      <c r="S66" s="2009"/>
      <c r="T66" s="2009"/>
      <c r="U66" s="2009"/>
      <c r="V66" s="2009"/>
      <c r="W66" s="2009"/>
      <c r="X66" s="2009"/>
      <c r="Y66" s="2009"/>
      <c r="Z66" s="2009"/>
      <c r="AA66" s="2009"/>
      <c r="AB66" s="2009"/>
      <c r="AC66" s="2009"/>
      <c r="AD66" s="2009"/>
      <c r="AE66" s="2009"/>
      <c r="AF66" s="2009"/>
      <c r="AG66" s="2009"/>
      <c r="AH66" s="2009"/>
      <c r="AI66" s="2009"/>
      <c r="AJ66" s="2009"/>
      <c r="AK66" s="2010"/>
    </row>
    <row r="67" spans="2:38" ht="18" customHeight="1" thickBot="1" x14ac:dyDescent="0.25">
      <c r="E67" s="682"/>
      <c r="F67" s="682"/>
      <c r="G67" s="682"/>
      <c r="H67" s="682"/>
      <c r="I67" s="682"/>
      <c r="J67" s="682"/>
      <c r="K67" s="682"/>
      <c r="L67" s="682"/>
      <c r="M67" s="682"/>
      <c r="N67" s="682"/>
      <c r="O67" s="682"/>
      <c r="P67" s="682"/>
      <c r="Q67" s="682"/>
      <c r="R67" s="682"/>
      <c r="S67" s="682"/>
      <c r="T67" s="682"/>
      <c r="U67" s="682"/>
      <c r="V67" s="682"/>
      <c r="W67" s="682"/>
      <c r="X67" s="682"/>
      <c r="Y67" s="682"/>
      <c r="Z67" s="682"/>
      <c r="AA67" s="682"/>
      <c r="AB67" s="682"/>
      <c r="AC67" s="682"/>
      <c r="AD67" s="682"/>
      <c r="AE67" s="682"/>
      <c r="AF67" s="682"/>
      <c r="AG67" s="682"/>
      <c r="AH67" s="682"/>
      <c r="AI67" s="682"/>
      <c r="AJ67" s="682"/>
      <c r="AK67" s="682"/>
    </row>
    <row r="68" spans="2:38" ht="18" customHeight="1" thickBot="1" x14ac:dyDescent="0.25">
      <c r="B68" s="769" t="s">
        <v>1727</v>
      </c>
      <c r="C68" s="2000"/>
      <c r="D68" s="2000"/>
      <c r="E68" s="4097" t="s">
        <v>2312</v>
      </c>
      <c r="F68" s="4097" t="s">
        <v>2312</v>
      </c>
      <c r="G68" s="4097" t="s">
        <v>2312</v>
      </c>
      <c r="H68" s="4097" t="s">
        <v>2312</v>
      </c>
      <c r="I68" s="4097" t="s">
        <v>2312</v>
      </c>
      <c r="J68" s="4097" t="s">
        <v>2312</v>
      </c>
      <c r="K68" s="4097" t="s">
        <v>2312</v>
      </c>
      <c r="L68" s="4097" t="s">
        <v>2312</v>
      </c>
      <c r="M68" s="4097" t="s">
        <v>2312</v>
      </c>
      <c r="N68" s="4097" t="s">
        <v>2312</v>
      </c>
      <c r="O68" s="4097" t="s">
        <v>2312</v>
      </c>
      <c r="P68" s="4097" t="s">
        <v>2312</v>
      </c>
      <c r="Q68" s="4097" t="s">
        <v>2312</v>
      </c>
      <c r="R68" s="4097" t="s">
        <v>2312</v>
      </c>
      <c r="S68" s="4097" t="s">
        <v>2312</v>
      </c>
      <c r="T68" s="4097" t="s">
        <v>2312</v>
      </c>
      <c r="U68" s="4097" t="s">
        <v>2312</v>
      </c>
      <c r="V68" s="4097" t="s">
        <v>2312</v>
      </c>
      <c r="W68" s="4097" t="s">
        <v>2312</v>
      </c>
      <c r="X68" s="4097" t="s">
        <v>2312</v>
      </c>
      <c r="Y68" s="4097" t="s">
        <v>2312</v>
      </c>
      <c r="Z68" s="4097" t="s">
        <v>2312</v>
      </c>
      <c r="AA68" s="4097" t="s">
        <v>2312</v>
      </c>
      <c r="AB68" s="4097" t="s">
        <v>2312</v>
      </c>
      <c r="AC68" s="4097" t="s">
        <v>2312</v>
      </c>
      <c r="AD68" s="4097" t="s">
        <v>2312</v>
      </c>
      <c r="AE68" s="4097" t="s">
        <v>2312</v>
      </c>
      <c r="AF68" s="4097" t="s">
        <v>2312</v>
      </c>
      <c r="AG68" s="4097" t="s">
        <v>2312</v>
      </c>
      <c r="AH68" s="4097" t="s">
        <v>2312</v>
      </c>
      <c r="AI68" s="4097" t="s">
        <v>2312</v>
      </c>
      <c r="AJ68" s="4097" t="s">
        <v>2312</v>
      </c>
      <c r="AK68" s="4103" t="s">
        <v>2147</v>
      </c>
    </row>
    <row r="69" spans="2:38" ht="18" customHeight="1" thickBot="1" x14ac:dyDescent="0.25">
      <c r="AK69" s="2012"/>
    </row>
    <row r="70" spans="2:38" ht="18" customHeight="1" x14ac:dyDescent="0.2">
      <c r="B70" s="770" t="s">
        <v>2130</v>
      </c>
      <c r="C70" s="1998"/>
      <c r="D70" s="1998"/>
      <c r="E70" s="4107">
        <f>SUM(E10,E21,E30,E50,E56)</f>
        <v>278160.26805526653</v>
      </c>
      <c r="F70" s="4107">
        <f t="shared" ref="F70:AJ70" si="10">SUM(F10,F21,F30,F50,F56)</f>
        <v>279534.03181228612</v>
      </c>
      <c r="G70" s="4107">
        <f t="shared" si="10"/>
        <v>284528.77332804789</v>
      </c>
      <c r="H70" s="4107">
        <f t="shared" si="10"/>
        <v>288873.50688492262</v>
      </c>
      <c r="I70" s="4107">
        <f t="shared" si="10"/>
        <v>293700.91957993741</v>
      </c>
      <c r="J70" s="4107">
        <f t="shared" si="10"/>
        <v>305055.58608645888</v>
      </c>
      <c r="K70" s="4107">
        <f t="shared" si="10"/>
        <v>311940.49449217174</v>
      </c>
      <c r="L70" s="4107">
        <f t="shared" si="10"/>
        <v>320332.75756245892</v>
      </c>
      <c r="M70" s="4107">
        <f t="shared" si="10"/>
        <v>334135.54509659437</v>
      </c>
      <c r="N70" s="4107">
        <f t="shared" si="10"/>
        <v>343959.20639615145</v>
      </c>
      <c r="O70" s="4107">
        <f t="shared" si="10"/>
        <v>350007.69574650691</v>
      </c>
      <c r="P70" s="4107">
        <f t="shared" si="10"/>
        <v>357783.39046354243</v>
      </c>
      <c r="Q70" s="4107">
        <f t="shared" si="10"/>
        <v>362536.53354913293</v>
      </c>
      <c r="R70" s="4107">
        <f t="shared" si="10"/>
        <v>369441.74104620941</v>
      </c>
      <c r="S70" s="4107">
        <f t="shared" si="10"/>
        <v>382873.45395480172</v>
      </c>
      <c r="T70" s="4107">
        <f t="shared" si="10"/>
        <v>386205.37511791976</v>
      </c>
      <c r="U70" s="4107">
        <f t="shared" si="10"/>
        <v>392436.33331443917</v>
      </c>
      <c r="V70" s="4107">
        <f t="shared" si="10"/>
        <v>399676.26031113707</v>
      </c>
      <c r="W70" s="4107">
        <f t="shared" si="10"/>
        <v>404255.69977468724</v>
      </c>
      <c r="X70" s="4107">
        <f t="shared" si="10"/>
        <v>407477.15568345896</v>
      </c>
      <c r="Y70" s="4107">
        <f t="shared" si="10"/>
        <v>405512.16983006388</v>
      </c>
      <c r="Z70" s="4107">
        <f t="shared" si="10"/>
        <v>404256.78948144638</v>
      </c>
      <c r="AA70" s="4107">
        <f t="shared" si="10"/>
        <v>406579.73074237694</v>
      </c>
      <c r="AB70" s="4107">
        <f t="shared" si="10"/>
        <v>399288.01113635505</v>
      </c>
      <c r="AC70" s="4107">
        <f t="shared" si="10"/>
        <v>393049.37137247092</v>
      </c>
      <c r="AD70" s="4107">
        <f t="shared" si="10"/>
        <v>401378.36030336434</v>
      </c>
      <c r="AE70" s="4107">
        <f t="shared" si="10"/>
        <v>410253.59318126354</v>
      </c>
      <c r="AF70" s="4107">
        <f t="shared" si="10"/>
        <v>413655.46471556515</v>
      </c>
      <c r="AG70" s="4107">
        <f t="shared" si="10"/>
        <v>415350.72045333055</v>
      </c>
      <c r="AH70" s="4107">
        <f t="shared" si="10"/>
        <v>415811.27005672717</v>
      </c>
      <c r="AI70" s="4107">
        <f t="shared" si="10"/>
        <v>399405.49779973278</v>
      </c>
      <c r="AJ70" s="4107">
        <f t="shared" si="10"/>
        <v>388777.52950856066</v>
      </c>
      <c r="AK70" s="4087">
        <f t="shared" ref="AK70:AK71" si="11">IF(AJ70="NO",IF(E70="NO","NA",-100),IF(E70="NO",100,AJ70/E70*100-100))</f>
        <v>39.767455728550004</v>
      </c>
    </row>
    <row r="71" spans="2:38" ht="18" customHeight="1" x14ac:dyDescent="0.2">
      <c r="B71" s="771" t="s">
        <v>2131</v>
      </c>
      <c r="C71" s="1995"/>
      <c r="D71" s="1995"/>
      <c r="E71" s="4068">
        <f>SUM(E70,E41)</f>
        <v>451741.62831893959</v>
      </c>
      <c r="F71" s="4068">
        <f t="shared" ref="F71:AJ71" si="12">SUM(F70,F41)</f>
        <v>439341.82550684205</v>
      </c>
      <c r="G71" s="4068">
        <f t="shared" si="12"/>
        <v>377828.83068512147</v>
      </c>
      <c r="H71" s="4068">
        <f t="shared" si="12"/>
        <v>360984.05964909209</v>
      </c>
      <c r="I71" s="4068">
        <f t="shared" si="12"/>
        <v>361667.93862424081</v>
      </c>
      <c r="J71" s="4068">
        <f t="shared" si="12"/>
        <v>348075.40034182055</v>
      </c>
      <c r="K71" s="4068">
        <f t="shared" si="12"/>
        <v>355297.00460252597</v>
      </c>
      <c r="L71" s="4068">
        <f t="shared" si="12"/>
        <v>352203.16243617068</v>
      </c>
      <c r="M71" s="4068">
        <f t="shared" si="12"/>
        <v>353346.18960000837</v>
      </c>
      <c r="N71" s="4068">
        <f t="shared" si="12"/>
        <v>370978.31579456636</v>
      </c>
      <c r="O71" s="4068">
        <f t="shared" si="12"/>
        <v>389883.26444769622</v>
      </c>
      <c r="P71" s="4068">
        <f t="shared" si="12"/>
        <v>410933.30140591221</v>
      </c>
      <c r="Q71" s="4068">
        <f t="shared" si="12"/>
        <v>407434.13570502802</v>
      </c>
      <c r="R71" s="4068">
        <f t="shared" si="12"/>
        <v>424404.81102360139</v>
      </c>
      <c r="S71" s="4068">
        <f t="shared" si="12"/>
        <v>416096.33595123363</v>
      </c>
      <c r="T71" s="4068">
        <f t="shared" si="12"/>
        <v>443673.13651708735</v>
      </c>
      <c r="U71" s="4068">
        <f t="shared" si="12"/>
        <v>454289.46254824416</v>
      </c>
      <c r="V71" s="4068">
        <f t="shared" si="12"/>
        <v>468786.29567253083</v>
      </c>
      <c r="W71" s="4068">
        <f t="shared" si="12"/>
        <v>460170.35455976438</v>
      </c>
      <c r="X71" s="4068">
        <f t="shared" si="12"/>
        <v>461119.87343517161</v>
      </c>
      <c r="Y71" s="4068">
        <f t="shared" si="12"/>
        <v>446668.42883700272</v>
      </c>
      <c r="Z71" s="4068">
        <f t="shared" si="12"/>
        <v>423745.87394956278</v>
      </c>
      <c r="AA71" s="4068">
        <f t="shared" si="12"/>
        <v>409527.1006864892</v>
      </c>
      <c r="AB71" s="4068">
        <f t="shared" si="12"/>
        <v>393380.90857843566</v>
      </c>
      <c r="AC71" s="4068">
        <f t="shared" si="12"/>
        <v>389471.72227860283</v>
      </c>
      <c r="AD71" s="4068">
        <f t="shared" si="12"/>
        <v>375219.56430851849</v>
      </c>
      <c r="AE71" s="4068">
        <f t="shared" si="12"/>
        <v>349339.45979783888</v>
      </c>
      <c r="AF71" s="4068">
        <f t="shared" si="12"/>
        <v>342637.41942929709</v>
      </c>
      <c r="AG71" s="4068">
        <f t="shared" si="12"/>
        <v>349825.36614013097</v>
      </c>
      <c r="AH71" s="4068">
        <f t="shared" si="12"/>
        <v>348366.06295424199</v>
      </c>
      <c r="AI71" s="4068">
        <f t="shared" si="12"/>
        <v>340318.55911006808</v>
      </c>
      <c r="AJ71" s="4068">
        <f t="shared" si="12"/>
        <v>309393.85854948277</v>
      </c>
      <c r="AK71" s="4082">
        <f t="shared" si="11"/>
        <v>-31.510881629212207</v>
      </c>
    </row>
    <row r="72" spans="2:38" ht="18" customHeight="1" x14ac:dyDescent="0.2">
      <c r="B72" s="771" t="s">
        <v>2132</v>
      </c>
      <c r="C72" s="1995"/>
      <c r="D72" s="1995"/>
      <c r="E72" s="4077" t="s">
        <v>2147</v>
      </c>
      <c r="F72" s="4077" t="s">
        <v>2147</v>
      </c>
      <c r="G72" s="4077" t="s">
        <v>2147</v>
      </c>
      <c r="H72" s="4077" t="s">
        <v>2147</v>
      </c>
      <c r="I72" s="4077" t="s">
        <v>2147</v>
      </c>
      <c r="J72" s="4077" t="s">
        <v>2147</v>
      </c>
      <c r="K72" s="4077" t="s">
        <v>2147</v>
      </c>
      <c r="L72" s="4077" t="s">
        <v>2147</v>
      </c>
      <c r="M72" s="4077" t="s">
        <v>2147</v>
      </c>
      <c r="N72" s="4077" t="s">
        <v>2147</v>
      </c>
      <c r="O72" s="4077" t="s">
        <v>2147</v>
      </c>
      <c r="P72" s="4077" t="s">
        <v>2147</v>
      </c>
      <c r="Q72" s="4077" t="s">
        <v>2147</v>
      </c>
      <c r="R72" s="4077" t="s">
        <v>2147</v>
      </c>
      <c r="S72" s="4077" t="s">
        <v>2147</v>
      </c>
      <c r="T72" s="4077" t="s">
        <v>2147</v>
      </c>
      <c r="U72" s="4077" t="s">
        <v>2147</v>
      </c>
      <c r="V72" s="4077" t="s">
        <v>2147</v>
      </c>
      <c r="W72" s="4077" t="s">
        <v>2147</v>
      </c>
      <c r="X72" s="4077" t="s">
        <v>2147</v>
      </c>
      <c r="Y72" s="4077" t="s">
        <v>2147</v>
      </c>
      <c r="Z72" s="4077" t="s">
        <v>2147</v>
      </c>
      <c r="AA72" s="4077" t="s">
        <v>2147</v>
      </c>
      <c r="AB72" s="4077" t="s">
        <v>2147</v>
      </c>
      <c r="AC72" s="4077" t="s">
        <v>2147</v>
      </c>
      <c r="AD72" s="4077" t="s">
        <v>2147</v>
      </c>
      <c r="AE72" s="4077" t="s">
        <v>2147</v>
      </c>
      <c r="AF72" s="4077" t="s">
        <v>2147</v>
      </c>
      <c r="AG72" s="4077" t="s">
        <v>2147</v>
      </c>
      <c r="AH72" s="4077" t="s">
        <v>2147</v>
      </c>
      <c r="AI72" s="4077" t="s">
        <v>2147</v>
      </c>
      <c r="AJ72" s="4077" t="s">
        <v>2147</v>
      </c>
      <c r="AK72" s="4082" t="s">
        <v>2147</v>
      </c>
    </row>
    <row r="73" spans="2:38" ht="18" customHeight="1" thickBot="1" x14ac:dyDescent="0.25">
      <c r="B73" s="2531" t="s">
        <v>2129</v>
      </c>
      <c r="C73" s="2013"/>
      <c r="D73" s="2013"/>
      <c r="E73" s="4080" t="s">
        <v>2147</v>
      </c>
      <c r="F73" s="4080" t="s">
        <v>2147</v>
      </c>
      <c r="G73" s="4080" t="s">
        <v>2147</v>
      </c>
      <c r="H73" s="4080" t="s">
        <v>2147</v>
      </c>
      <c r="I73" s="4080" t="s">
        <v>2147</v>
      </c>
      <c r="J73" s="4080" t="s">
        <v>2147</v>
      </c>
      <c r="K73" s="4080" t="s">
        <v>2147</v>
      </c>
      <c r="L73" s="4080" t="s">
        <v>2147</v>
      </c>
      <c r="M73" s="4080" t="s">
        <v>2147</v>
      </c>
      <c r="N73" s="4080" t="s">
        <v>2147</v>
      </c>
      <c r="O73" s="4080" t="s">
        <v>2147</v>
      </c>
      <c r="P73" s="4080" t="s">
        <v>2147</v>
      </c>
      <c r="Q73" s="4080" t="s">
        <v>2147</v>
      </c>
      <c r="R73" s="4080" t="s">
        <v>2147</v>
      </c>
      <c r="S73" s="4080" t="s">
        <v>2147</v>
      </c>
      <c r="T73" s="4080" t="s">
        <v>2147</v>
      </c>
      <c r="U73" s="4080" t="s">
        <v>2147</v>
      </c>
      <c r="V73" s="4080" t="s">
        <v>2147</v>
      </c>
      <c r="W73" s="4080" t="s">
        <v>2147</v>
      </c>
      <c r="X73" s="4080" t="s">
        <v>2147</v>
      </c>
      <c r="Y73" s="4080" t="s">
        <v>2147</v>
      </c>
      <c r="Z73" s="4080" t="s">
        <v>2147</v>
      </c>
      <c r="AA73" s="4080" t="s">
        <v>2147</v>
      </c>
      <c r="AB73" s="4080" t="s">
        <v>2147</v>
      </c>
      <c r="AC73" s="4080" t="s">
        <v>2147</v>
      </c>
      <c r="AD73" s="4080" t="s">
        <v>2147</v>
      </c>
      <c r="AE73" s="4080" t="s">
        <v>2147</v>
      </c>
      <c r="AF73" s="4080" t="s">
        <v>2147</v>
      </c>
      <c r="AG73" s="4080" t="s">
        <v>2147</v>
      </c>
      <c r="AH73" s="4080" t="s">
        <v>2147</v>
      </c>
      <c r="AI73" s="4080" t="s">
        <v>2147</v>
      </c>
      <c r="AJ73" s="4080" t="s">
        <v>2147</v>
      </c>
      <c r="AK73" s="4084" t="s">
        <v>2147</v>
      </c>
    </row>
    <row r="74" spans="2:38" ht="12" customHeight="1" x14ac:dyDescent="0.2">
      <c r="B74" s="634"/>
    </row>
    <row r="75" spans="2:38" ht="12" customHeight="1" x14ac:dyDescent="0.2">
      <c r="B75" s="2015"/>
      <c r="C75" s="2015"/>
      <c r="D75" s="2015"/>
    </row>
  </sheetData>
  <dataValidations count="1">
    <dataValidation allowBlank="1" showInputMessage="1" showErrorMessage="1" sqref="E75:AK65538 E67:AK67 B1 C1:D9 C76:D65538 B68:B65538 B3:B66 AL1:KB1048576 AK1:AK9 E1:AJ8"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L7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9.140625" customWidth="1"/>
    <col min="37" max="37" width="11.42578125" customWidth="1"/>
    <col min="38" max="38" width="10.85546875" customWidth="1"/>
    <col min="39" max="40" width="9.140625" customWidth="1"/>
    <col min="41" max="41" width="9" customWidth="1"/>
    <col min="42" max="42" width="8.5703125" customWidth="1"/>
    <col min="43" max="44" width="9" customWidth="1"/>
    <col min="45" max="45" width="9.140625" customWidth="1"/>
    <col min="46" max="46" width="9.5703125" customWidth="1"/>
    <col min="47" max="47" width="9.140625" customWidth="1"/>
    <col min="48" max="48" width="9" customWidth="1"/>
    <col min="49" max="49" width="8.85546875" customWidth="1"/>
    <col min="50" max="50" width="8.5703125" customWidth="1"/>
    <col min="51" max="51" width="9.5703125" customWidth="1"/>
    <col min="52" max="52" width="8" customWidth="1"/>
    <col min="53" max="53" width="9" customWidth="1"/>
    <col min="54" max="54" width="9.5703125" customWidth="1"/>
    <col min="55" max="55" width="10.85546875" customWidth="1"/>
    <col min="56" max="56" width="9.140625" customWidth="1"/>
    <col min="57" max="57" width="8.5703125" customWidth="1"/>
    <col min="58" max="58" width="8.85546875" customWidth="1"/>
  </cols>
  <sheetData>
    <row r="1" spans="2:38" ht="17.25" customHeight="1" x14ac:dyDescent="0.2">
      <c r="B1" s="753" t="s">
        <v>1706</v>
      </c>
      <c r="AK1" s="14" t="s">
        <v>2521</v>
      </c>
    </row>
    <row r="2" spans="2:38" ht="15.75" customHeight="1" x14ac:dyDescent="0.2">
      <c r="B2" s="753" t="s">
        <v>1728</v>
      </c>
      <c r="AK2" s="14" t="s">
        <v>2522</v>
      </c>
    </row>
    <row r="3" spans="2:38" ht="15.75" customHeight="1" x14ac:dyDescent="0.2">
      <c r="B3" s="753" t="s">
        <v>1729</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0"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1"/>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2">
        <f>SUM(E11,E17,E20)</f>
        <v>1310.3339481307389</v>
      </c>
      <c r="F10" s="4072">
        <f t="shared" ref="F10:AJ10" si="0">SUM(F11,F17,F20)</f>
        <v>1299.2288818725997</v>
      </c>
      <c r="G10" s="4072">
        <f t="shared" si="0"/>
        <v>1361.1543789293742</v>
      </c>
      <c r="H10" s="4072">
        <f t="shared" si="0"/>
        <v>1326.4641252508593</v>
      </c>
      <c r="I10" s="4072">
        <f t="shared" si="0"/>
        <v>1255.6847026846635</v>
      </c>
      <c r="J10" s="4072">
        <f t="shared" si="0"/>
        <v>1306.6486982418116</v>
      </c>
      <c r="K10" s="4072">
        <f t="shared" si="0"/>
        <v>1298.6906133938785</v>
      </c>
      <c r="L10" s="4072">
        <f t="shared" si="0"/>
        <v>1406.3554064519606</v>
      </c>
      <c r="M10" s="4072">
        <f t="shared" si="0"/>
        <v>1437.3141428118861</v>
      </c>
      <c r="N10" s="4072">
        <f t="shared" si="0"/>
        <v>1307.2679893744455</v>
      </c>
      <c r="O10" s="4072">
        <f t="shared" si="0"/>
        <v>1397.2257451067094</v>
      </c>
      <c r="P10" s="4072">
        <f t="shared" si="0"/>
        <v>1386.4653338912947</v>
      </c>
      <c r="Q10" s="4072">
        <f t="shared" si="0"/>
        <v>1335.3140884653776</v>
      </c>
      <c r="R10" s="4072">
        <f t="shared" si="0"/>
        <v>1300.73113413534</v>
      </c>
      <c r="S10" s="4072">
        <f t="shared" si="0"/>
        <v>1303.9023985495382</v>
      </c>
      <c r="T10" s="4072">
        <f t="shared" si="0"/>
        <v>1367.9050237981301</v>
      </c>
      <c r="U10" s="4072">
        <f t="shared" si="0"/>
        <v>1391.6847672179999</v>
      </c>
      <c r="V10" s="4072">
        <f t="shared" si="0"/>
        <v>1479.0584567626638</v>
      </c>
      <c r="W10" s="4072">
        <f t="shared" si="0"/>
        <v>1453.428496546265</v>
      </c>
      <c r="X10" s="4072">
        <f t="shared" si="0"/>
        <v>1428.7291130169035</v>
      </c>
      <c r="Y10" s="4072">
        <f t="shared" si="0"/>
        <v>1409.911564227614</v>
      </c>
      <c r="Z10" s="4072">
        <f t="shared" si="0"/>
        <v>1355.9211473562937</v>
      </c>
      <c r="AA10" s="4072">
        <f t="shared" si="0"/>
        <v>1371.1416623141854</v>
      </c>
      <c r="AB10" s="4072">
        <f t="shared" si="0"/>
        <v>1373.9909876919205</v>
      </c>
      <c r="AC10" s="4072">
        <f t="shared" si="0"/>
        <v>1289.0713477541747</v>
      </c>
      <c r="AD10" s="4072">
        <f t="shared" si="0"/>
        <v>1419.7758512521241</v>
      </c>
      <c r="AE10" s="4072">
        <f t="shared" si="0"/>
        <v>1413.6206561987417</v>
      </c>
      <c r="AF10" s="4072">
        <f t="shared" si="0"/>
        <v>1395.5021687004028</v>
      </c>
      <c r="AG10" s="4072">
        <f t="shared" si="0"/>
        <v>1430.3765588980289</v>
      </c>
      <c r="AH10" s="4072">
        <f t="shared" si="0"/>
        <v>1355.7555078167695</v>
      </c>
      <c r="AI10" s="4072">
        <f t="shared" si="0"/>
        <v>1369.4251224433492</v>
      </c>
      <c r="AJ10" s="4072">
        <f t="shared" si="0"/>
        <v>1264.9280356992635</v>
      </c>
      <c r="AK10" s="4070">
        <f>IF(AJ10="NO",IF(E10="NO","NA",-100),IF(E10="NO",100,AJ10/E10*100))</f>
        <v>96.53478317521656</v>
      </c>
      <c r="AL10" s="713"/>
    </row>
    <row r="11" spans="2:38" ht="18" customHeight="1" x14ac:dyDescent="0.2">
      <c r="B11" s="1370" t="s">
        <v>1477</v>
      </c>
      <c r="C11" s="1995"/>
      <c r="D11" s="1995"/>
      <c r="E11" s="4067">
        <f>SUM(E12:E16)</f>
        <v>131.64849530369335</v>
      </c>
      <c r="F11" s="4067">
        <f t="shared" ref="F11:AJ11" si="1">SUM(F12:F16)</f>
        <v>134.01977686044222</v>
      </c>
      <c r="G11" s="4067">
        <f t="shared" si="1"/>
        <v>137.42769839021483</v>
      </c>
      <c r="H11" s="4067">
        <f t="shared" si="1"/>
        <v>138.72529194693621</v>
      </c>
      <c r="I11" s="4067">
        <f t="shared" si="1"/>
        <v>136.23020456311929</v>
      </c>
      <c r="J11" s="4067">
        <f t="shared" si="1"/>
        <v>133.83324662665999</v>
      </c>
      <c r="K11" s="4067">
        <f t="shared" si="1"/>
        <v>131.16558533728835</v>
      </c>
      <c r="L11" s="4067">
        <f t="shared" si="1"/>
        <v>128.54219617695568</v>
      </c>
      <c r="M11" s="4067">
        <f t="shared" si="1"/>
        <v>122.71031809767517</v>
      </c>
      <c r="N11" s="4067">
        <f t="shared" si="1"/>
        <v>115.72716495081889</v>
      </c>
      <c r="O11" s="4067">
        <f t="shared" si="1"/>
        <v>110.38570112255135</v>
      </c>
      <c r="P11" s="4067">
        <f t="shared" si="1"/>
        <v>107.76108400182407</v>
      </c>
      <c r="Q11" s="4067">
        <f t="shared" si="1"/>
        <v>96.643076039675975</v>
      </c>
      <c r="R11" s="4067">
        <f t="shared" si="1"/>
        <v>94.010696579061545</v>
      </c>
      <c r="S11" s="4067">
        <f t="shared" si="1"/>
        <v>92.301478096089568</v>
      </c>
      <c r="T11" s="4067">
        <f t="shared" si="1"/>
        <v>87.329642705160865</v>
      </c>
      <c r="U11" s="4067">
        <f t="shared" si="1"/>
        <v>85.418449411312352</v>
      </c>
      <c r="V11" s="4067">
        <f t="shared" si="1"/>
        <v>82.703649507558552</v>
      </c>
      <c r="W11" s="4067">
        <f t="shared" si="1"/>
        <v>81.359383932283677</v>
      </c>
      <c r="X11" s="4067">
        <f t="shared" si="1"/>
        <v>85.852319846765141</v>
      </c>
      <c r="Y11" s="4067">
        <f t="shared" si="1"/>
        <v>84.554024651012881</v>
      </c>
      <c r="Z11" s="4067">
        <f t="shared" si="1"/>
        <v>76.294853548971417</v>
      </c>
      <c r="AA11" s="4067">
        <f t="shared" si="1"/>
        <v>79.593072950773092</v>
      </c>
      <c r="AB11" s="4067">
        <f t="shared" si="1"/>
        <v>78.337254726344071</v>
      </c>
      <c r="AC11" s="4067">
        <f t="shared" si="1"/>
        <v>82.044489156400061</v>
      </c>
      <c r="AD11" s="4067">
        <f t="shared" si="1"/>
        <v>83.95757421835016</v>
      </c>
      <c r="AE11" s="4067">
        <f t="shared" si="1"/>
        <v>90.758636839887131</v>
      </c>
      <c r="AF11" s="4067">
        <f t="shared" si="1"/>
        <v>87.894410076416818</v>
      </c>
      <c r="AG11" s="4067">
        <f t="shared" si="1"/>
        <v>90.31721273105795</v>
      </c>
      <c r="AH11" s="4067">
        <f t="shared" si="1"/>
        <v>85.553214536326905</v>
      </c>
      <c r="AI11" s="4067">
        <f t="shared" si="1"/>
        <v>75.235434365460989</v>
      </c>
      <c r="AJ11" s="4067">
        <f t="shared" si="1"/>
        <v>75.501786408602953</v>
      </c>
      <c r="AK11" s="4070">
        <f t="shared" ref="AK11:AK55" si="2">IF(AJ11="NO",IF(E11="NO","NA",-100),IF(E11="NO",100,AJ11/E11*100-100))</f>
        <v>-42.64895604432725</v>
      </c>
      <c r="AL11" s="713"/>
    </row>
    <row r="12" spans="2:38" ht="18" customHeight="1" x14ac:dyDescent="0.2">
      <c r="B12" s="1371" t="s">
        <v>1478</v>
      </c>
      <c r="C12" s="1995"/>
      <c r="D12" s="1995"/>
      <c r="E12" s="4067">
        <v>6.1186320590812242</v>
      </c>
      <c r="F12" s="4067">
        <v>5.9268696876790408</v>
      </c>
      <c r="G12" s="4067">
        <v>5.9263413265839846</v>
      </c>
      <c r="H12" s="4067">
        <v>6.3275784013714631</v>
      </c>
      <c r="I12" s="4067">
        <v>6.1152369580272783</v>
      </c>
      <c r="J12" s="4067">
        <v>6.5376064039523971</v>
      </c>
      <c r="K12" s="4067">
        <v>6.7796808300286431</v>
      </c>
      <c r="L12" s="4067">
        <v>7.0619913656581117</v>
      </c>
      <c r="M12" s="4067">
        <v>9.0829981985042814</v>
      </c>
      <c r="N12" s="4067">
        <v>9.2514407336421911</v>
      </c>
      <c r="O12" s="4067">
        <v>11.512880320574343</v>
      </c>
      <c r="P12" s="4067">
        <v>11.898502837957112</v>
      </c>
      <c r="Q12" s="4067">
        <v>12.967320809346326</v>
      </c>
      <c r="R12" s="4067">
        <v>11.783802744971164</v>
      </c>
      <c r="S12" s="4067">
        <v>12.46491743602536</v>
      </c>
      <c r="T12" s="4067">
        <v>12.322588679942788</v>
      </c>
      <c r="U12" s="4067">
        <v>12.694811733811814</v>
      </c>
      <c r="V12" s="4067">
        <v>12.976423252243976</v>
      </c>
      <c r="W12" s="4067">
        <v>14.444937477271948</v>
      </c>
      <c r="X12" s="4067">
        <v>22.726523867498472</v>
      </c>
      <c r="Y12" s="4067">
        <v>23.319372409311185</v>
      </c>
      <c r="Z12" s="4067">
        <v>18.099816419509192</v>
      </c>
      <c r="AA12" s="4067">
        <v>21.855790518752066</v>
      </c>
      <c r="AB12" s="4067">
        <v>20.62510036962248</v>
      </c>
      <c r="AC12" s="4067">
        <v>25.930326874531275</v>
      </c>
      <c r="AD12" s="4067">
        <v>29.102627636751954</v>
      </c>
      <c r="AE12" s="4067">
        <v>36.677666204314733</v>
      </c>
      <c r="AF12" s="4067">
        <v>34.442975620134305</v>
      </c>
      <c r="AG12" s="4067">
        <v>38.132491277266602</v>
      </c>
      <c r="AH12" s="4067">
        <v>34.704600850721185</v>
      </c>
      <c r="AI12" s="4067">
        <v>25.959035044746592</v>
      </c>
      <c r="AJ12" s="4067">
        <v>26.230928769500562</v>
      </c>
      <c r="AK12" s="4070">
        <f t="shared" si="2"/>
        <v>328.70577142433052</v>
      </c>
      <c r="AL12" s="713"/>
    </row>
    <row r="13" spans="2:38" ht="18" customHeight="1" x14ac:dyDescent="0.2">
      <c r="B13" s="1371" t="s">
        <v>1714</v>
      </c>
      <c r="C13" s="1995"/>
      <c r="D13" s="1995"/>
      <c r="E13" s="4067">
        <v>2.0601759875475629</v>
      </c>
      <c r="F13" s="4067">
        <v>1.9969221605944103</v>
      </c>
      <c r="G13" s="4067">
        <v>1.8768319445806718</v>
      </c>
      <c r="H13" s="4067">
        <v>2.0534969404210646</v>
      </c>
      <c r="I13" s="4067">
        <v>2.1736378686004083</v>
      </c>
      <c r="J13" s="4067">
        <v>2.2323579497327772</v>
      </c>
      <c r="K13" s="4067">
        <v>2.282099769200272</v>
      </c>
      <c r="L13" s="4067">
        <v>2.2444637673842895</v>
      </c>
      <c r="M13" s="4067">
        <v>2.2801350775648839</v>
      </c>
      <c r="N13" s="4067">
        <v>2.2860942612837483</v>
      </c>
      <c r="O13" s="4067">
        <v>2.2553832630245503</v>
      </c>
      <c r="P13" s="4067">
        <v>2.0965495511887657</v>
      </c>
      <c r="Q13" s="4067">
        <v>2.0836131048420281</v>
      </c>
      <c r="R13" s="4067">
        <v>2.1155076904562615</v>
      </c>
      <c r="S13" s="4067">
        <v>2.1866889799163558</v>
      </c>
      <c r="T13" s="4067">
        <v>2.2807165005110797</v>
      </c>
      <c r="U13" s="4067">
        <v>2.3473627845463243</v>
      </c>
      <c r="V13" s="4067">
        <v>2.3972548946445906</v>
      </c>
      <c r="W13" s="4067">
        <v>2.4757433501601489</v>
      </c>
      <c r="X13" s="4067">
        <v>1.9433927180238113</v>
      </c>
      <c r="Y13" s="4067">
        <v>2.2729561877469568</v>
      </c>
      <c r="Z13" s="4067">
        <v>2.2771555451650731</v>
      </c>
      <c r="AA13" s="4067">
        <v>2.3859153362339529</v>
      </c>
      <c r="AB13" s="4067">
        <v>2.5643379299736306</v>
      </c>
      <c r="AC13" s="4067">
        <v>2.453644551257713</v>
      </c>
      <c r="AD13" s="4067">
        <v>2.487283231883914</v>
      </c>
      <c r="AE13" s="4067">
        <v>2.4401913306976417</v>
      </c>
      <c r="AF13" s="4067">
        <v>2.4190682450155365</v>
      </c>
      <c r="AG13" s="4067">
        <v>2.3685642924102202</v>
      </c>
      <c r="AH13" s="4067">
        <v>2.3125617341369731</v>
      </c>
      <c r="AI13" s="4067">
        <v>2.3030871302376172</v>
      </c>
      <c r="AJ13" s="4067">
        <v>2.4416790854535915</v>
      </c>
      <c r="AK13" s="4070">
        <f t="shared" si="2"/>
        <v>18.517985852275203</v>
      </c>
      <c r="AL13" s="713"/>
    </row>
    <row r="14" spans="2:38" ht="18" customHeight="1" x14ac:dyDescent="0.2">
      <c r="B14" s="1371" t="s">
        <v>1480</v>
      </c>
      <c r="C14" s="1995"/>
      <c r="D14" s="1995"/>
      <c r="E14" s="4067">
        <v>26.345084452755312</v>
      </c>
      <c r="F14" s="4067">
        <v>26.299583078796022</v>
      </c>
      <c r="G14" s="4067">
        <v>26.995806612722227</v>
      </c>
      <c r="H14" s="4067">
        <v>27.840137407231449</v>
      </c>
      <c r="I14" s="4067">
        <v>28.585998302606633</v>
      </c>
      <c r="J14" s="4067">
        <v>29.66892980636533</v>
      </c>
      <c r="K14" s="4067">
        <v>30.182723238911798</v>
      </c>
      <c r="L14" s="4067">
        <v>30.23862509934866</v>
      </c>
      <c r="M14" s="4067">
        <v>29.313779273523515</v>
      </c>
      <c r="N14" s="4067">
        <v>28.743196804964064</v>
      </c>
      <c r="O14" s="4067">
        <v>27.31868202573267</v>
      </c>
      <c r="P14" s="4067">
        <v>26.005576130187176</v>
      </c>
      <c r="Q14" s="4067">
        <v>26.322056482199383</v>
      </c>
      <c r="R14" s="4067">
        <v>25.494761080052626</v>
      </c>
      <c r="S14" s="4067">
        <v>24.925571185755999</v>
      </c>
      <c r="T14" s="4067">
        <v>21.999872819520611</v>
      </c>
      <c r="U14" s="4067">
        <v>21.266576747645065</v>
      </c>
      <c r="V14" s="4067">
        <v>19.897530862982173</v>
      </c>
      <c r="W14" s="4067">
        <v>18.758514318479609</v>
      </c>
      <c r="X14" s="4067">
        <v>18.13114358740712</v>
      </c>
      <c r="Y14" s="4067">
        <v>17.768473944052399</v>
      </c>
      <c r="Z14" s="4067">
        <v>16.650163181185562</v>
      </c>
      <c r="AA14" s="4067">
        <v>16.072969608646797</v>
      </c>
      <c r="AB14" s="4067">
        <v>15.858493963481155</v>
      </c>
      <c r="AC14" s="4067">
        <v>15.150794815782337</v>
      </c>
      <c r="AD14" s="4067">
        <v>15.183220360497987</v>
      </c>
      <c r="AE14" s="4067">
        <v>14.852551284650866</v>
      </c>
      <c r="AF14" s="4067">
        <v>14.526986693017141</v>
      </c>
      <c r="AG14" s="4067">
        <v>13.740095915565121</v>
      </c>
      <c r="AH14" s="4067">
        <v>13.009350887962416</v>
      </c>
      <c r="AI14" s="4067">
        <v>11.934919586479168</v>
      </c>
      <c r="AJ14" s="4067">
        <v>11.926455206684665</v>
      </c>
      <c r="AK14" s="4070">
        <f t="shared" si="2"/>
        <v>-54.729865345194092</v>
      </c>
      <c r="AL14" s="713"/>
    </row>
    <row r="15" spans="2:38" ht="18" customHeight="1" x14ac:dyDescent="0.2">
      <c r="B15" s="1371" t="s">
        <v>1481</v>
      </c>
      <c r="C15" s="1995"/>
      <c r="D15" s="1995"/>
      <c r="E15" s="4067">
        <v>97.098418812831696</v>
      </c>
      <c r="F15" s="4067">
        <v>99.776396301818636</v>
      </c>
      <c r="G15" s="4067">
        <v>102.60616375731036</v>
      </c>
      <c r="H15" s="4067">
        <v>102.48215411770663</v>
      </c>
      <c r="I15" s="4067">
        <v>99.326474883855113</v>
      </c>
      <c r="J15" s="4067">
        <v>95.358090135267915</v>
      </c>
      <c r="K15" s="4067">
        <v>91.878256817728357</v>
      </c>
      <c r="L15" s="4067">
        <v>88.953625740979575</v>
      </c>
      <c r="M15" s="4067">
        <v>82.000511244687715</v>
      </c>
      <c r="N15" s="4067">
        <v>75.416760793136476</v>
      </c>
      <c r="O15" s="4067">
        <v>69.271785605908889</v>
      </c>
      <c r="P15" s="4067">
        <v>67.737047234830726</v>
      </c>
      <c r="Q15" s="4067">
        <v>55.246256990482443</v>
      </c>
      <c r="R15" s="4067">
        <v>54.595157607074029</v>
      </c>
      <c r="S15" s="4067">
        <v>52.702605381084553</v>
      </c>
      <c r="T15" s="4067">
        <v>50.704665290848759</v>
      </c>
      <c r="U15" s="4067">
        <v>49.087427960582247</v>
      </c>
      <c r="V15" s="4067">
        <v>47.397092365394315</v>
      </c>
      <c r="W15" s="4067">
        <v>45.646983038924155</v>
      </c>
      <c r="X15" s="4067">
        <v>43.022614033889141</v>
      </c>
      <c r="Y15" s="4067">
        <v>41.162161193649617</v>
      </c>
      <c r="Z15" s="4067">
        <v>39.236250707710077</v>
      </c>
      <c r="AA15" s="4067">
        <v>39.246759312967512</v>
      </c>
      <c r="AB15" s="4067">
        <v>39.261587318862517</v>
      </c>
      <c r="AC15" s="4067">
        <v>38.476159169123576</v>
      </c>
      <c r="AD15" s="4067">
        <v>37.157189392663291</v>
      </c>
      <c r="AE15" s="4067">
        <v>36.752074103333207</v>
      </c>
      <c r="AF15" s="4067">
        <v>36.474432107691499</v>
      </c>
      <c r="AG15" s="4067">
        <v>36.039131203241489</v>
      </c>
      <c r="AH15" s="4067">
        <v>35.494562276256097</v>
      </c>
      <c r="AI15" s="4067">
        <v>35.000691490876186</v>
      </c>
      <c r="AJ15" s="4067">
        <v>34.877742717429072</v>
      </c>
      <c r="AK15" s="4070">
        <f t="shared" si="2"/>
        <v>-64.080009598652779</v>
      </c>
      <c r="AL15" s="713"/>
    </row>
    <row r="16" spans="2:38" ht="18" customHeight="1" x14ac:dyDescent="0.2">
      <c r="B16" s="1371" t="s">
        <v>1482</v>
      </c>
      <c r="C16" s="1995"/>
      <c r="D16" s="1995"/>
      <c r="E16" s="4067">
        <v>2.6183991477554312E-2</v>
      </c>
      <c r="F16" s="4067">
        <v>2.0005631554104654E-2</v>
      </c>
      <c r="G16" s="4067">
        <v>2.2554749017587167E-2</v>
      </c>
      <c r="H16" s="4067">
        <v>2.1925080205596772E-2</v>
      </c>
      <c r="I16" s="4067">
        <v>2.885655002984349E-2</v>
      </c>
      <c r="J16" s="4067">
        <v>3.6262331341550436E-2</v>
      </c>
      <c r="K16" s="4067">
        <v>4.2824681419295102E-2</v>
      </c>
      <c r="L16" s="4067">
        <v>4.3490203585043824E-2</v>
      </c>
      <c r="M16" s="4067">
        <v>3.2894303394768613E-2</v>
      </c>
      <c r="N16" s="4067">
        <v>2.9672357792401564E-2</v>
      </c>
      <c r="O16" s="4067">
        <v>2.6969907310903072E-2</v>
      </c>
      <c r="P16" s="4067">
        <v>2.3408247660300877E-2</v>
      </c>
      <c r="Q16" s="4067">
        <v>2.3828652805809997E-2</v>
      </c>
      <c r="R16" s="4067">
        <v>2.1467456507467515E-2</v>
      </c>
      <c r="S16" s="4067">
        <v>2.1695113307296923E-2</v>
      </c>
      <c r="T16" s="4067">
        <v>2.1799414337642809E-2</v>
      </c>
      <c r="U16" s="4067">
        <v>2.2270184726905787E-2</v>
      </c>
      <c r="V16" s="4067">
        <v>3.5348132293496093E-2</v>
      </c>
      <c r="W16" s="4067">
        <v>3.3205747447811136E-2</v>
      </c>
      <c r="X16" s="4067">
        <v>2.8645639946599452E-2</v>
      </c>
      <c r="Y16" s="4067">
        <v>3.1060916252709372E-2</v>
      </c>
      <c r="Z16" s="4067">
        <v>3.1467695401520869E-2</v>
      </c>
      <c r="AA16" s="4067">
        <v>3.1638174172767992E-2</v>
      </c>
      <c r="AB16" s="4067">
        <v>2.7735144404283964E-2</v>
      </c>
      <c r="AC16" s="4067">
        <v>3.3563745705155655E-2</v>
      </c>
      <c r="AD16" s="4067">
        <v>2.7253596553021842E-2</v>
      </c>
      <c r="AE16" s="4067">
        <v>3.6153916890682418E-2</v>
      </c>
      <c r="AF16" s="4067">
        <v>3.0947410558325845E-2</v>
      </c>
      <c r="AG16" s="4067">
        <v>3.6930042574526749E-2</v>
      </c>
      <c r="AH16" s="4067">
        <v>3.2138787250246034E-2</v>
      </c>
      <c r="AI16" s="4067">
        <v>3.770111312142347E-2</v>
      </c>
      <c r="AJ16" s="4067">
        <v>2.4980629535066193E-2</v>
      </c>
      <c r="AK16" s="4070">
        <f t="shared" si="2"/>
        <v>-4.5957925991523325</v>
      </c>
      <c r="AL16" s="713"/>
    </row>
    <row r="17" spans="2:38" ht="18" customHeight="1" x14ac:dyDescent="0.2">
      <c r="B17" s="1370" t="s">
        <v>99</v>
      </c>
      <c r="C17" s="1995"/>
      <c r="D17" s="1995"/>
      <c r="E17" s="4067">
        <f>SUM(E18:E19)</f>
        <v>1178.6854528270455</v>
      </c>
      <c r="F17" s="4067">
        <f t="shared" ref="F17:AJ17" si="3">SUM(F18:F19)</f>
        <v>1165.2091050121576</v>
      </c>
      <c r="G17" s="4067">
        <f t="shared" si="3"/>
        <v>1223.7266805391594</v>
      </c>
      <c r="H17" s="4067">
        <f t="shared" si="3"/>
        <v>1187.738833303923</v>
      </c>
      <c r="I17" s="4067">
        <f t="shared" si="3"/>
        <v>1119.4544981215442</v>
      </c>
      <c r="J17" s="4067">
        <f t="shared" si="3"/>
        <v>1172.8154516151517</v>
      </c>
      <c r="K17" s="4067">
        <f t="shared" si="3"/>
        <v>1167.5250280565901</v>
      </c>
      <c r="L17" s="4067">
        <f t="shared" si="3"/>
        <v>1277.8132102750048</v>
      </c>
      <c r="M17" s="4067">
        <f t="shared" si="3"/>
        <v>1314.603824714211</v>
      </c>
      <c r="N17" s="4067">
        <f t="shared" si="3"/>
        <v>1191.5408244236266</v>
      </c>
      <c r="O17" s="4067">
        <f t="shared" si="3"/>
        <v>1286.840043984158</v>
      </c>
      <c r="P17" s="4067">
        <f t="shared" si="3"/>
        <v>1278.7042498894707</v>
      </c>
      <c r="Q17" s="4067">
        <f t="shared" si="3"/>
        <v>1238.6710124257015</v>
      </c>
      <c r="R17" s="4067">
        <f t="shared" si="3"/>
        <v>1206.7204375562785</v>
      </c>
      <c r="S17" s="4067">
        <f t="shared" si="3"/>
        <v>1211.6009204534487</v>
      </c>
      <c r="T17" s="4067">
        <f t="shared" si="3"/>
        <v>1280.5753810929691</v>
      </c>
      <c r="U17" s="4067">
        <f t="shared" si="3"/>
        <v>1306.2663178066875</v>
      </c>
      <c r="V17" s="4067">
        <f t="shared" si="3"/>
        <v>1396.3548072551052</v>
      </c>
      <c r="W17" s="4067">
        <f t="shared" si="3"/>
        <v>1372.0691126139814</v>
      </c>
      <c r="X17" s="4067">
        <f t="shared" si="3"/>
        <v>1342.8767931701384</v>
      </c>
      <c r="Y17" s="4067">
        <f t="shared" si="3"/>
        <v>1325.3575395766011</v>
      </c>
      <c r="Z17" s="4067">
        <f t="shared" si="3"/>
        <v>1279.6262938073223</v>
      </c>
      <c r="AA17" s="4067">
        <f t="shared" si="3"/>
        <v>1291.5485893634122</v>
      </c>
      <c r="AB17" s="4067">
        <f t="shared" si="3"/>
        <v>1295.6537329655764</v>
      </c>
      <c r="AC17" s="4067">
        <f t="shared" si="3"/>
        <v>1207.0268585977747</v>
      </c>
      <c r="AD17" s="4067">
        <f t="shared" si="3"/>
        <v>1335.8182770337739</v>
      </c>
      <c r="AE17" s="4067">
        <f t="shared" si="3"/>
        <v>1322.8620193588545</v>
      </c>
      <c r="AF17" s="4067">
        <f t="shared" si="3"/>
        <v>1307.607758623986</v>
      </c>
      <c r="AG17" s="4067">
        <f t="shared" si="3"/>
        <v>1340.059346166971</v>
      </c>
      <c r="AH17" s="4067">
        <f t="shared" si="3"/>
        <v>1270.2022932804425</v>
      </c>
      <c r="AI17" s="4067">
        <f t="shared" si="3"/>
        <v>1294.1896880778881</v>
      </c>
      <c r="AJ17" s="4067">
        <f t="shared" si="3"/>
        <v>1189.4262492906605</v>
      </c>
      <c r="AK17" s="4070">
        <f t="shared" si="2"/>
        <v>0.91125214431495749</v>
      </c>
      <c r="AL17" s="713"/>
    </row>
    <row r="18" spans="2:38" ht="18" customHeight="1" x14ac:dyDescent="0.2">
      <c r="B18" s="1371" t="s">
        <v>1483</v>
      </c>
      <c r="C18" s="1995"/>
      <c r="D18" s="1995"/>
      <c r="E18" s="4067">
        <v>871.21359774724658</v>
      </c>
      <c r="F18" s="4067">
        <v>885.67165362847061</v>
      </c>
      <c r="G18" s="4067">
        <v>923.41465424178068</v>
      </c>
      <c r="H18" s="4067">
        <v>930.10552581145873</v>
      </c>
      <c r="I18" s="4067">
        <v>856.22313762968645</v>
      </c>
      <c r="J18" s="4067">
        <v>857.13278009731755</v>
      </c>
      <c r="K18" s="4067">
        <v>876.49239842513839</v>
      </c>
      <c r="L18" s="4067">
        <v>973.656088470236</v>
      </c>
      <c r="M18" s="4067">
        <v>1013.9194201286596</v>
      </c>
      <c r="N18" s="4067">
        <v>944.00510612910682</v>
      </c>
      <c r="O18" s="4067">
        <v>1016.506945512368</v>
      </c>
      <c r="P18" s="4067">
        <v>1006.6319903444866</v>
      </c>
      <c r="Q18" s="4067">
        <v>982.85774666992177</v>
      </c>
      <c r="R18" s="4067">
        <v>970.73263555937899</v>
      </c>
      <c r="S18" s="4067">
        <v>990.26963733266223</v>
      </c>
      <c r="T18" s="4067">
        <v>1068.3535637368489</v>
      </c>
      <c r="U18" s="4067">
        <v>1100.0892930957064</v>
      </c>
      <c r="V18" s="4067">
        <v>1192.8147241358829</v>
      </c>
      <c r="W18" s="4067">
        <v>1163.4500821496765</v>
      </c>
      <c r="X18" s="4067">
        <v>1139.2162164153622</v>
      </c>
      <c r="Y18" s="4067">
        <v>1101.9535441721314</v>
      </c>
      <c r="Z18" s="4067">
        <v>1070.369537034255</v>
      </c>
      <c r="AA18" s="4067">
        <v>1071.3959969149528</v>
      </c>
      <c r="AB18" s="4067">
        <v>1065.6667339707167</v>
      </c>
      <c r="AC18" s="4067">
        <v>994.09948450951879</v>
      </c>
      <c r="AD18" s="4067">
        <v>1098.9890253266331</v>
      </c>
      <c r="AE18" s="4067">
        <v>1089.3872744132705</v>
      </c>
      <c r="AF18" s="4067">
        <v>1044.4121123204254</v>
      </c>
      <c r="AG18" s="4067">
        <v>1066.0864761177475</v>
      </c>
      <c r="AH18" s="4067">
        <v>976.07213624065878</v>
      </c>
      <c r="AI18" s="4067">
        <v>1010.1822443262216</v>
      </c>
      <c r="AJ18" s="4067">
        <v>919.61512931749985</v>
      </c>
      <c r="AK18" s="4070">
        <f t="shared" si="2"/>
        <v>5.5556446427613508</v>
      </c>
      <c r="AL18" s="713"/>
    </row>
    <row r="19" spans="2:38" ht="18" customHeight="1" x14ac:dyDescent="0.2">
      <c r="B19" s="1415" t="s">
        <v>1484</v>
      </c>
      <c r="C19" s="1995"/>
      <c r="D19" s="1995"/>
      <c r="E19" s="4067">
        <v>307.47185507979884</v>
      </c>
      <c r="F19" s="4067">
        <v>279.53745138368691</v>
      </c>
      <c r="G19" s="4067">
        <v>300.31202629737868</v>
      </c>
      <c r="H19" s="4067">
        <v>257.63330749246416</v>
      </c>
      <c r="I19" s="4067">
        <v>263.23136049185774</v>
      </c>
      <c r="J19" s="4067">
        <v>315.68267151783425</v>
      </c>
      <c r="K19" s="4067">
        <v>291.03262963145175</v>
      </c>
      <c r="L19" s="4067">
        <v>304.15712180476879</v>
      </c>
      <c r="M19" s="4067">
        <v>300.68440458555153</v>
      </c>
      <c r="N19" s="4067">
        <v>247.53571829451985</v>
      </c>
      <c r="O19" s="4067">
        <v>270.33309847179009</v>
      </c>
      <c r="P19" s="4067">
        <v>272.07225954498415</v>
      </c>
      <c r="Q19" s="4067">
        <v>255.81326575577987</v>
      </c>
      <c r="R19" s="4067">
        <v>235.98780199689961</v>
      </c>
      <c r="S19" s="4067">
        <v>221.33128312078648</v>
      </c>
      <c r="T19" s="4067">
        <v>212.22181735612031</v>
      </c>
      <c r="U19" s="4067">
        <v>206.17702471098124</v>
      </c>
      <c r="V19" s="4067">
        <v>203.54008311922229</v>
      </c>
      <c r="W19" s="4067">
        <v>208.61903046430487</v>
      </c>
      <c r="X19" s="4067">
        <v>203.6605767547762</v>
      </c>
      <c r="Y19" s="4067">
        <v>223.40399540446975</v>
      </c>
      <c r="Z19" s="4067">
        <v>209.25675677306728</v>
      </c>
      <c r="AA19" s="4067">
        <v>220.15259244845959</v>
      </c>
      <c r="AB19" s="4067">
        <v>229.98699899485973</v>
      </c>
      <c r="AC19" s="4067">
        <v>212.92737408825582</v>
      </c>
      <c r="AD19" s="4067">
        <v>236.8292517071408</v>
      </c>
      <c r="AE19" s="4067">
        <v>233.47474494558409</v>
      </c>
      <c r="AF19" s="4067">
        <v>263.19564630356058</v>
      </c>
      <c r="AG19" s="4067">
        <v>273.97287004922345</v>
      </c>
      <c r="AH19" s="4067">
        <v>294.13015703978374</v>
      </c>
      <c r="AI19" s="4067">
        <v>284.00744375166653</v>
      </c>
      <c r="AJ19" s="4067">
        <v>269.81111997316054</v>
      </c>
      <c r="AK19" s="4070">
        <f t="shared" si="2"/>
        <v>-12.248514615057744</v>
      </c>
      <c r="AL19" s="713"/>
    </row>
    <row r="20" spans="2:38" ht="18" customHeight="1" thickBot="1" x14ac:dyDescent="0.25">
      <c r="B20" s="1416" t="s">
        <v>1485</v>
      </c>
      <c r="C20" s="354"/>
      <c r="D20" s="354"/>
      <c r="E20" s="354"/>
      <c r="F20" s="354"/>
      <c r="G20" s="1997"/>
      <c r="H20" s="1997"/>
      <c r="I20" s="1997"/>
      <c r="J20" s="1997"/>
      <c r="K20" s="1997"/>
      <c r="L20" s="1997"/>
      <c r="M20" s="1997"/>
      <c r="N20" s="1997"/>
      <c r="O20" s="1997"/>
      <c r="P20" s="1997"/>
      <c r="Q20" s="1997"/>
      <c r="R20" s="1997"/>
      <c r="S20" s="1997"/>
      <c r="T20" s="1997"/>
      <c r="U20" s="1997"/>
      <c r="V20" s="1997"/>
      <c r="W20" s="1997"/>
      <c r="X20" s="1997"/>
      <c r="Y20" s="1997"/>
      <c r="Z20" s="1997"/>
      <c r="AA20" s="1997"/>
      <c r="AB20" s="1997"/>
      <c r="AC20" s="1997"/>
      <c r="AD20" s="1997"/>
      <c r="AE20" s="1997"/>
      <c r="AF20" s="1997"/>
      <c r="AG20" s="1997"/>
      <c r="AH20" s="1997"/>
      <c r="AI20" s="1997"/>
      <c r="AJ20" s="1997"/>
      <c r="AK20" s="355"/>
      <c r="AL20" s="713"/>
    </row>
    <row r="21" spans="2:38" ht="18" customHeight="1" x14ac:dyDescent="0.2">
      <c r="B21" s="770" t="s">
        <v>1486</v>
      </c>
      <c r="C21" s="1998"/>
      <c r="D21" s="1998"/>
      <c r="E21" s="4073">
        <f>SUM(E22:E29)</f>
        <v>3.2646478675884056</v>
      </c>
      <c r="F21" s="4073">
        <f t="shared" ref="F21:AJ21" si="4">SUM(F22:F29)</f>
        <v>3.0036935116052974</v>
      </c>
      <c r="G21" s="4073">
        <f t="shared" si="4"/>
        <v>3.2901835568798088</v>
      </c>
      <c r="H21" s="4073">
        <f t="shared" si="4"/>
        <v>3.3297997938387418</v>
      </c>
      <c r="I21" s="4073">
        <f t="shared" si="4"/>
        <v>3.7189238505149307</v>
      </c>
      <c r="J21" s="4073">
        <f t="shared" si="4"/>
        <v>3.9338473991294824</v>
      </c>
      <c r="K21" s="4073">
        <f t="shared" si="4"/>
        <v>4.0173867709945856</v>
      </c>
      <c r="L21" s="4073">
        <f t="shared" si="4"/>
        <v>3.933880206206898</v>
      </c>
      <c r="M21" s="4073">
        <f t="shared" si="4"/>
        <v>4.1110775527353738</v>
      </c>
      <c r="N21" s="4073">
        <f t="shared" si="4"/>
        <v>3.8379454129081627</v>
      </c>
      <c r="O21" s="4073">
        <f t="shared" si="4"/>
        <v>3.4697004486426084</v>
      </c>
      <c r="P21" s="4073">
        <f t="shared" si="4"/>
        <v>3.2395559717251121</v>
      </c>
      <c r="Q21" s="4073">
        <f t="shared" si="4"/>
        <v>3.2138601525442039</v>
      </c>
      <c r="R21" s="4073">
        <f t="shared" si="4"/>
        <v>3.4579758501316786</v>
      </c>
      <c r="S21" s="4073">
        <f t="shared" si="4"/>
        <v>3.451872741649618</v>
      </c>
      <c r="T21" s="4073">
        <f t="shared" si="4"/>
        <v>3.2715399904394378</v>
      </c>
      <c r="U21" s="4073">
        <f t="shared" si="4"/>
        <v>3.5465822636148943</v>
      </c>
      <c r="V21" s="4073">
        <f t="shared" si="4"/>
        <v>3.5721409116313096</v>
      </c>
      <c r="W21" s="4073">
        <f t="shared" si="4"/>
        <v>3.5741170618019251</v>
      </c>
      <c r="X21" s="4073">
        <f t="shared" si="4"/>
        <v>3.0859087494495152</v>
      </c>
      <c r="Y21" s="4073">
        <f t="shared" si="4"/>
        <v>3.69447887454705</v>
      </c>
      <c r="Z21" s="4073">
        <f t="shared" si="4"/>
        <v>3.9036652335588573</v>
      </c>
      <c r="AA21" s="4073">
        <f t="shared" si="4"/>
        <v>3.0130608782400001</v>
      </c>
      <c r="AB21" s="4073">
        <f t="shared" si="4"/>
        <v>2.7391028704162332</v>
      </c>
      <c r="AC21" s="4073">
        <f t="shared" si="4"/>
        <v>2.6007179785275616</v>
      </c>
      <c r="AD21" s="4073">
        <f t="shared" si="4"/>
        <v>2.7469845446239813</v>
      </c>
      <c r="AE21" s="4073">
        <f t="shared" si="4"/>
        <v>2.7870911391122748</v>
      </c>
      <c r="AF21" s="4073">
        <f t="shared" si="4"/>
        <v>2.7952381600731924</v>
      </c>
      <c r="AG21" s="4073">
        <f t="shared" si="4"/>
        <v>2.9530858210214426</v>
      </c>
      <c r="AH21" s="4073">
        <f t="shared" si="4"/>
        <v>2.8812401145691959</v>
      </c>
      <c r="AI21" s="4073">
        <f t="shared" si="4"/>
        <v>2.858517065785743</v>
      </c>
      <c r="AJ21" s="4073">
        <f t="shared" si="4"/>
        <v>2.9333302277832134</v>
      </c>
      <c r="AK21" s="4087">
        <f t="shared" si="2"/>
        <v>-10.148648590695828</v>
      </c>
      <c r="AL21" s="713"/>
    </row>
    <row r="22" spans="2:38" ht="18" customHeight="1" x14ac:dyDescent="0.2">
      <c r="B22" s="1133" t="s">
        <v>1487</v>
      </c>
      <c r="C22" s="354"/>
      <c r="D22" s="354"/>
      <c r="E22" s="354"/>
      <c r="F22" s="354"/>
      <c r="G22" s="1997"/>
      <c r="H22" s="1997"/>
      <c r="I22" s="1997"/>
      <c r="J22" s="1997"/>
      <c r="K22" s="1997"/>
      <c r="L22" s="1997"/>
      <c r="M22" s="1997"/>
      <c r="N22" s="1997"/>
      <c r="O22" s="1997"/>
      <c r="P22" s="1997"/>
      <c r="Q22" s="1997"/>
      <c r="R22" s="1997"/>
      <c r="S22" s="1997"/>
      <c r="T22" s="1997"/>
      <c r="U22" s="1997"/>
      <c r="V22" s="1997"/>
      <c r="W22" s="1997"/>
      <c r="X22" s="1997"/>
      <c r="Y22" s="1997"/>
      <c r="Z22" s="1997"/>
      <c r="AA22" s="1997"/>
      <c r="AB22" s="1997"/>
      <c r="AC22" s="1997"/>
      <c r="AD22" s="1997"/>
      <c r="AE22" s="1997"/>
      <c r="AF22" s="1997"/>
      <c r="AG22" s="1997"/>
      <c r="AH22" s="1997"/>
      <c r="AI22" s="1997"/>
      <c r="AJ22" s="1997"/>
      <c r="AK22" s="4086"/>
      <c r="AL22" s="713"/>
    </row>
    <row r="23" spans="2:38" ht="18" customHeight="1" x14ac:dyDescent="0.2">
      <c r="B23" s="1133" t="s">
        <v>621</v>
      </c>
      <c r="C23" s="1995"/>
      <c r="D23" s="1995"/>
      <c r="E23" s="4067">
        <v>0.43762607399999998</v>
      </c>
      <c r="F23" s="4067">
        <v>0.40365533799999997</v>
      </c>
      <c r="G23" s="4067">
        <v>0.40760881599999998</v>
      </c>
      <c r="H23" s="4067">
        <v>0.32070190399999998</v>
      </c>
      <c r="I23" s="4067">
        <v>0.39836147800000005</v>
      </c>
      <c r="J23" s="4067">
        <v>0.52038379999999995</v>
      </c>
      <c r="K23" s="4067">
        <v>0.59478379999999997</v>
      </c>
      <c r="L23" s="4067">
        <v>0.56978379999999995</v>
      </c>
      <c r="M23" s="4067">
        <v>0.51080000000000003</v>
      </c>
      <c r="N23" s="4067">
        <v>0.48208379999999995</v>
      </c>
      <c r="O23" s="4067">
        <v>0.57868379999999997</v>
      </c>
      <c r="P23" s="4067">
        <v>0.48708379999999996</v>
      </c>
      <c r="Q23" s="4067">
        <v>0.50438379999999994</v>
      </c>
      <c r="R23" s="4067">
        <v>0.57658379999999998</v>
      </c>
      <c r="S23" s="4067">
        <v>0.55288379999999993</v>
      </c>
      <c r="T23" s="4067">
        <v>0.55338379999999998</v>
      </c>
      <c r="U23" s="4067">
        <v>0.5693838</v>
      </c>
      <c r="V23" s="4067">
        <v>0.57348379999999999</v>
      </c>
      <c r="W23" s="4067">
        <v>0.57776359999999993</v>
      </c>
      <c r="X23" s="4067">
        <v>0.57776359999999993</v>
      </c>
      <c r="Y23" s="4067">
        <v>0.57776359999999993</v>
      </c>
      <c r="Z23" s="4067">
        <v>0.57776359999999993</v>
      </c>
      <c r="AA23" s="4067">
        <v>0.57776360000000004</v>
      </c>
      <c r="AB23" s="4067">
        <v>0.57776359999999993</v>
      </c>
      <c r="AC23" s="4067">
        <v>0.57776359999999993</v>
      </c>
      <c r="AD23" s="4067">
        <v>0.57776359999999993</v>
      </c>
      <c r="AE23" s="4067">
        <v>0.5417227</v>
      </c>
      <c r="AF23" s="4067">
        <v>0.43359999999999999</v>
      </c>
      <c r="AG23" s="4067">
        <v>0.43359999999999999</v>
      </c>
      <c r="AH23" s="4067">
        <v>0.43359999999999999</v>
      </c>
      <c r="AI23" s="4067">
        <v>0.43359999999999999</v>
      </c>
      <c r="AJ23" s="4067">
        <v>0.43359999999999999</v>
      </c>
      <c r="AK23" s="4101">
        <f t="shared" si="2"/>
        <v>-0.91998037575795877</v>
      </c>
      <c r="AL23" s="713"/>
    </row>
    <row r="24" spans="2:38" ht="18" customHeight="1" x14ac:dyDescent="0.2">
      <c r="B24" s="1133" t="s">
        <v>459</v>
      </c>
      <c r="C24" s="1995"/>
      <c r="D24" s="1995"/>
      <c r="E24" s="4067">
        <v>2.8270217935884054</v>
      </c>
      <c r="F24" s="4067">
        <v>2.6000381736052973</v>
      </c>
      <c r="G24" s="4067">
        <v>2.882574740879809</v>
      </c>
      <c r="H24" s="4067">
        <v>3.0090978898387419</v>
      </c>
      <c r="I24" s="4067">
        <v>3.3205623725149307</v>
      </c>
      <c r="J24" s="4067">
        <v>3.4134635991294826</v>
      </c>
      <c r="K24" s="4067">
        <v>3.422602970994586</v>
      </c>
      <c r="L24" s="4067">
        <v>3.3640964062068983</v>
      </c>
      <c r="M24" s="4067">
        <v>3.6002775527353736</v>
      </c>
      <c r="N24" s="4067">
        <v>3.3558616129081629</v>
      </c>
      <c r="O24" s="4067">
        <v>2.8910166486426085</v>
      </c>
      <c r="P24" s="4067">
        <v>2.7524721717251124</v>
      </c>
      <c r="Q24" s="4067">
        <v>2.709476352544204</v>
      </c>
      <c r="R24" s="4067">
        <v>2.8813920501316788</v>
      </c>
      <c r="S24" s="4067">
        <v>2.898988941649618</v>
      </c>
      <c r="T24" s="4067">
        <v>2.718156190439438</v>
      </c>
      <c r="U24" s="4067">
        <v>2.9771984636148945</v>
      </c>
      <c r="V24" s="4067">
        <v>2.9986571116313097</v>
      </c>
      <c r="W24" s="4067">
        <v>2.9963534618019252</v>
      </c>
      <c r="X24" s="4067">
        <v>2.5081451494495153</v>
      </c>
      <c r="Y24" s="4067">
        <v>3.1167152745470501</v>
      </c>
      <c r="Z24" s="4067">
        <v>3.3259016335588574</v>
      </c>
      <c r="AA24" s="4067">
        <v>2.4352972782400002</v>
      </c>
      <c r="AB24" s="4067">
        <v>2.1613392704162333</v>
      </c>
      <c r="AC24" s="4067">
        <v>2.0229543785275617</v>
      </c>
      <c r="AD24" s="4067">
        <v>2.1692209446239814</v>
      </c>
      <c r="AE24" s="4067">
        <v>2.2453684391122746</v>
      </c>
      <c r="AF24" s="4067">
        <v>2.3616381600731926</v>
      </c>
      <c r="AG24" s="4067">
        <v>2.5194858210214424</v>
      </c>
      <c r="AH24" s="4067">
        <v>2.4476401145691962</v>
      </c>
      <c r="AI24" s="4067">
        <v>2.4249170657857428</v>
      </c>
      <c r="AJ24" s="4067">
        <v>2.4997302277832136</v>
      </c>
      <c r="AK24" s="4082">
        <f t="shared" si="2"/>
        <v>-11.577256551310583</v>
      </c>
      <c r="AL24" s="713"/>
    </row>
    <row r="25" spans="2:38" ht="18" customHeight="1" x14ac:dyDescent="0.2">
      <c r="B25" s="1133" t="s">
        <v>1488</v>
      </c>
      <c r="C25" s="1995"/>
      <c r="D25" s="1995"/>
      <c r="E25" s="4076" t="s">
        <v>2146</v>
      </c>
      <c r="F25" s="4076" t="s">
        <v>2146</v>
      </c>
      <c r="G25" s="4076" t="s">
        <v>2146</v>
      </c>
      <c r="H25" s="4076" t="s">
        <v>2146</v>
      </c>
      <c r="I25" s="4076" t="s">
        <v>2146</v>
      </c>
      <c r="J25" s="4076" t="s">
        <v>2146</v>
      </c>
      <c r="K25" s="4076" t="s">
        <v>2146</v>
      </c>
      <c r="L25" s="4076" t="s">
        <v>2146</v>
      </c>
      <c r="M25" s="4076" t="s">
        <v>2146</v>
      </c>
      <c r="N25" s="4076" t="s">
        <v>2146</v>
      </c>
      <c r="O25" s="4076" t="s">
        <v>2146</v>
      </c>
      <c r="P25" s="4076" t="s">
        <v>2146</v>
      </c>
      <c r="Q25" s="4076" t="s">
        <v>2146</v>
      </c>
      <c r="R25" s="4076" t="s">
        <v>2146</v>
      </c>
      <c r="S25" s="4076" t="s">
        <v>2146</v>
      </c>
      <c r="T25" s="4076" t="s">
        <v>2146</v>
      </c>
      <c r="U25" s="4076" t="s">
        <v>2146</v>
      </c>
      <c r="V25" s="4076" t="s">
        <v>2146</v>
      </c>
      <c r="W25" s="4076" t="s">
        <v>2146</v>
      </c>
      <c r="X25" s="4076" t="s">
        <v>2146</v>
      </c>
      <c r="Y25" s="4076" t="s">
        <v>2146</v>
      </c>
      <c r="Z25" s="4076" t="s">
        <v>2146</v>
      </c>
      <c r="AA25" s="4076" t="s">
        <v>2146</v>
      </c>
      <c r="AB25" s="4076" t="s">
        <v>2146</v>
      </c>
      <c r="AC25" s="4076" t="s">
        <v>2146</v>
      </c>
      <c r="AD25" s="4076" t="s">
        <v>2146</v>
      </c>
      <c r="AE25" s="4076" t="s">
        <v>2146</v>
      </c>
      <c r="AF25" s="4076" t="s">
        <v>2146</v>
      </c>
      <c r="AG25" s="4076" t="s">
        <v>2146</v>
      </c>
      <c r="AH25" s="4076" t="s">
        <v>2146</v>
      </c>
      <c r="AI25" s="4076" t="s">
        <v>2146</v>
      </c>
      <c r="AJ25" s="4076" t="s">
        <v>2146</v>
      </c>
      <c r="AK25" s="4082" t="str">
        <f t="shared" si="2"/>
        <v>NA</v>
      </c>
      <c r="AL25" s="713"/>
    </row>
    <row r="26" spans="2:38" ht="18" customHeight="1" x14ac:dyDescent="0.2">
      <c r="B26" s="1133" t="s">
        <v>1489</v>
      </c>
      <c r="C26" s="348"/>
      <c r="D26" s="348"/>
      <c r="E26" s="4078"/>
      <c r="F26" s="4078"/>
      <c r="G26" s="4078"/>
      <c r="H26" s="4078"/>
      <c r="I26" s="4078"/>
      <c r="J26" s="4078"/>
      <c r="K26" s="4078"/>
      <c r="L26" s="4078"/>
      <c r="M26" s="4078"/>
      <c r="N26" s="4078"/>
      <c r="O26" s="4078"/>
      <c r="P26" s="4078"/>
      <c r="Q26" s="4078"/>
      <c r="R26" s="4078"/>
      <c r="S26" s="4078"/>
      <c r="T26" s="4078"/>
      <c r="U26" s="4078"/>
      <c r="V26" s="4078"/>
      <c r="W26" s="4078"/>
      <c r="X26" s="4078"/>
      <c r="Y26" s="4078"/>
      <c r="Z26" s="4078"/>
      <c r="AA26" s="4078"/>
      <c r="AB26" s="4078"/>
      <c r="AC26" s="4078"/>
      <c r="AD26" s="4078"/>
      <c r="AE26" s="4078"/>
      <c r="AF26" s="4078"/>
      <c r="AG26" s="4078"/>
      <c r="AH26" s="4078"/>
      <c r="AI26" s="4078"/>
      <c r="AJ26" s="4078"/>
      <c r="AK26" s="4083"/>
      <c r="AL26" s="713"/>
    </row>
    <row r="27" spans="2:38" ht="18" customHeight="1" x14ac:dyDescent="0.2">
      <c r="B27" s="1133" t="s">
        <v>1490</v>
      </c>
      <c r="C27" s="348"/>
      <c r="D27" s="348"/>
      <c r="E27" s="4078"/>
      <c r="F27" s="4078"/>
      <c r="G27" s="4078"/>
      <c r="H27" s="4078"/>
      <c r="I27" s="4078"/>
      <c r="J27" s="4078"/>
      <c r="K27" s="4078"/>
      <c r="L27" s="4078"/>
      <c r="M27" s="4078"/>
      <c r="N27" s="4078"/>
      <c r="O27" s="4078"/>
      <c r="P27" s="4078"/>
      <c r="Q27" s="4078"/>
      <c r="R27" s="4078"/>
      <c r="S27" s="4078"/>
      <c r="T27" s="4078"/>
      <c r="U27" s="4078"/>
      <c r="V27" s="4078"/>
      <c r="W27" s="4078"/>
      <c r="X27" s="4078"/>
      <c r="Y27" s="4078"/>
      <c r="Z27" s="4078"/>
      <c r="AA27" s="4078"/>
      <c r="AB27" s="4078"/>
      <c r="AC27" s="4078"/>
      <c r="AD27" s="4078"/>
      <c r="AE27" s="4078"/>
      <c r="AF27" s="4078"/>
      <c r="AG27" s="4078"/>
      <c r="AH27" s="4078"/>
      <c r="AI27" s="4078"/>
      <c r="AJ27" s="4078"/>
      <c r="AK27" s="4083"/>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79" t="s">
        <v>2146</v>
      </c>
      <c r="F29" s="4079" t="s">
        <v>2146</v>
      </c>
      <c r="G29" s="4079" t="s">
        <v>2146</v>
      </c>
      <c r="H29" s="4079" t="s">
        <v>2146</v>
      </c>
      <c r="I29" s="4079" t="s">
        <v>2146</v>
      </c>
      <c r="J29" s="4079" t="s">
        <v>2146</v>
      </c>
      <c r="K29" s="4079" t="s">
        <v>2146</v>
      </c>
      <c r="L29" s="4079" t="s">
        <v>2146</v>
      </c>
      <c r="M29" s="4079" t="s">
        <v>2146</v>
      </c>
      <c r="N29" s="4079" t="s">
        <v>2146</v>
      </c>
      <c r="O29" s="4079" t="s">
        <v>2146</v>
      </c>
      <c r="P29" s="4079" t="s">
        <v>2146</v>
      </c>
      <c r="Q29" s="4079" t="s">
        <v>2146</v>
      </c>
      <c r="R29" s="4079" t="s">
        <v>2146</v>
      </c>
      <c r="S29" s="4079" t="s">
        <v>2146</v>
      </c>
      <c r="T29" s="4079" t="s">
        <v>2146</v>
      </c>
      <c r="U29" s="4079" t="s">
        <v>2146</v>
      </c>
      <c r="V29" s="4079" t="s">
        <v>2146</v>
      </c>
      <c r="W29" s="4079" t="s">
        <v>2146</v>
      </c>
      <c r="X29" s="4079" t="s">
        <v>2146</v>
      </c>
      <c r="Y29" s="4079" t="s">
        <v>2146</v>
      </c>
      <c r="Z29" s="4079" t="s">
        <v>2146</v>
      </c>
      <c r="AA29" s="4079" t="s">
        <v>2146</v>
      </c>
      <c r="AB29" s="4079" t="s">
        <v>2146</v>
      </c>
      <c r="AC29" s="4079" t="s">
        <v>2146</v>
      </c>
      <c r="AD29" s="4079" t="s">
        <v>2146</v>
      </c>
      <c r="AE29" s="4079" t="s">
        <v>2146</v>
      </c>
      <c r="AF29" s="4079" t="s">
        <v>2146</v>
      </c>
      <c r="AG29" s="4079" t="s">
        <v>2146</v>
      </c>
      <c r="AH29" s="4079" t="s">
        <v>2146</v>
      </c>
      <c r="AI29" s="4079" t="s">
        <v>2146</v>
      </c>
      <c r="AJ29" s="4079" t="s">
        <v>2146</v>
      </c>
      <c r="AK29" s="4084" t="str">
        <f t="shared" si="2"/>
        <v>NA</v>
      </c>
      <c r="AL29" s="713"/>
    </row>
    <row r="30" spans="2:38" ht="18" customHeight="1" x14ac:dyDescent="0.2">
      <c r="B30" s="765" t="s">
        <v>1491</v>
      </c>
      <c r="C30" s="1998"/>
      <c r="D30" s="1998"/>
      <c r="E30" s="4073">
        <f>SUM(E31:E40)</f>
        <v>2862.0554635349013</v>
      </c>
      <c r="F30" s="4073">
        <f t="shared" ref="F30:AJ30" si="5">SUM(F31:F40)</f>
        <v>2838.9773839645618</v>
      </c>
      <c r="G30" s="4073">
        <f t="shared" si="5"/>
        <v>2747.9990242827721</v>
      </c>
      <c r="H30" s="4073">
        <f t="shared" si="5"/>
        <v>2664.319044161361</v>
      </c>
      <c r="I30" s="4073">
        <f t="shared" si="5"/>
        <v>2648.4665476361911</v>
      </c>
      <c r="J30" s="4073">
        <f t="shared" si="5"/>
        <v>2542.870182179292</v>
      </c>
      <c r="K30" s="4073">
        <f t="shared" si="5"/>
        <v>2589.5779163812481</v>
      </c>
      <c r="L30" s="4073">
        <f t="shared" si="5"/>
        <v>2606.0837604009248</v>
      </c>
      <c r="M30" s="4073">
        <f t="shared" si="5"/>
        <v>2597.8429655193863</v>
      </c>
      <c r="N30" s="4073">
        <f t="shared" si="5"/>
        <v>2577.0843807887854</v>
      </c>
      <c r="O30" s="4073">
        <f t="shared" si="5"/>
        <v>2666.0312648508193</v>
      </c>
      <c r="P30" s="4073">
        <f t="shared" si="5"/>
        <v>2628.7134960567041</v>
      </c>
      <c r="Q30" s="4073">
        <f t="shared" si="5"/>
        <v>2613.1836634629767</v>
      </c>
      <c r="R30" s="4073">
        <f t="shared" si="5"/>
        <v>2462.8809496086328</v>
      </c>
      <c r="S30" s="4073">
        <f t="shared" si="5"/>
        <v>2535.1097905504412</v>
      </c>
      <c r="T30" s="4073">
        <f t="shared" si="5"/>
        <v>2568.4416949896281</v>
      </c>
      <c r="U30" s="4073">
        <f t="shared" si="5"/>
        <v>2513.757503366141</v>
      </c>
      <c r="V30" s="4073">
        <f t="shared" si="5"/>
        <v>2427.3665121629174</v>
      </c>
      <c r="W30" s="4073">
        <f t="shared" si="5"/>
        <v>2331.0684481509161</v>
      </c>
      <c r="X30" s="4073">
        <f t="shared" si="5"/>
        <v>2315.5619681329158</v>
      </c>
      <c r="Y30" s="4073">
        <f t="shared" si="5"/>
        <v>2219.2582353272028</v>
      </c>
      <c r="Z30" s="4073">
        <f t="shared" si="5"/>
        <v>2352.2994132577542</v>
      </c>
      <c r="AA30" s="4073">
        <f t="shared" si="5"/>
        <v>2397.1703973847857</v>
      </c>
      <c r="AB30" s="4073">
        <f t="shared" si="5"/>
        <v>2413.1195788154955</v>
      </c>
      <c r="AC30" s="4073">
        <f t="shared" si="5"/>
        <v>2389.9401854800017</v>
      </c>
      <c r="AD30" s="4073">
        <f t="shared" si="5"/>
        <v>2296.3539998167125</v>
      </c>
      <c r="AE30" s="4073">
        <f t="shared" si="5"/>
        <v>2249.5777747439329</v>
      </c>
      <c r="AF30" s="4073">
        <f t="shared" si="5"/>
        <v>2334.2780316434828</v>
      </c>
      <c r="AG30" s="4073">
        <f t="shared" si="5"/>
        <v>2335.5175367420848</v>
      </c>
      <c r="AH30" s="4073">
        <f t="shared" si="5"/>
        <v>2167.16902707187</v>
      </c>
      <c r="AI30" s="4073">
        <f t="shared" si="5"/>
        <v>2079.9477641488825</v>
      </c>
      <c r="AJ30" s="4073">
        <f t="shared" si="5"/>
        <v>2194.5664593588904</v>
      </c>
      <c r="AK30" s="4087">
        <f t="shared" si="2"/>
        <v>-23.32201498819316</v>
      </c>
      <c r="AL30" s="19"/>
    </row>
    <row r="31" spans="2:38" ht="18" customHeight="1" x14ac:dyDescent="0.2">
      <c r="B31" s="1135" t="s">
        <v>1492</v>
      </c>
      <c r="C31" s="1995"/>
      <c r="D31" s="1995"/>
      <c r="E31" s="4067">
        <v>2585.3162725086167</v>
      </c>
      <c r="F31" s="4067">
        <v>2569.3894671904864</v>
      </c>
      <c r="G31" s="4067">
        <v>2477.5904785213997</v>
      </c>
      <c r="H31" s="4067">
        <v>2395.8487000206405</v>
      </c>
      <c r="I31" s="4067">
        <v>2375.0706532643112</v>
      </c>
      <c r="J31" s="4067">
        <v>2289.6462764881239</v>
      </c>
      <c r="K31" s="4067">
        <v>2328.0186621673429</v>
      </c>
      <c r="L31" s="4067">
        <v>2337.4335101675824</v>
      </c>
      <c r="M31" s="4067">
        <v>2328.4424727047735</v>
      </c>
      <c r="N31" s="4067">
        <v>2310.1841058542395</v>
      </c>
      <c r="O31" s="4067">
        <v>2396.1967185583867</v>
      </c>
      <c r="P31" s="4067">
        <v>2341.2671635402298</v>
      </c>
      <c r="Q31" s="4067">
        <v>2326.0779820086132</v>
      </c>
      <c r="R31" s="4067">
        <v>2214.4119882821315</v>
      </c>
      <c r="S31" s="4067">
        <v>2271.8294666536513</v>
      </c>
      <c r="T31" s="4067">
        <v>2294.6801524700036</v>
      </c>
      <c r="U31" s="4067">
        <v>2230.900982402271</v>
      </c>
      <c r="V31" s="4067">
        <v>2170.887417414157</v>
      </c>
      <c r="W31" s="4067">
        <v>2086.3216602399038</v>
      </c>
      <c r="X31" s="4067">
        <v>2070.6619163518048</v>
      </c>
      <c r="Y31" s="4067">
        <v>1973.6232194057879</v>
      </c>
      <c r="Z31" s="4067">
        <v>2090.8195856383677</v>
      </c>
      <c r="AA31" s="4067">
        <v>2124.3232264032076</v>
      </c>
      <c r="AB31" s="4067">
        <v>2139.5329622033564</v>
      </c>
      <c r="AC31" s="4067">
        <v>2118.3079834701612</v>
      </c>
      <c r="AD31" s="4067">
        <v>2032.0161462685974</v>
      </c>
      <c r="AE31" s="4067">
        <v>1999.26115033618</v>
      </c>
      <c r="AF31" s="4067">
        <v>2061.7112856300196</v>
      </c>
      <c r="AG31" s="4067">
        <v>2066.7318431597064</v>
      </c>
      <c r="AH31" s="4067">
        <v>1928.374493968802</v>
      </c>
      <c r="AI31" s="4067">
        <v>1849.8425778115836</v>
      </c>
      <c r="AJ31" s="4067">
        <v>1937.8453453536015</v>
      </c>
      <c r="AK31" s="4082">
        <f t="shared" si="2"/>
        <v>-25.044167092436737</v>
      </c>
      <c r="AL31" s="19"/>
    </row>
    <row r="32" spans="2:38" ht="18" customHeight="1" x14ac:dyDescent="0.2">
      <c r="B32" s="1135" t="s">
        <v>1493</v>
      </c>
      <c r="C32" s="1995"/>
      <c r="D32" s="1995"/>
      <c r="E32" s="4067">
        <v>246.03610879443903</v>
      </c>
      <c r="F32" s="4067">
        <v>242.72705969664943</v>
      </c>
      <c r="G32" s="4067">
        <v>239.19994565583048</v>
      </c>
      <c r="H32" s="4067">
        <v>235.26953643091844</v>
      </c>
      <c r="I32" s="4067">
        <v>236.77125526016502</v>
      </c>
      <c r="J32" s="4067">
        <v>223.31824091348562</v>
      </c>
      <c r="K32" s="4067">
        <v>223.72596910074174</v>
      </c>
      <c r="L32" s="4067">
        <v>225.26440214017867</v>
      </c>
      <c r="M32" s="4067">
        <v>231.68140083157988</v>
      </c>
      <c r="N32" s="4067">
        <v>227.88002588754335</v>
      </c>
      <c r="O32" s="4067">
        <v>235.3665044051173</v>
      </c>
      <c r="P32" s="4067">
        <v>245.54282751963069</v>
      </c>
      <c r="Q32" s="4067">
        <v>249.91384359259774</v>
      </c>
      <c r="R32" s="4067">
        <v>234.47820063564913</v>
      </c>
      <c r="S32" s="4067">
        <v>238.91626339392963</v>
      </c>
      <c r="T32" s="4067">
        <v>256.4404771040679</v>
      </c>
      <c r="U32" s="4067">
        <v>255.10491454727224</v>
      </c>
      <c r="V32" s="4067">
        <v>248.19808337208872</v>
      </c>
      <c r="W32" s="4067">
        <v>238.06935397014655</v>
      </c>
      <c r="X32" s="4067">
        <v>235.88911185587975</v>
      </c>
      <c r="Y32" s="4067">
        <v>235.7804067892522</v>
      </c>
      <c r="Z32" s="4067">
        <v>239.36614824523269</v>
      </c>
      <c r="AA32" s="4067">
        <v>246.29224553472164</v>
      </c>
      <c r="AB32" s="4067">
        <v>246.02369304405397</v>
      </c>
      <c r="AC32" s="4067">
        <v>250.59427579071431</v>
      </c>
      <c r="AD32" s="4067">
        <v>244.80689602739892</v>
      </c>
      <c r="AE32" s="4067">
        <v>238.20013821966253</v>
      </c>
      <c r="AF32" s="4067">
        <v>246.49673022020156</v>
      </c>
      <c r="AG32" s="4067">
        <v>250.00643884346994</v>
      </c>
      <c r="AH32" s="4067">
        <v>232.07568940554154</v>
      </c>
      <c r="AI32" s="4067">
        <v>223.55210749639735</v>
      </c>
      <c r="AJ32" s="4067">
        <v>237.14469740348488</v>
      </c>
      <c r="AK32" s="4082">
        <f t="shared" si="2"/>
        <v>-3.6138644179187622</v>
      </c>
      <c r="AL32" s="19"/>
    </row>
    <row r="33" spans="2:38" ht="18" customHeight="1" x14ac:dyDescent="0.2">
      <c r="B33" s="1135" t="s">
        <v>1494</v>
      </c>
      <c r="C33" s="1995"/>
      <c r="D33" s="1995"/>
      <c r="E33" s="4067">
        <v>19.024842145513141</v>
      </c>
      <c r="F33" s="4067">
        <v>15.345732206395644</v>
      </c>
      <c r="G33" s="4067">
        <v>20.580136832126925</v>
      </c>
      <c r="H33" s="4067">
        <v>20.347056765989098</v>
      </c>
      <c r="I33" s="4067">
        <v>21.942845821665841</v>
      </c>
      <c r="J33" s="4067">
        <v>21.388106699256326</v>
      </c>
      <c r="K33" s="4067">
        <v>24.809879860932078</v>
      </c>
      <c r="L33" s="4067">
        <v>27.561606858651462</v>
      </c>
      <c r="M33" s="4067">
        <v>23.460790500000002</v>
      </c>
      <c r="N33" s="4067">
        <v>23.626046499999998</v>
      </c>
      <c r="O33" s="4067">
        <v>20.815899999999999</v>
      </c>
      <c r="P33" s="4067">
        <v>28.100656199000003</v>
      </c>
      <c r="Q33" s="4067">
        <v>22.971219600000001</v>
      </c>
      <c r="R33" s="4067">
        <v>7.2902048800000001</v>
      </c>
      <c r="S33" s="4067">
        <v>10.599853529999999</v>
      </c>
      <c r="T33" s="4067">
        <v>8.2176724000000014</v>
      </c>
      <c r="U33" s="4067">
        <v>16.217770975000001</v>
      </c>
      <c r="V33" s="4067">
        <v>3.1597074319999998</v>
      </c>
      <c r="W33" s="4067">
        <v>0.3292408</v>
      </c>
      <c r="X33" s="4067">
        <v>1.1431266</v>
      </c>
      <c r="Y33" s="4067">
        <v>3.0081359000000001</v>
      </c>
      <c r="Z33" s="4067">
        <v>12.042077600000001</v>
      </c>
      <c r="AA33" s="4067">
        <v>16.384973500000001</v>
      </c>
      <c r="AB33" s="4067">
        <v>18.057117925000004</v>
      </c>
      <c r="AC33" s="4067">
        <v>12.186431894</v>
      </c>
      <c r="AD33" s="4067">
        <v>11.069592121000001</v>
      </c>
      <c r="AE33" s="4067">
        <v>4.4147843085853342</v>
      </c>
      <c r="AF33" s="4067">
        <v>13.669077806075155</v>
      </c>
      <c r="AG33" s="4067">
        <v>10.161289605189763</v>
      </c>
      <c r="AH33" s="4067">
        <v>1.2607627228417353</v>
      </c>
      <c r="AI33" s="4067">
        <v>0.82707023222906406</v>
      </c>
      <c r="AJ33" s="4067">
        <v>7.4910678817133576</v>
      </c>
      <c r="AK33" s="4082">
        <f t="shared" si="2"/>
        <v>-60.624809265605037</v>
      </c>
      <c r="AL33" s="19"/>
    </row>
    <row r="34" spans="2:38" ht="18" customHeight="1" x14ac:dyDescent="0.2">
      <c r="B34" s="1135" t="s">
        <v>1495</v>
      </c>
      <c r="C34" s="1995"/>
      <c r="D34" s="1995"/>
      <c r="E34" s="4076" t="s">
        <v>2154</v>
      </c>
      <c r="F34" s="4076" t="s">
        <v>2154</v>
      </c>
      <c r="G34" s="4076" t="s">
        <v>2154</v>
      </c>
      <c r="H34" s="4076" t="s">
        <v>2154</v>
      </c>
      <c r="I34" s="4076" t="s">
        <v>2154</v>
      </c>
      <c r="J34" s="4076" t="s">
        <v>2154</v>
      </c>
      <c r="K34" s="4076" t="s">
        <v>2154</v>
      </c>
      <c r="L34" s="4076" t="s">
        <v>2154</v>
      </c>
      <c r="M34" s="4076" t="s">
        <v>2154</v>
      </c>
      <c r="N34" s="4076" t="s">
        <v>2154</v>
      </c>
      <c r="O34" s="4076" t="s">
        <v>2154</v>
      </c>
      <c r="P34" s="4076" t="s">
        <v>2154</v>
      </c>
      <c r="Q34" s="4076" t="s">
        <v>2154</v>
      </c>
      <c r="R34" s="4076" t="s">
        <v>2154</v>
      </c>
      <c r="S34" s="4076" t="s">
        <v>2154</v>
      </c>
      <c r="T34" s="4076" t="s">
        <v>2154</v>
      </c>
      <c r="U34" s="4076" t="s">
        <v>2154</v>
      </c>
      <c r="V34" s="4076" t="s">
        <v>2154</v>
      </c>
      <c r="W34" s="4076" t="s">
        <v>2154</v>
      </c>
      <c r="X34" s="4076" t="s">
        <v>2154</v>
      </c>
      <c r="Y34" s="4076" t="s">
        <v>2154</v>
      </c>
      <c r="Z34" s="4076" t="s">
        <v>2154</v>
      </c>
      <c r="AA34" s="4076" t="s">
        <v>2154</v>
      </c>
      <c r="AB34" s="4076" t="s">
        <v>2154</v>
      </c>
      <c r="AC34" s="4076" t="s">
        <v>2154</v>
      </c>
      <c r="AD34" s="4076" t="s">
        <v>2154</v>
      </c>
      <c r="AE34" s="4076" t="s">
        <v>2154</v>
      </c>
      <c r="AF34" s="4076" t="s">
        <v>2154</v>
      </c>
      <c r="AG34" s="4076" t="s">
        <v>2154</v>
      </c>
      <c r="AH34" s="4076" t="s">
        <v>2154</v>
      </c>
      <c r="AI34" s="4076" t="s">
        <v>2154</v>
      </c>
      <c r="AJ34" s="4076" t="s">
        <v>2154</v>
      </c>
      <c r="AK34" s="4082" t="s">
        <v>2147</v>
      </c>
      <c r="AL34" s="19"/>
    </row>
    <row r="35" spans="2:38" ht="18" customHeight="1" x14ac:dyDescent="0.2">
      <c r="B35" s="1135" t="s">
        <v>1496</v>
      </c>
      <c r="C35" s="1995"/>
      <c r="D35" s="1995"/>
      <c r="E35" s="4076" t="s">
        <v>2147</v>
      </c>
      <c r="F35" s="4076" t="s">
        <v>2147</v>
      </c>
      <c r="G35" s="4076" t="s">
        <v>2147</v>
      </c>
      <c r="H35" s="4076" t="s">
        <v>2147</v>
      </c>
      <c r="I35" s="4076" t="s">
        <v>2147</v>
      </c>
      <c r="J35" s="4076" t="s">
        <v>2147</v>
      </c>
      <c r="K35" s="4076" t="s">
        <v>2147</v>
      </c>
      <c r="L35" s="4076" t="s">
        <v>2147</v>
      </c>
      <c r="M35" s="4076" t="s">
        <v>2147</v>
      </c>
      <c r="N35" s="4076" t="s">
        <v>2147</v>
      </c>
      <c r="O35" s="4076" t="s">
        <v>2147</v>
      </c>
      <c r="P35" s="4076" t="s">
        <v>2147</v>
      </c>
      <c r="Q35" s="4076" t="s">
        <v>2147</v>
      </c>
      <c r="R35" s="4076" t="s">
        <v>2147</v>
      </c>
      <c r="S35" s="4076" t="s">
        <v>2147</v>
      </c>
      <c r="T35" s="4076" t="s">
        <v>2147</v>
      </c>
      <c r="U35" s="4076" t="s">
        <v>2147</v>
      </c>
      <c r="V35" s="4076" t="s">
        <v>2147</v>
      </c>
      <c r="W35" s="4076" t="s">
        <v>2147</v>
      </c>
      <c r="X35" s="4076" t="s">
        <v>2147</v>
      </c>
      <c r="Y35" s="4076" t="s">
        <v>2147</v>
      </c>
      <c r="Z35" s="4076" t="s">
        <v>2147</v>
      </c>
      <c r="AA35" s="4076" t="s">
        <v>2147</v>
      </c>
      <c r="AB35" s="4076" t="s">
        <v>2147</v>
      </c>
      <c r="AC35" s="4076" t="s">
        <v>2147</v>
      </c>
      <c r="AD35" s="4076" t="s">
        <v>2147</v>
      </c>
      <c r="AE35" s="4076" t="s">
        <v>2147</v>
      </c>
      <c r="AF35" s="4076" t="s">
        <v>2147</v>
      </c>
      <c r="AG35" s="4076" t="s">
        <v>2147</v>
      </c>
      <c r="AH35" s="4076" t="s">
        <v>2147</v>
      </c>
      <c r="AI35" s="4076" t="s">
        <v>2147</v>
      </c>
      <c r="AJ35" s="4076" t="s">
        <v>2147</v>
      </c>
      <c r="AK35" s="4082" t="s">
        <v>2147</v>
      </c>
      <c r="AL35" s="19"/>
    </row>
    <row r="36" spans="2:38" ht="18" customHeight="1" x14ac:dyDescent="0.2">
      <c r="B36" s="1135" t="s">
        <v>1497</v>
      </c>
      <c r="C36" s="1995"/>
      <c r="D36" s="1995"/>
      <c r="E36" s="4067">
        <v>11.678240086332515</v>
      </c>
      <c r="F36" s="4067">
        <v>11.51512487103051</v>
      </c>
      <c r="G36" s="4067">
        <v>10.628463273415008</v>
      </c>
      <c r="H36" s="4067">
        <v>12.853750943812702</v>
      </c>
      <c r="I36" s="4067">
        <v>14.681793290049001</v>
      </c>
      <c r="J36" s="4067">
        <v>8.5175580784261413</v>
      </c>
      <c r="K36" s="4067">
        <v>13.023405252231356</v>
      </c>
      <c r="L36" s="4067">
        <v>15.824241234512318</v>
      </c>
      <c r="M36" s="4067">
        <v>14.258301483033065</v>
      </c>
      <c r="N36" s="4067">
        <v>15.394202547002262</v>
      </c>
      <c r="O36" s="4067">
        <v>13.652141887315125</v>
      </c>
      <c r="P36" s="4067">
        <v>13.802848797844145</v>
      </c>
      <c r="Q36" s="4067">
        <v>14.220618261765534</v>
      </c>
      <c r="R36" s="4067">
        <v>6.7005558108523724</v>
      </c>
      <c r="S36" s="4067">
        <v>13.764206972860327</v>
      </c>
      <c r="T36" s="4067">
        <v>9.1033930155565947</v>
      </c>
      <c r="U36" s="4067">
        <v>11.533835441598121</v>
      </c>
      <c r="V36" s="4067">
        <v>5.1213039446720554</v>
      </c>
      <c r="W36" s="4067">
        <v>6.3481931408653383</v>
      </c>
      <c r="X36" s="4067">
        <v>7.8678133252312374</v>
      </c>
      <c r="Y36" s="4067">
        <v>6.8464732321629027</v>
      </c>
      <c r="Z36" s="4067">
        <v>10.071601774153608</v>
      </c>
      <c r="AA36" s="4067">
        <v>10.16995194685682</v>
      </c>
      <c r="AB36" s="4067">
        <v>9.5058056430853952</v>
      </c>
      <c r="AC36" s="4067">
        <v>8.8514943251261098</v>
      </c>
      <c r="AD36" s="4067">
        <v>8.4613653997161133</v>
      </c>
      <c r="AE36" s="4067">
        <v>7.7017018795049612</v>
      </c>
      <c r="AF36" s="4067">
        <v>12.40093798718615</v>
      </c>
      <c r="AG36" s="4067">
        <v>8.6179651337187497</v>
      </c>
      <c r="AH36" s="4067">
        <v>5.4580809746846759</v>
      </c>
      <c r="AI36" s="4067">
        <v>5.7260086086722177</v>
      </c>
      <c r="AJ36" s="4067">
        <v>12.085348720090868</v>
      </c>
      <c r="AK36" s="4082">
        <f t="shared" si="2"/>
        <v>3.4860443932370373</v>
      </c>
      <c r="AL36" s="19"/>
    </row>
    <row r="37" spans="2:38" ht="18" customHeight="1" x14ac:dyDescent="0.2">
      <c r="B37" s="1136" t="s">
        <v>721</v>
      </c>
      <c r="C37" s="354"/>
      <c r="D37" s="354"/>
      <c r="E37" s="354"/>
      <c r="F37" s="354"/>
      <c r="G37" s="1997"/>
      <c r="H37" s="1997"/>
      <c r="I37" s="1997"/>
      <c r="J37" s="1997"/>
      <c r="K37" s="1997"/>
      <c r="L37" s="1997"/>
      <c r="M37" s="1997"/>
      <c r="N37" s="1997"/>
      <c r="O37" s="1997"/>
      <c r="P37" s="1997"/>
      <c r="Q37" s="1997"/>
      <c r="R37" s="1997"/>
      <c r="S37" s="1997"/>
      <c r="T37" s="1997"/>
      <c r="U37" s="1997"/>
      <c r="V37" s="1997"/>
      <c r="W37" s="1997"/>
      <c r="X37" s="1997"/>
      <c r="Y37" s="1997"/>
      <c r="Z37" s="1997"/>
      <c r="AA37" s="1997"/>
      <c r="AB37" s="1997"/>
      <c r="AC37" s="1997"/>
      <c r="AD37" s="1997"/>
      <c r="AE37" s="1997"/>
      <c r="AF37" s="1997"/>
      <c r="AG37" s="1997"/>
      <c r="AH37" s="1997"/>
      <c r="AI37" s="1997"/>
      <c r="AJ37" s="1997"/>
      <c r="AK37" s="355"/>
      <c r="AL37" s="19"/>
    </row>
    <row r="38" spans="2:38" ht="18" customHeight="1" x14ac:dyDescent="0.2">
      <c r="B38" s="1136" t="s">
        <v>722</v>
      </c>
      <c r="C38" s="354"/>
      <c r="D38" s="354"/>
      <c r="E38" s="354"/>
      <c r="F38" s="354"/>
      <c r="G38" s="1997"/>
      <c r="H38" s="1997"/>
      <c r="I38" s="1997"/>
      <c r="J38" s="1997"/>
      <c r="K38" s="1997"/>
      <c r="L38" s="1997"/>
      <c r="M38" s="1997"/>
      <c r="N38" s="1997"/>
      <c r="O38" s="1997"/>
      <c r="P38" s="1997"/>
      <c r="Q38" s="1997"/>
      <c r="R38" s="1997"/>
      <c r="S38" s="1997"/>
      <c r="T38" s="1997"/>
      <c r="U38" s="1997"/>
      <c r="V38" s="1997"/>
      <c r="W38" s="1997"/>
      <c r="X38" s="1997"/>
      <c r="Y38" s="1997"/>
      <c r="Z38" s="1997"/>
      <c r="AA38" s="1997"/>
      <c r="AB38" s="1997"/>
      <c r="AC38" s="1997"/>
      <c r="AD38" s="1997"/>
      <c r="AE38" s="1997"/>
      <c r="AF38" s="1997"/>
      <c r="AG38" s="1997"/>
      <c r="AH38" s="1997"/>
      <c r="AI38" s="1997"/>
      <c r="AJ38" s="1997"/>
      <c r="AK38" s="355"/>
      <c r="AL38" s="19"/>
    </row>
    <row r="39" spans="2:38" ht="18" customHeight="1" x14ac:dyDescent="0.2">
      <c r="B39" s="1136" t="s">
        <v>1498</v>
      </c>
      <c r="C39" s="354"/>
      <c r="D39" s="354"/>
      <c r="E39" s="354"/>
      <c r="F39" s="354"/>
      <c r="G39" s="1997"/>
      <c r="H39" s="1997"/>
      <c r="I39" s="1997"/>
      <c r="J39" s="1997"/>
      <c r="K39" s="1997"/>
      <c r="L39" s="1997"/>
      <c r="M39" s="1997"/>
      <c r="N39" s="1997"/>
      <c r="O39" s="1997"/>
      <c r="P39" s="1997"/>
      <c r="Q39" s="1997"/>
      <c r="R39" s="1997"/>
      <c r="S39" s="1997"/>
      <c r="T39" s="1997"/>
      <c r="U39" s="1997"/>
      <c r="V39" s="1997"/>
      <c r="W39" s="1997"/>
      <c r="X39" s="1997"/>
      <c r="Y39" s="1997"/>
      <c r="Z39" s="1997"/>
      <c r="AA39" s="1997"/>
      <c r="AB39" s="1997"/>
      <c r="AC39" s="1997"/>
      <c r="AD39" s="1997"/>
      <c r="AE39" s="1997"/>
      <c r="AF39" s="1997"/>
      <c r="AG39" s="1997"/>
      <c r="AH39" s="1997"/>
      <c r="AI39" s="1997"/>
      <c r="AJ39" s="1997"/>
      <c r="AK39" s="355"/>
      <c r="AL39" s="19"/>
    </row>
    <row r="40" spans="2:38" ht="18" customHeight="1" thickBot="1" x14ac:dyDescent="0.25">
      <c r="B40" s="1376" t="s">
        <v>1499</v>
      </c>
      <c r="C40" s="2013"/>
      <c r="D40" s="2013"/>
      <c r="E40" s="4079" t="s">
        <v>2146</v>
      </c>
      <c r="F40" s="4079" t="s">
        <v>2146</v>
      </c>
      <c r="G40" s="4080" t="s">
        <v>2146</v>
      </c>
      <c r="H40" s="4080" t="s">
        <v>2146</v>
      </c>
      <c r="I40" s="4080" t="s">
        <v>2146</v>
      </c>
      <c r="J40" s="4080" t="s">
        <v>2146</v>
      </c>
      <c r="K40" s="4080" t="s">
        <v>2146</v>
      </c>
      <c r="L40" s="4080" t="s">
        <v>2146</v>
      </c>
      <c r="M40" s="4080" t="s">
        <v>2146</v>
      </c>
      <c r="N40" s="4080" t="s">
        <v>2146</v>
      </c>
      <c r="O40" s="4080" t="s">
        <v>2146</v>
      </c>
      <c r="P40" s="4080" t="s">
        <v>2146</v>
      </c>
      <c r="Q40" s="4080" t="s">
        <v>2146</v>
      </c>
      <c r="R40" s="4080" t="s">
        <v>2146</v>
      </c>
      <c r="S40" s="4080" t="s">
        <v>2146</v>
      </c>
      <c r="T40" s="4080" t="s">
        <v>2146</v>
      </c>
      <c r="U40" s="4080" t="s">
        <v>2146</v>
      </c>
      <c r="V40" s="4080" t="s">
        <v>2146</v>
      </c>
      <c r="W40" s="4080" t="s">
        <v>2146</v>
      </c>
      <c r="X40" s="4080" t="s">
        <v>2146</v>
      </c>
      <c r="Y40" s="4080" t="s">
        <v>2146</v>
      </c>
      <c r="Z40" s="4080" t="s">
        <v>2146</v>
      </c>
      <c r="AA40" s="4080" t="s">
        <v>2146</v>
      </c>
      <c r="AB40" s="4080" t="s">
        <v>2146</v>
      </c>
      <c r="AC40" s="4080" t="s">
        <v>2146</v>
      </c>
      <c r="AD40" s="4080" t="s">
        <v>2146</v>
      </c>
      <c r="AE40" s="4080" t="s">
        <v>2146</v>
      </c>
      <c r="AF40" s="4080" t="s">
        <v>2146</v>
      </c>
      <c r="AG40" s="4080" t="s">
        <v>2146</v>
      </c>
      <c r="AH40" s="4080" t="s">
        <v>2146</v>
      </c>
      <c r="AI40" s="4080" t="s">
        <v>2146</v>
      </c>
      <c r="AJ40" s="4080" t="s">
        <v>2146</v>
      </c>
      <c r="AK40" s="4092" t="str">
        <f t="shared" si="2"/>
        <v>NA</v>
      </c>
      <c r="AL40" s="19"/>
    </row>
    <row r="41" spans="2:38" ht="18" customHeight="1" x14ac:dyDescent="0.2">
      <c r="B41" s="765" t="s">
        <v>1716</v>
      </c>
      <c r="C41" s="1998"/>
      <c r="D41" s="1998"/>
      <c r="E41" s="4073">
        <f>SUM(E42:E49)</f>
        <v>726.72987860600801</v>
      </c>
      <c r="F41" s="4073">
        <f t="shared" ref="F41:AJ41" si="6">SUM(F42:F49)</f>
        <v>699.14750122804787</v>
      </c>
      <c r="G41" s="4073">
        <f t="shared" si="6"/>
        <v>642.35938777762067</v>
      </c>
      <c r="H41" s="4073">
        <f t="shared" si="6"/>
        <v>619.5831530717121</v>
      </c>
      <c r="I41" s="4073">
        <f t="shared" si="6"/>
        <v>598.83037255609645</v>
      </c>
      <c r="J41" s="4073">
        <f t="shared" si="6"/>
        <v>589.62938766251364</v>
      </c>
      <c r="K41" s="4073">
        <f t="shared" si="6"/>
        <v>624.25049433265701</v>
      </c>
      <c r="L41" s="4073">
        <f t="shared" si="6"/>
        <v>618.60631765058679</v>
      </c>
      <c r="M41" s="4073">
        <f t="shared" si="6"/>
        <v>616.48152481139596</v>
      </c>
      <c r="N41" s="4073">
        <f t="shared" si="6"/>
        <v>655.48495132024095</v>
      </c>
      <c r="O41" s="4073">
        <f t="shared" si="6"/>
        <v>727.17439990155765</v>
      </c>
      <c r="P41" s="4073">
        <f t="shared" si="6"/>
        <v>701.09510624835718</v>
      </c>
      <c r="Q41" s="4073">
        <f t="shared" si="6"/>
        <v>714.7271229606132</v>
      </c>
      <c r="R41" s="4073">
        <f t="shared" si="6"/>
        <v>716.90358212680621</v>
      </c>
      <c r="S41" s="4073">
        <f t="shared" si="6"/>
        <v>665.61680430628962</v>
      </c>
      <c r="T41" s="4073">
        <f t="shared" si="6"/>
        <v>673.37956195929837</v>
      </c>
      <c r="U41" s="4073">
        <f t="shared" si="6"/>
        <v>726.35292165322221</v>
      </c>
      <c r="V41" s="4073">
        <f t="shared" si="6"/>
        <v>748.22828413251705</v>
      </c>
      <c r="W41" s="4073">
        <f t="shared" si="6"/>
        <v>735.22739118260972</v>
      </c>
      <c r="X41" s="4073">
        <f t="shared" si="6"/>
        <v>727.17919715437347</v>
      </c>
      <c r="Y41" s="4073">
        <f t="shared" si="6"/>
        <v>713.72309577205294</v>
      </c>
      <c r="Z41" s="4073">
        <f t="shared" si="6"/>
        <v>727.85576795265354</v>
      </c>
      <c r="AA41" s="4073">
        <f t="shared" si="6"/>
        <v>675.42280105704401</v>
      </c>
      <c r="AB41" s="4073">
        <f t="shared" si="6"/>
        <v>663.34753444423086</v>
      </c>
      <c r="AC41" s="4073">
        <f t="shared" si="6"/>
        <v>690.55960518944073</v>
      </c>
      <c r="AD41" s="4073">
        <f t="shared" si="6"/>
        <v>664.5182190195394</v>
      </c>
      <c r="AE41" s="4073">
        <f t="shared" si="6"/>
        <v>613.85955247759591</v>
      </c>
      <c r="AF41" s="4073">
        <f t="shared" si="6"/>
        <v>621.42289950619306</v>
      </c>
      <c r="AG41" s="4073">
        <f t="shared" si="6"/>
        <v>553.10963708031397</v>
      </c>
      <c r="AH41" s="4073">
        <f t="shared" si="6"/>
        <v>528.21469725961879</v>
      </c>
      <c r="AI41" s="4073">
        <f t="shared" si="6"/>
        <v>475.94020782365465</v>
      </c>
      <c r="AJ41" s="4073">
        <f t="shared" si="6"/>
        <v>443.87854370470069</v>
      </c>
      <c r="AK41" s="4087">
        <f t="shared" si="2"/>
        <v>-38.921109923795136</v>
      </c>
      <c r="AL41" s="713"/>
    </row>
    <row r="42" spans="2:38" ht="18" customHeight="1" x14ac:dyDescent="0.2">
      <c r="B42" s="1135" t="s">
        <v>981</v>
      </c>
      <c r="C42" s="1995"/>
      <c r="D42" s="1995"/>
      <c r="E42" s="4067">
        <v>232.28726783832357</v>
      </c>
      <c r="F42" s="4067">
        <v>233.66673311820705</v>
      </c>
      <c r="G42" s="4067">
        <v>250.53237575598627</v>
      </c>
      <c r="H42" s="4067">
        <v>253.78224541486614</v>
      </c>
      <c r="I42" s="4067">
        <v>231.00939455747996</v>
      </c>
      <c r="J42" s="4067">
        <v>222.64323922745271</v>
      </c>
      <c r="K42" s="4067">
        <v>234.89047534375467</v>
      </c>
      <c r="L42" s="4067">
        <v>204.67828978406803</v>
      </c>
      <c r="M42" s="4067">
        <v>200.35225964360046</v>
      </c>
      <c r="N42" s="4067">
        <v>203.68258593676032</v>
      </c>
      <c r="O42" s="4067">
        <v>241.4455596646585</v>
      </c>
      <c r="P42" s="4067">
        <v>223.94211204818927</v>
      </c>
      <c r="Q42" s="4067">
        <v>238.05376762398771</v>
      </c>
      <c r="R42" s="4067">
        <v>245.90308761811488</v>
      </c>
      <c r="S42" s="4067">
        <v>236.87120338080976</v>
      </c>
      <c r="T42" s="4067">
        <v>226.95410166890301</v>
      </c>
      <c r="U42" s="4067">
        <v>247.91046331831978</v>
      </c>
      <c r="V42" s="4067">
        <v>272.21547602033365</v>
      </c>
      <c r="W42" s="4067">
        <v>312.48955813517063</v>
      </c>
      <c r="X42" s="4067">
        <v>309.07159808133144</v>
      </c>
      <c r="Y42" s="4067">
        <v>303.23904347840039</v>
      </c>
      <c r="Z42" s="4067">
        <v>329.96333172800695</v>
      </c>
      <c r="AA42" s="4067">
        <v>294.79514994922971</v>
      </c>
      <c r="AB42" s="4067">
        <v>279.75643370978628</v>
      </c>
      <c r="AC42" s="4067">
        <v>298.36848559245396</v>
      </c>
      <c r="AD42" s="4067">
        <v>303.98683759064124</v>
      </c>
      <c r="AE42" s="4067">
        <v>275.52685899680876</v>
      </c>
      <c r="AF42" s="4067">
        <v>270.43623105916816</v>
      </c>
      <c r="AG42" s="4067">
        <v>229.74042865240904</v>
      </c>
      <c r="AH42" s="4067">
        <v>229.30344953045685</v>
      </c>
      <c r="AI42" s="4067">
        <v>196.83050778945184</v>
      </c>
      <c r="AJ42" s="4067">
        <v>181.62430346833602</v>
      </c>
      <c r="AK42" s="4082">
        <f t="shared" si="2"/>
        <v>-21.810478396624802</v>
      </c>
      <c r="AL42" s="713"/>
    </row>
    <row r="43" spans="2:38" ht="18" customHeight="1" x14ac:dyDescent="0.2">
      <c r="B43" s="1135" t="s">
        <v>984</v>
      </c>
      <c r="C43" s="1995"/>
      <c r="D43" s="1995"/>
      <c r="E43" s="4067">
        <v>23.279248799999998</v>
      </c>
      <c r="F43" s="4067">
        <v>21.395995200000002</v>
      </c>
      <c r="G43" s="4067">
        <v>10.180936800000001</v>
      </c>
      <c r="H43" s="4067">
        <v>6.9156864000000011</v>
      </c>
      <c r="I43" s="4067">
        <v>6.4805328000000015</v>
      </c>
      <c r="J43" s="4067">
        <v>6.0704136000000002</v>
      </c>
      <c r="K43" s="4067">
        <v>5.0763455999999998</v>
      </c>
      <c r="L43" s="4067">
        <v>5.7107016000000002</v>
      </c>
      <c r="M43" s="4067">
        <v>5.2888608000000001</v>
      </c>
      <c r="N43" s="4067">
        <v>4.6514591999999997</v>
      </c>
      <c r="O43" s="4067">
        <v>4.7507760000000001</v>
      </c>
      <c r="P43" s="4067">
        <v>4.4713296000000007</v>
      </c>
      <c r="Q43" s="4067">
        <v>4.8257640000000004</v>
      </c>
      <c r="R43" s="4067">
        <v>4.1763168000000004</v>
      </c>
      <c r="S43" s="4067">
        <v>4.1728607999999996</v>
      </c>
      <c r="T43" s="4067">
        <v>4.3693271999999999</v>
      </c>
      <c r="U43" s="4067">
        <v>4.0637663999999996</v>
      </c>
      <c r="V43" s="4067">
        <v>3.5510472000000006</v>
      </c>
      <c r="W43" s="4067">
        <v>2.5958016000000002</v>
      </c>
      <c r="X43" s="4067">
        <v>2.052864</v>
      </c>
      <c r="Y43" s="4067">
        <v>2.0539079999999998</v>
      </c>
      <c r="Z43" s="4067">
        <v>1.6070687999999997</v>
      </c>
      <c r="AA43" s="4067">
        <v>1.3327847999999998</v>
      </c>
      <c r="AB43" s="4067">
        <v>1.2650112</v>
      </c>
      <c r="AC43" s="4067">
        <v>2.0991672000000001</v>
      </c>
      <c r="AD43" s="4067">
        <v>1.490184</v>
      </c>
      <c r="AE43" s="4067">
        <v>1.6117848000000004</v>
      </c>
      <c r="AF43" s="4067">
        <v>1.0143576000000001</v>
      </c>
      <c r="AG43" s="4067">
        <v>0.80982720000000008</v>
      </c>
      <c r="AH43" s="4067">
        <v>0.7035768</v>
      </c>
      <c r="AI43" s="4067">
        <v>0.56323439999999991</v>
      </c>
      <c r="AJ43" s="4067">
        <v>0.49864320000000001</v>
      </c>
      <c r="AK43" s="4082">
        <f t="shared" si="2"/>
        <v>-97.857992737291426</v>
      </c>
      <c r="AL43" s="713"/>
    </row>
    <row r="44" spans="2:38" ht="18" customHeight="1" x14ac:dyDescent="0.2">
      <c r="B44" s="1135" t="s">
        <v>1717</v>
      </c>
      <c r="C44" s="1995"/>
      <c r="D44" s="1995"/>
      <c r="E44" s="4067">
        <v>375.31344528811059</v>
      </c>
      <c r="F44" s="4067">
        <v>346.77392930879643</v>
      </c>
      <c r="G44" s="4067">
        <v>290.79311439165775</v>
      </c>
      <c r="H44" s="4067">
        <v>272.75429848065892</v>
      </c>
      <c r="I44" s="4067">
        <v>277.92113965344078</v>
      </c>
      <c r="J44" s="4067">
        <v>282.14195655377739</v>
      </c>
      <c r="K44" s="4067">
        <v>297.51126031771309</v>
      </c>
      <c r="L44" s="4067">
        <v>315.28190261090305</v>
      </c>
      <c r="M44" s="4067">
        <v>320.13402105141972</v>
      </c>
      <c r="N44" s="4067">
        <v>350.7844926693287</v>
      </c>
      <c r="O44" s="4067">
        <v>380.72967788629023</v>
      </c>
      <c r="P44" s="4067">
        <v>373.31037832536708</v>
      </c>
      <c r="Q44" s="4067">
        <v>375.68223636915826</v>
      </c>
      <c r="R44" s="4067">
        <v>378.59531063360765</v>
      </c>
      <c r="S44" s="4067">
        <v>335.17263953260419</v>
      </c>
      <c r="T44" s="4067">
        <v>351.98305625992145</v>
      </c>
      <c r="U44" s="4067">
        <v>383.50323771289897</v>
      </c>
      <c r="V44" s="4067">
        <v>388.16729497345409</v>
      </c>
      <c r="W44" s="4067">
        <v>332.2581018795654</v>
      </c>
      <c r="X44" s="4067">
        <v>323.98690675263538</v>
      </c>
      <c r="Y44" s="4067">
        <v>314.34671154198963</v>
      </c>
      <c r="Z44" s="4067">
        <v>294.44748877446472</v>
      </c>
      <c r="AA44" s="4067">
        <v>276.03722127684864</v>
      </c>
      <c r="AB44" s="4067">
        <v>283.23372681926639</v>
      </c>
      <c r="AC44" s="4067">
        <v>295.88133473726282</v>
      </c>
      <c r="AD44" s="4067">
        <v>266.62320238712584</v>
      </c>
      <c r="AE44" s="4067">
        <v>249.67701120996236</v>
      </c>
      <c r="AF44" s="4067">
        <v>253.84241910656573</v>
      </c>
      <c r="AG44" s="4067">
        <v>230.907559581009</v>
      </c>
      <c r="AH44" s="4067">
        <v>214.4448361003297</v>
      </c>
      <c r="AI44" s="4067">
        <v>203.63992125032016</v>
      </c>
      <c r="AJ44" s="4067">
        <v>181.89226669585702</v>
      </c>
      <c r="AK44" s="4082">
        <f t="shared" si="2"/>
        <v>-51.535904460809597</v>
      </c>
      <c r="AL44" s="713"/>
    </row>
    <row r="45" spans="2:38" ht="18" customHeight="1" x14ac:dyDescent="0.2">
      <c r="B45" s="1135" t="s">
        <v>1525</v>
      </c>
      <c r="C45" s="1995"/>
      <c r="D45" s="1995"/>
      <c r="E45" s="4067">
        <v>89.17143427957383</v>
      </c>
      <c r="F45" s="4067">
        <v>91.661046801044449</v>
      </c>
      <c r="G45" s="4067">
        <v>86.046996829976635</v>
      </c>
      <c r="H45" s="4067">
        <v>81.874354776187047</v>
      </c>
      <c r="I45" s="4067">
        <v>79.304008745175707</v>
      </c>
      <c r="J45" s="4067">
        <v>75.018783881283582</v>
      </c>
      <c r="K45" s="4067">
        <v>83.604542671189307</v>
      </c>
      <c r="L45" s="4067">
        <v>89.32203165561576</v>
      </c>
      <c r="M45" s="4067">
        <v>87.260650516375762</v>
      </c>
      <c r="N45" s="4067">
        <v>93.194662314151884</v>
      </c>
      <c r="O45" s="4067">
        <v>96.811581550608992</v>
      </c>
      <c r="P45" s="4067">
        <v>96.475439074800789</v>
      </c>
      <c r="Q45" s="4067">
        <v>93.027220567467168</v>
      </c>
      <c r="R45" s="4067">
        <v>84.749013475083714</v>
      </c>
      <c r="S45" s="4067">
        <v>85.345694192875726</v>
      </c>
      <c r="T45" s="4067">
        <v>85.337392030473964</v>
      </c>
      <c r="U45" s="4067">
        <v>86.223059022003454</v>
      </c>
      <c r="V45" s="4067">
        <v>80.12258433872924</v>
      </c>
      <c r="W45" s="4067">
        <v>84.307127967873726</v>
      </c>
      <c r="X45" s="4067">
        <v>89.061705920406652</v>
      </c>
      <c r="Y45" s="4067">
        <v>91.258541551662887</v>
      </c>
      <c r="Z45" s="4067">
        <v>99.398662650181905</v>
      </c>
      <c r="AA45" s="4067">
        <v>101.37439143096563</v>
      </c>
      <c r="AB45" s="4067">
        <v>97.64475951517818</v>
      </c>
      <c r="AC45" s="4067">
        <v>92.824653659723879</v>
      </c>
      <c r="AD45" s="4067">
        <v>91.088205441772303</v>
      </c>
      <c r="AE45" s="4067">
        <v>85.543842270824783</v>
      </c>
      <c r="AF45" s="4067">
        <v>94.76174054045913</v>
      </c>
      <c r="AG45" s="4067">
        <v>90.670087246895903</v>
      </c>
      <c r="AH45" s="4067">
        <v>82.966298828832265</v>
      </c>
      <c r="AI45" s="4067">
        <v>74.314927583882636</v>
      </c>
      <c r="AJ45" s="4067">
        <v>79.37406154050764</v>
      </c>
      <c r="AK45" s="4082">
        <f t="shared" si="2"/>
        <v>-10.987120279291545</v>
      </c>
      <c r="AL45" s="713"/>
    </row>
    <row r="46" spans="2:38" ht="18" customHeight="1" x14ac:dyDescent="0.2">
      <c r="B46" s="1135" t="s">
        <v>992</v>
      </c>
      <c r="C46" s="1995"/>
      <c r="D46" s="1995"/>
      <c r="E46" s="4067">
        <v>6.6784824</v>
      </c>
      <c r="F46" s="4067">
        <v>5.6497968000000007</v>
      </c>
      <c r="G46" s="4067">
        <v>4.8059639999999995</v>
      </c>
      <c r="H46" s="4067">
        <v>4.2565680000000006</v>
      </c>
      <c r="I46" s="4067">
        <v>4.1152968000000003</v>
      </c>
      <c r="J46" s="4067">
        <v>3.7549944000000002</v>
      </c>
      <c r="K46" s="4067">
        <v>3.1678703999999995</v>
      </c>
      <c r="L46" s="4067">
        <v>3.6133919999999997</v>
      </c>
      <c r="M46" s="4067">
        <v>3.4457328</v>
      </c>
      <c r="N46" s="4067">
        <v>3.1717512000000001</v>
      </c>
      <c r="O46" s="4067">
        <v>3.4368048000000004</v>
      </c>
      <c r="P46" s="4067">
        <v>2.8958472000000004</v>
      </c>
      <c r="Q46" s="4067">
        <v>3.1381344000000002</v>
      </c>
      <c r="R46" s="4067">
        <v>3.4798536000000002</v>
      </c>
      <c r="S46" s="4067">
        <v>4.0544064000000004</v>
      </c>
      <c r="T46" s="4067">
        <v>4.7356847999999996</v>
      </c>
      <c r="U46" s="4067">
        <v>4.6523952</v>
      </c>
      <c r="V46" s="4067">
        <v>4.1718816000000007</v>
      </c>
      <c r="W46" s="4067">
        <v>3.5768016000000005</v>
      </c>
      <c r="X46" s="4067">
        <v>3.0061223999999998</v>
      </c>
      <c r="Y46" s="4067">
        <v>2.8248912000000002</v>
      </c>
      <c r="Z46" s="4067">
        <v>2.4392160000000001</v>
      </c>
      <c r="AA46" s="4067">
        <v>1.8832536000000002</v>
      </c>
      <c r="AB46" s="4067">
        <v>1.4476032000000001</v>
      </c>
      <c r="AC46" s="4067">
        <v>1.385964</v>
      </c>
      <c r="AD46" s="4067">
        <v>1.3297896</v>
      </c>
      <c r="AE46" s="4067">
        <v>1.5000551999999998</v>
      </c>
      <c r="AF46" s="4067">
        <v>1.3681512000000002</v>
      </c>
      <c r="AG46" s="4067">
        <v>0.98173440000000001</v>
      </c>
      <c r="AH46" s="4067">
        <v>0.79653600000000002</v>
      </c>
      <c r="AI46" s="4067">
        <v>0.59161679999999994</v>
      </c>
      <c r="AJ46" s="4067">
        <v>0.48926880000000006</v>
      </c>
      <c r="AK46" s="4082">
        <f t="shared" si="2"/>
        <v>-92.673952393735433</v>
      </c>
      <c r="AL46" s="713"/>
    </row>
    <row r="47" spans="2:38" ht="18" customHeight="1" x14ac:dyDescent="0.2">
      <c r="B47" s="1135" t="s">
        <v>1527</v>
      </c>
      <c r="C47" s="1995"/>
      <c r="D47" s="1995"/>
      <c r="E47" s="4076" t="s">
        <v>2146</v>
      </c>
      <c r="F47" s="4076" t="s">
        <v>2146</v>
      </c>
      <c r="G47" s="4076" t="s">
        <v>2146</v>
      </c>
      <c r="H47" s="4076" t="s">
        <v>2146</v>
      </c>
      <c r="I47" s="4076" t="s">
        <v>2146</v>
      </c>
      <c r="J47" s="4076" t="s">
        <v>2146</v>
      </c>
      <c r="K47" s="4076" t="s">
        <v>2146</v>
      </c>
      <c r="L47" s="4076" t="s">
        <v>2146</v>
      </c>
      <c r="M47" s="4076" t="s">
        <v>2146</v>
      </c>
      <c r="N47" s="4076" t="s">
        <v>2146</v>
      </c>
      <c r="O47" s="4076" t="s">
        <v>2146</v>
      </c>
      <c r="P47" s="4076" t="s">
        <v>2146</v>
      </c>
      <c r="Q47" s="4076" t="s">
        <v>2146</v>
      </c>
      <c r="R47" s="4076" t="s">
        <v>2146</v>
      </c>
      <c r="S47" s="4076" t="s">
        <v>2146</v>
      </c>
      <c r="T47" s="4076" t="s">
        <v>2146</v>
      </c>
      <c r="U47" s="4076" t="s">
        <v>2146</v>
      </c>
      <c r="V47" s="4076" t="s">
        <v>2146</v>
      </c>
      <c r="W47" s="4076" t="s">
        <v>2146</v>
      </c>
      <c r="X47" s="4076" t="s">
        <v>2146</v>
      </c>
      <c r="Y47" s="4076" t="s">
        <v>2146</v>
      </c>
      <c r="Z47" s="4076" t="s">
        <v>2146</v>
      </c>
      <c r="AA47" s="4076" t="s">
        <v>2146</v>
      </c>
      <c r="AB47" s="4076" t="s">
        <v>2146</v>
      </c>
      <c r="AC47" s="4076" t="s">
        <v>2146</v>
      </c>
      <c r="AD47" s="4076" t="s">
        <v>2146</v>
      </c>
      <c r="AE47" s="4076" t="s">
        <v>2146</v>
      </c>
      <c r="AF47" s="4076" t="s">
        <v>2146</v>
      </c>
      <c r="AG47" s="4076" t="s">
        <v>2146</v>
      </c>
      <c r="AH47" s="4076" t="s">
        <v>2146</v>
      </c>
      <c r="AI47" s="4076" t="s">
        <v>2146</v>
      </c>
      <c r="AJ47" s="4076" t="s">
        <v>2146</v>
      </c>
      <c r="AK47" s="4082" t="str">
        <f t="shared" si="2"/>
        <v>NA</v>
      </c>
      <c r="AL47" s="713"/>
    </row>
    <row r="48" spans="2:38" ht="18" customHeight="1" x14ac:dyDescent="0.2">
      <c r="B48" s="1135" t="s">
        <v>1528</v>
      </c>
      <c r="C48" s="354"/>
      <c r="D48" s="354"/>
      <c r="E48" s="354"/>
      <c r="F48" s="354"/>
      <c r="G48" s="1997"/>
      <c r="H48" s="1997"/>
      <c r="I48" s="1997"/>
      <c r="J48" s="1997"/>
      <c r="K48" s="1997"/>
      <c r="L48" s="1997"/>
      <c r="M48" s="1997"/>
      <c r="N48" s="1997"/>
      <c r="O48" s="1997"/>
      <c r="P48" s="1997"/>
      <c r="Q48" s="1997"/>
      <c r="R48" s="1997"/>
      <c r="S48" s="1997"/>
      <c r="T48" s="1997"/>
      <c r="U48" s="1997"/>
      <c r="V48" s="1997"/>
      <c r="W48" s="1997"/>
      <c r="X48" s="1997"/>
      <c r="Y48" s="1997"/>
      <c r="Z48" s="1997"/>
      <c r="AA48" s="1997"/>
      <c r="AB48" s="1997"/>
      <c r="AC48" s="1997"/>
      <c r="AD48" s="1997"/>
      <c r="AE48" s="1997"/>
      <c r="AF48" s="1997"/>
      <c r="AG48" s="1997"/>
      <c r="AH48" s="1997"/>
      <c r="AI48" s="1997"/>
      <c r="AJ48" s="1997"/>
      <c r="AK48" s="349"/>
      <c r="AL48" s="713"/>
    </row>
    <row r="49" spans="2:38" ht="18" customHeight="1" thickBot="1" x14ac:dyDescent="0.25">
      <c r="B49" s="1376" t="s">
        <v>1718</v>
      </c>
      <c r="C49" s="2013"/>
      <c r="D49" s="2013"/>
      <c r="E49" s="4079" t="s">
        <v>2146</v>
      </c>
      <c r="F49" s="4079" t="s">
        <v>2146</v>
      </c>
      <c r="G49" s="4079" t="s">
        <v>2146</v>
      </c>
      <c r="H49" s="4079" t="s">
        <v>2146</v>
      </c>
      <c r="I49" s="4079" t="s">
        <v>2146</v>
      </c>
      <c r="J49" s="4079" t="s">
        <v>2146</v>
      </c>
      <c r="K49" s="4079" t="s">
        <v>2146</v>
      </c>
      <c r="L49" s="4079" t="s">
        <v>2146</v>
      </c>
      <c r="M49" s="4079" t="s">
        <v>2146</v>
      </c>
      <c r="N49" s="4079" t="s">
        <v>2146</v>
      </c>
      <c r="O49" s="4079" t="s">
        <v>2146</v>
      </c>
      <c r="P49" s="4079" t="s">
        <v>2146</v>
      </c>
      <c r="Q49" s="4079" t="s">
        <v>2146</v>
      </c>
      <c r="R49" s="4079" t="s">
        <v>2146</v>
      </c>
      <c r="S49" s="4079" t="s">
        <v>2146</v>
      </c>
      <c r="T49" s="4079" t="s">
        <v>2146</v>
      </c>
      <c r="U49" s="4079" t="s">
        <v>2146</v>
      </c>
      <c r="V49" s="4079" t="s">
        <v>2146</v>
      </c>
      <c r="W49" s="4079" t="s">
        <v>2146</v>
      </c>
      <c r="X49" s="4079" t="s">
        <v>2146</v>
      </c>
      <c r="Y49" s="4079" t="s">
        <v>2146</v>
      </c>
      <c r="Z49" s="4079" t="s">
        <v>2146</v>
      </c>
      <c r="AA49" s="4079" t="s">
        <v>2146</v>
      </c>
      <c r="AB49" s="4079" t="s">
        <v>2146</v>
      </c>
      <c r="AC49" s="4079" t="s">
        <v>2146</v>
      </c>
      <c r="AD49" s="4079" t="s">
        <v>2146</v>
      </c>
      <c r="AE49" s="4079" t="s">
        <v>2146</v>
      </c>
      <c r="AF49" s="4079" t="s">
        <v>2146</v>
      </c>
      <c r="AG49" s="4079" t="s">
        <v>2146</v>
      </c>
      <c r="AH49" s="4079" t="s">
        <v>2146</v>
      </c>
      <c r="AI49" s="4079" t="s">
        <v>2146</v>
      </c>
      <c r="AJ49" s="4079" t="s">
        <v>2146</v>
      </c>
      <c r="AK49" s="4084" t="str">
        <f t="shared" si="2"/>
        <v>NA</v>
      </c>
      <c r="AL49" s="713"/>
    </row>
    <row r="50" spans="2:38" ht="18" customHeight="1" x14ac:dyDescent="0.2">
      <c r="B50" s="766" t="s">
        <v>1500</v>
      </c>
      <c r="C50" s="1994"/>
      <c r="D50" s="1994"/>
      <c r="E50" s="4096">
        <f>SUM(E51:E55)</f>
        <v>829.68274450719059</v>
      </c>
      <c r="F50" s="4096">
        <f t="shared" ref="F50:AJ50" si="7">SUM(F51:F55)</f>
        <v>826.76554437869629</v>
      </c>
      <c r="G50" s="4096">
        <f t="shared" si="7"/>
        <v>817.14945103461787</v>
      </c>
      <c r="H50" s="4096">
        <f t="shared" si="7"/>
        <v>810.52484543390358</v>
      </c>
      <c r="I50" s="4096">
        <f t="shared" si="7"/>
        <v>782.88308857060645</v>
      </c>
      <c r="J50" s="4096">
        <f t="shared" si="7"/>
        <v>780.05258925044996</v>
      </c>
      <c r="K50" s="4096">
        <f t="shared" si="7"/>
        <v>713.95417380061292</v>
      </c>
      <c r="L50" s="4096">
        <f t="shared" si="7"/>
        <v>703.74147376951532</v>
      </c>
      <c r="M50" s="4096">
        <f t="shared" si="7"/>
        <v>674.05288797349044</v>
      </c>
      <c r="N50" s="4096">
        <f t="shared" si="7"/>
        <v>678.32652706384897</v>
      </c>
      <c r="O50" s="4096">
        <f t="shared" si="7"/>
        <v>655.29428131422515</v>
      </c>
      <c r="P50" s="4096">
        <f t="shared" si="7"/>
        <v>665.95738023063086</v>
      </c>
      <c r="Q50" s="4096">
        <f t="shared" si="7"/>
        <v>667.69371542626129</v>
      </c>
      <c r="R50" s="4096">
        <f t="shared" si="7"/>
        <v>574.05144646296901</v>
      </c>
      <c r="S50" s="4096">
        <f t="shared" si="7"/>
        <v>558.12658051620224</v>
      </c>
      <c r="T50" s="4096">
        <f t="shared" si="7"/>
        <v>552.42686911725229</v>
      </c>
      <c r="U50" s="4096">
        <f t="shared" si="7"/>
        <v>542.94436182495917</v>
      </c>
      <c r="V50" s="4096">
        <f t="shared" si="7"/>
        <v>556.62062211428974</v>
      </c>
      <c r="W50" s="4096">
        <f t="shared" si="7"/>
        <v>574.38132106873013</v>
      </c>
      <c r="X50" s="4096">
        <f t="shared" si="7"/>
        <v>565.77498632402853</v>
      </c>
      <c r="Y50" s="4096">
        <f t="shared" si="7"/>
        <v>559.5480898481843</v>
      </c>
      <c r="Z50" s="4096">
        <f t="shared" si="7"/>
        <v>542.11797981010432</v>
      </c>
      <c r="AA50" s="4096">
        <f t="shared" si="7"/>
        <v>496.11823824090345</v>
      </c>
      <c r="AB50" s="4096">
        <f t="shared" si="7"/>
        <v>462.26814308719491</v>
      </c>
      <c r="AC50" s="4096">
        <f t="shared" si="7"/>
        <v>459.91700350699949</v>
      </c>
      <c r="AD50" s="4096">
        <f t="shared" si="7"/>
        <v>441.09029347924292</v>
      </c>
      <c r="AE50" s="4096">
        <f t="shared" si="7"/>
        <v>453.24908887861164</v>
      </c>
      <c r="AF50" s="4096">
        <f t="shared" si="7"/>
        <v>462.60770151151848</v>
      </c>
      <c r="AG50" s="4096">
        <f t="shared" si="7"/>
        <v>445.91806904111058</v>
      </c>
      <c r="AH50" s="4096">
        <f t="shared" si="7"/>
        <v>460.01442457231229</v>
      </c>
      <c r="AI50" s="4096">
        <f t="shared" si="7"/>
        <v>467.72318830301674</v>
      </c>
      <c r="AJ50" s="4096">
        <f t="shared" si="7"/>
        <v>463.81294651094447</v>
      </c>
      <c r="AK50" s="4082">
        <f t="shared" si="2"/>
        <v>-44.097554205922776</v>
      </c>
      <c r="AL50" s="713"/>
    </row>
    <row r="51" spans="2:38" ht="18" customHeight="1" x14ac:dyDescent="0.2">
      <c r="B51" s="1135" t="s">
        <v>1719</v>
      </c>
      <c r="C51" s="1995"/>
      <c r="D51" s="1995"/>
      <c r="E51" s="4067">
        <v>609.45198816890013</v>
      </c>
      <c r="F51" s="4067">
        <v>608.9110280750765</v>
      </c>
      <c r="G51" s="4067">
        <v>602.77834203638702</v>
      </c>
      <c r="H51" s="4067">
        <v>601.13211612252735</v>
      </c>
      <c r="I51" s="4067">
        <v>577.81348391138795</v>
      </c>
      <c r="J51" s="4067">
        <v>582.74333482420116</v>
      </c>
      <c r="K51" s="4067">
        <v>526.16784705304315</v>
      </c>
      <c r="L51" s="4067">
        <v>521.54490516052203</v>
      </c>
      <c r="M51" s="4067">
        <v>493.89166114582758</v>
      </c>
      <c r="N51" s="4067">
        <v>498.85536757997056</v>
      </c>
      <c r="O51" s="4067">
        <v>491.03137888980473</v>
      </c>
      <c r="P51" s="4067">
        <v>492.86919517599745</v>
      </c>
      <c r="Q51" s="4067">
        <v>499.86312433333853</v>
      </c>
      <c r="R51" s="4067">
        <v>461.93155880209582</v>
      </c>
      <c r="S51" s="4067">
        <v>444.41494937552795</v>
      </c>
      <c r="T51" s="4067">
        <v>438.13423812969211</v>
      </c>
      <c r="U51" s="4067">
        <v>427.25933199037354</v>
      </c>
      <c r="V51" s="4067">
        <v>439.03412182785155</v>
      </c>
      <c r="W51" s="4067">
        <v>455.58731692634456</v>
      </c>
      <c r="X51" s="4067">
        <v>452.7720331259797</v>
      </c>
      <c r="Y51" s="4067">
        <v>464.08864473525119</v>
      </c>
      <c r="Z51" s="4067">
        <v>447.82526709797867</v>
      </c>
      <c r="AA51" s="4067">
        <v>398.53660751144321</v>
      </c>
      <c r="AB51" s="4067">
        <v>367.73631695752994</v>
      </c>
      <c r="AC51" s="4067">
        <v>366.44321956911591</v>
      </c>
      <c r="AD51" s="4067">
        <v>348.23789537517314</v>
      </c>
      <c r="AE51" s="4067">
        <v>352.88296812080199</v>
      </c>
      <c r="AF51" s="4067">
        <v>363.57840996028779</v>
      </c>
      <c r="AG51" s="4067">
        <v>343.91068438664843</v>
      </c>
      <c r="AH51" s="4067">
        <v>364.85041278861996</v>
      </c>
      <c r="AI51" s="4067">
        <v>364.94052203847934</v>
      </c>
      <c r="AJ51" s="4067">
        <v>359.8537894662627</v>
      </c>
      <c r="AK51" s="4082">
        <f t="shared" si="2"/>
        <v>-40.954530225187348</v>
      </c>
      <c r="AL51" s="713"/>
    </row>
    <row r="52" spans="2:38" ht="18" customHeight="1" x14ac:dyDescent="0.2">
      <c r="B52" s="1135" t="s">
        <v>1531</v>
      </c>
      <c r="C52" s="1995"/>
      <c r="D52" s="1995"/>
      <c r="E52" s="4067">
        <v>0.35026726298999472</v>
      </c>
      <c r="F52" s="4067">
        <v>0.48310166212398975</v>
      </c>
      <c r="G52" s="4067">
        <v>0.61593606125799227</v>
      </c>
      <c r="H52" s="4067">
        <v>0.74877046039199469</v>
      </c>
      <c r="I52" s="4067">
        <v>0.88160485952599499</v>
      </c>
      <c r="J52" s="4067">
        <v>1.0144392586599897</v>
      </c>
      <c r="K52" s="4067">
        <v>1.1472736577939926</v>
      </c>
      <c r="L52" s="4067">
        <v>1.2801080569279952</v>
      </c>
      <c r="M52" s="4067">
        <v>1.4129424560619974</v>
      </c>
      <c r="N52" s="4067">
        <v>1.5457768551959998</v>
      </c>
      <c r="O52" s="4067">
        <v>1.6786112543299947</v>
      </c>
      <c r="P52" s="4067">
        <v>1.8114456534639976</v>
      </c>
      <c r="Q52" s="4067">
        <v>1.9442800525980002</v>
      </c>
      <c r="R52" s="4067">
        <v>2.0771144517320019</v>
      </c>
      <c r="S52" s="4067">
        <v>2.2099488508659997</v>
      </c>
      <c r="T52" s="4067">
        <v>2.3427832499999997</v>
      </c>
      <c r="U52" s="4067">
        <v>2.5227352500000002</v>
      </c>
      <c r="V52" s="4067">
        <v>2.6635267499999995</v>
      </c>
      <c r="W52" s="4067">
        <v>2.8674236249999994</v>
      </c>
      <c r="X52" s="4067">
        <v>3.0080040074999994</v>
      </c>
      <c r="Y52" s="4067">
        <v>3.4023967574999996</v>
      </c>
      <c r="Z52" s="4067">
        <v>3.9527055075000002</v>
      </c>
      <c r="AA52" s="4067">
        <v>4.0213965150000002</v>
      </c>
      <c r="AB52" s="4067">
        <v>4.090241279999999</v>
      </c>
      <c r="AC52" s="4067">
        <v>4.1509899225</v>
      </c>
      <c r="AD52" s="4067">
        <v>4.2091381424999996</v>
      </c>
      <c r="AE52" s="4067">
        <v>4.3177532196272264</v>
      </c>
      <c r="AF52" s="4067">
        <v>4.3859349382207657</v>
      </c>
      <c r="AG52" s="4067">
        <v>4.4564237660797268</v>
      </c>
      <c r="AH52" s="4067">
        <v>4.4898423234669931</v>
      </c>
      <c r="AI52" s="4067">
        <v>4.5475882237186438</v>
      </c>
      <c r="AJ52" s="4067">
        <v>4.5622696188806646</v>
      </c>
      <c r="AK52" s="4082">
        <f t="shared" si="2"/>
        <v>1202.5109968701197</v>
      </c>
      <c r="AL52" s="713"/>
    </row>
    <row r="53" spans="2:38" ht="18" customHeight="1" x14ac:dyDescent="0.2">
      <c r="B53" s="1135" t="s">
        <v>1532</v>
      </c>
      <c r="C53" s="1995"/>
      <c r="D53" s="1995"/>
      <c r="E53" s="4067">
        <v>9.2671199999999995E-2</v>
      </c>
      <c r="F53" s="4067">
        <v>9.2671199999999995E-2</v>
      </c>
      <c r="G53" s="4067">
        <v>9.2671199999999995E-2</v>
      </c>
      <c r="H53" s="4067">
        <v>9.2671199999999995E-2</v>
      </c>
      <c r="I53" s="4067">
        <v>9.2671199999999995E-2</v>
      </c>
      <c r="J53" s="4067">
        <v>9.2671199999999995E-2</v>
      </c>
      <c r="K53" s="4067">
        <v>6.0389999999999999E-2</v>
      </c>
      <c r="L53" s="4067" t="s">
        <v>2146</v>
      </c>
      <c r="M53" s="4067" t="s">
        <v>2146</v>
      </c>
      <c r="N53" s="4067" t="s">
        <v>2146</v>
      </c>
      <c r="O53" s="4067" t="s">
        <v>2146</v>
      </c>
      <c r="P53" s="4067" t="s">
        <v>2146</v>
      </c>
      <c r="Q53" s="4067" t="s">
        <v>2146</v>
      </c>
      <c r="R53" s="4067" t="s">
        <v>2146</v>
      </c>
      <c r="S53" s="4067" t="s">
        <v>2146</v>
      </c>
      <c r="T53" s="4067" t="s">
        <v>2146</v>
      </c>
      <c r="U53" s="4067" t="s">
        <v>2146</v>
      </c>
      <c r="V53" s="4067" t="s">
        <v>2146</v>
      </c>
      <c r="W53" s="4067" t="s">
        <v>2146</v>
      </c>
      <c r="X53" s="4067" t="s">
        <v>2146</v>
      </c>
      <c r="Y53" s="4067" t="s">
        <v>2146</v>
      </c>
      <c r="Z53" s="4067" t="s">
        <v>2146</v>
      </c>
      <c r="AA53" s="4067" t="s">
        <v>2146</v>
      </c>
      <c r="AB53" s="4067" t="s">
        <v>2146</v>
      </c>
      <c r="AC53" s="4067" t="s">
        <v>2146</v>
      </c>
      <c r="AD53" s="4067" t="s">
        <v>2146</v>
      </c>
      <c r="AE53" s="4067" t="s">
        <v>2146</v>
      </c>
      <c r="AF53" s="4067" t="s">
        <v>2146</v>
      </c>
      <c r="AG53" s="4067" t="s">
        <v>2146</v>
      </c>
      <c r="AH53" s="4067" t="s">
        <v>2146</v>
      </c>
      <c r="AI53" s="4067" t="s">
        <v>2146</v>
      </c>
      <c r="AJ53" s="4067" t="s">
        <v>2146</v>
      </c>
      <c r="AK53" s="4082">
        <f t="shared" si="2"/>
        <v>-100</v>
      </c>
      <c r="AL53" s="713"/>
    </row>
    <row r="54" spans="2:38" ht="18" customHeight="1" x14ac:dyDescent="0.2">
      <c r="B54" s="1135" t="s">
        <v>1502</v>
      </c>
      <c r="C54" s="1995"/>
      <c r="D54" s="1995"/>
      <c r="E54" s="4067">
        <v>219.7878178753005</v>
      </c>
      <c r="F54" s="4067">
        <v>217.27874344149578</v>
      </c>
      <c r="G54" s="4067">
        <v>213.66250173697281</v>
      </c>
      <c r="H54" s="4067">
        <v>208.55128765098428</v>
      </c>
      <c r="I54" s="4067">
        <v>204.09532859969249</v>
      </c>
      <c r="J54" s="4067">
        <v>196.20214396758877</v>
      </c>
      <c r="K54" s="4067">
        <v>186.57866308977574</v>
      </c>
      <c r="L54" s="4067">
        <v>180.91646055206525</v>
      </c>
      <c r="M54" s="4067">
        <v>178.7482843716009</v>
      </c>
      <c r="N54" s="4067">
        <v>177.9253826286824</v>
      </c>
      <c r="O54" s="4067">
        <v>162.58429117009047</v>
      </c>
      <c r="P54" s="4067">
        <v>171.27673940116944</v>
      </c>
      <c r="Q54" s="4067">
        <v>165.88631104032476</v>
      </c>
      <c r="R54" s="4067">
        <v>110.04277320914119</v>
      </c>
      <c r="S54" s="4067">
        <v>111.50168228980831</v>
      </c>
      <c r="T54" s="4067">
        <v>111.94984773756021</v>
      </c>
      <c r="U54" s="4067">
        <v>113.16229458458568</v>
      </c>
      <c r="V54" s="4067">
        <v>114.92297353643815</v>
      </c>
      <c r="W54" s="4067">
        <v>115.92658051738562</v>
      </c>
      <c r="X54" s="4067">
        <v>109.99494919054877</v>
      </c>
      <c r="Y54" s="4067">
        <v>92.057048355433096</v>
      </c>
      <c r="Z54" s="4067">
        <v>90.340007204625664</v>
      </c>
      <c r="AA54" s="4067">
        <v>93.560234214460223</v>
      </c>
      <c r="AB54" s="4067">
        <v>90.441584849664991</v>
      </c>
      <c r="AC54" s="4067">
        <v>89.322794015383593</v>
      </c>
      <c r="AD54" s="4067">
        <v>88.64325996156974</v>
      </c>
      <c r="AE54" s="4067">
        <v>96.048367538182447</v>
      </c>
      <c r="AF54" s="4067">
        <v>94.643356613009956</v>
      </c>
      <c r="AG54" s="4067">
        <v>97.550960888382377</v>
      </c>
      <c r="AH54" s="4067">
        <v>90.674169460225357</v>
      </c>
      <c r="AI54" s="4067">
        <v>98.235078040818763</v>
      </c>
      <c r="AJ54" s="4067">
        <v>99.396887425801083</v>
      </c>
      <c r="AK54" s="4082">
        <f t="shared" si="2"/>
        <v>-54.775979675909426</v>
      </c>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2075</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IF(AJ56="NO",IF(E56="NO","NA",-100),IF(E56="NO",100,AJ56/E56*100-100))</f>
        <v>NA</v>
      </c>
      <c r="AL56" s="713"/>
    </row>
    <row r="57" spans="2:38" ht="18" customHeight="1" thickBot="1" x14ac:dyDescent="0.25">
      <c r="B57" s="985"/>
      <c r="C57" s="986"/>
      <c r="D57" s="986"/>
      <c r="E57" s="986"/>
      <c r="F57" s="986"/>
      <c r="G57" s="986"/>
      <c r="H57" s="986"/>
      <c r="I57" s="986"/>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19"/>
    </row>
    <row r="58" spans="2:38" ht="18" customHeight="1" thickBot="1" x14ac:dyDescent="0.25">
      <c r="B58" s="1728" t="s">
        <v>2133</v>
      </c>
      <c r="C58" s="773"/>
      <c r="D58" s="774"/>
      <c r="E58" s="4100">
        <f>SUM(E10,E21,E30,E50,E56)</f>
        <v>5005.3368040404184</v>
      </c>
      <c r="F58" s="4100">
        <f t="shared" ref="F58:AJ58" si="8">SUM(F10,F21,F30,F50,F56)</f>
        <v>4967.9755037274626</v>
      </c>
      <c r="G58" s="4100">
        <f t="shared" si="8"/>
        <v>4929.5930378036446</v>
      </c>
      <c r="H58" s="4100">
        <f t="shared" si="8"/>
        <v>4804.6378146399629</v>
      </c>
      <c r="I58" s="4100">
        <f t="shared" si="8"/>
        <v>4690.753262741976</v>
      </c>
      <c r="J58" s="4100">
        <f t="shared" si="8"/>
        <v>4633.5053170706833</v>
      </c>
      <c r="K58" s="4100">
        <f t="shared" si="8"/>
        <v>4606.2400903467342</v>
      </c>
      <c r="L58" s="4100">
        <f t="shared" si="8"/>
        <v>4720.1145208286071</v>
      </c>
      <c r="M58" s="4100">
        <f t="shared" si="8"/>
        <v>4713.321073857498</v>
      </c>
      <c r="N58" s="4100">
        <f t="shared" si="8"/>
        <v>4566.5168426399887</v>
      </c>
      <c r="O58" s="4100">
        <f t="shared" si="8"/>
        <v>4722.0209917203965</v>
      </c>
      <c r="P58" s="4100">
        <f t="shared" si="8"/>
        <v>4684.375766150355</v>
      </c>
      <c r="Q58" s="4100">
        <f t="shared" si="8"/>
        <v>4619.4053275071601</v>
      </c>
      <c r="R58" s="4100">
        <f t="shared" si="8"/>
        <v>4341.121506057073</v>
      </c>
      <c r="S58" s="4100">
        <f t="shared" si="8"/>
        <v>4400.5906423578308</v>
      </c>
      <c r="T58" s="4100">
        <f t="shared" si="8"/>
        <v>4492.0451278954497</v>
      </c>
      <c r="U58" s="4100">
        <f t="shared" si="8"/>
        <v>4451.9332146727147</v>
      </c>
      <c r="V58" s="4100">
        <f t="shared" si="8"/>
        <v>4466.6177319515027</v>
      </c>
      <c r="W58" s="4100">
        <f t="shared" si="8"/>
        <v>4362.4523828277133</v>
      </c>
      <c r="X58" s="4100">
        <f t="shared" si="8"/>
        <v>4313.1519762232974</v>
      </c>
      <c r="Y58" s="4100">
        <f t="shared" si="8"/>
        <v>4192.412368277548</v>
      </c>
      <c r="Z58" s="4100">
        <f t="shared" si="8"/>
        <v>4254.2422056577107</v>
      </c>
      <c r="AA58" s="4100">
        <f t="shared" si="8"/>
        <v>4267.4433588181146</v>
      </c>
      <c r="AB58" s="4100">
        <f t="shared" si="8"/>
        <v>4252.1178124650278</v>
      </c>
      <c r="AC58" s="4100">
        <f t="shared" si="8"/>
        <v>4141.5292547197032</v>
      </c>
      <c r="AD58" s="4100">
        <f t="shared" si="8"/>
        <v>4159.9671290927035</v>
      </c>
      <c r="AE58" s="4100">
        <f t="shared" si="8"/>
        <v>4119.2346109603986</v>
      </c>
      <c r="AF58" s="4100">
        <f t="shared" si="8"/>
        <v>4195.1831400154779</v>
      </c>
      <c r="AG58" s="4100">
        <f t="shared" si="8"/>
        <v>4214.7652505022452</v>
      </c>
      <c r="AH58" s="4100">
        <f t="shared" si="8"/>
        <v>3985.8201995755207</v>
      </c>
      <c r="AI58" s="4100">
        <f t="shared" si="8"/>
        <v>3919.9545919610341</v>
      </c>
      <c r="AJ58" s="4100">
        <f t="shared" si="8"/>
        <v>3926.2407717968817</v>
      </c>
      <c r="AK58" s="4099">
        <f>IF(AJ58="NO",IF(E58="NO","NA",-100),IF(E58="NO",100,AJ58/E58*100-100))</f>
        <v>-21.558909509794958</v>
      </c>
      <c r="AL58" s="713"/>
    </row>
    <row r="59" spans="2:38" ht="18" customHeight="1" thickBot="1" x14ac:dyDescent="0.25">
      <c r="B59" s="1447" t="s">
        <v>2134</v>
      </c>
      <c r="C59" s="773"/>
      <c r="D59" s="774"/>
      <c r="E59" s="4100">
        <f>SUM(E58,E41)</f>
        <v>5732.0666826464267</v>
      </c>
      <c r="F59" s="4100">
        <f t="shared" ref="F59:AJ59" si="9">SUM(F58,F41)</f>
        <v>5667.1230049555106</v>
      </c>
      <c r="G59" s="4100">
        <f t="shared" si="9"/>
        <v>5571.9524255812648</v>
      </c>
      <c r="H59" s="4100">
        <f t="shared" si="9"/>
        <v>5424.2209677116753</v>
      </c>
      <c r="I59" s="4100">
        <f t="shared" si="9"/>
        <v>5289.5836352980723</v>
      </c>
      <c r="J59" s="4100">
        <f t="shared" si="9"/>
        <v>5223.1347047331965</v>
      </c>
      <c r="K59" s="4100">
        <f t="shared" si="9"/>
        <v>5230.4905846793908</v>
      </c>
      <c r="L59" s="4100">
        <f t="shared" si="9"/>
        <v>5338.7208384791938</v>
      </c>
      <c r="M59" s="4100">
        <f t="shared" si="9"/>
        <v>5329.8025986688936</v>
      </c>
      <c r="N59" s="4100">
        <f t="shared" si="9"/>
        <v>5222.0017939602294</v>
      </c>
      <c r="O59" s="4100">
        <f t="shared" si="9"/>
        <v>5449.1953916219545</v>
      </c>
      <c r="P59" s="4100">
        <f t="shared" si="9"/>
        <v>5385.4708723987123</v>
      </c>
      <c r="Q59" s="4100">
        <f t="shared" si="9"/>
        <v>5334.1324504677732</v>
      </c>
      <c r="R59" s="4100">
        <f t="shared" si="9"/>
        <v>5058.0250881838792</v>
      </c>
      <c r="S59" s="4100">
        <f t="shared" si="9"/>
        <v>5066.2074466641207</v>
      </c>
      <c r="T59" s="4100">
        <f t="shared" si="9"/>
        <v>5165.4246898547481</v>
      </c>
      <c r="U59" s="4100">
        <f t="shared" si="9"/>
        <v>5178.2861363259372</v>
      </c>
      <c r="V59" s="4100">
        <f t="shared" si="9"/>
        <v>5214.8460160840195</v>
      </c>
      <c r="W59" s="4100">
        <f t="shared" si="9"/>
        <v>5097.6797740103229</v>
      </c>
      <c r="X59" s="4100">
        <f t="shared" si="9"/>
        <v>5040.3311733776709</v>
      </c>
      <c r="Y59" s="4100">
        <f t="shared" si="9"/>
        <v>4906.1354640496011</v>
      </c>
      <c r="Z59" s="4100">
        <f t="shared" si="9"/>
        <v>4982.0979736103645</v>
      </c>
      <c r="AA59" s="4100">
        <f t="shared" si="9"/>
        <v>4942.8661598751587</v>
      </c>
      <c r="AB59" s="4100">
        <f t="shared" si="9"/>
        <v>4915.4653469092591</v>
      </c>
      <c r="AC59" s="4100">
        <f t="shared" si="9"/>
        <v>4832.088859909144</v>
      </c>
      <c r="AD59" s="4100">
        <f t="shared" si="9"/>
        <v>4824.4853481122427</v>
      </c>
      <c r="AE59" s="4100">
        <f t="shared" si="9"/>
        <v>4733.0941634379942</v>
      </c>
      <c r="AF59" s="4100">
        <f t="shared" si="9"/>
        <v>4816.6060395216709</v>
      </c>
      <c r="AG59" s="4100">
        <f t="shared" si="9"/>
        <v>4767.8748875825595</v>
      </c>
      <c r="AH59" s="4100">
        <f t="shared" si="9"/>
        <v>4514.0348968351391</v>
      </c>
      <c r="AI59" s="4100">
        <f t="shared" si="9"/>
        <v>4395.894799784689</v>
      </c>
      <c r="AJ59" s="4100">
        <f t="shared" si="9"/>
        <v>4370.1193155015826</v>
      </c>
      <c r="AK59" s="4099">
        <f>IF(AJ59="NO",IF(E59="NO","NA",-100),IF(E59="NO",100,AJ59/E59*100-100))</f>
        <v>-23.760145206755496</v>
      </c>
      <c r="AL59" s="713"/>
    </row>
    <row r="60" spans="2:38" ht="18" customHeight="1" thickBot="1" x14ac:dyDescent="0.25">
      <c r="B60" s="985"/>
      <c r="C60" s="986"/>
      <c r="D60" s="986"/>
      <c r="E60" s="986"/>
      <c r="F60" s="986"/>
      <c r="G60" s="986"/>
      <c r="H60" s="986"/>
      <c r="I60" s="986"/>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19"/>
    </row>
    <row r="61" spans="2:38" ht="18" customHeight="1" x14ac:dyDescent="0.2">
      <c r="B61" s="767" t="s">
        <v>1721</v>
      </c>
      <c r="C61" s="2001"/>
      <c r="D61" s="2001"/>
      <c r="E61" s="2001"/>
      <c r="F61" s="2001"/>
      <c r="G61" s="2002"/>
      <c r="H61" s="2002"/>
      <c r="I61" s="2002"/>
      <c r="J61" s="2002"/>
      <c r="K61" s="2002"/>
      <c r="L61" s="2002"/>
      <c r="M61" s="2002"/>
      <c r="N61" s="2002"/>
      <c r="O61" s="2002"/>
      <c r="P61" s="2002"/>
      <c r="Q61" s="2002"/>
      <c r="R61" s="2002"/>
      <c r="S61" s="2002"/>
      <c r="T61" s="2002"/>
      <c r="U61" s="2002"/>
      <c r="V61" s="2002"/>
      <c r="W61" s="2002"/>
      <c r="X61" s="2002"/>
      <c r="Y61" s="2002"/>
      <c r="Z61" s="2002"/>
      <c r="AA61" s="2002"/>
      <c r="AB61" s="2002"/>
      <c r="AC61" s="2002"/>
      <c r="AD61" s="2002"/>
      <c r="AE61" s="2002"/>
      <c r="AF61" s="2002"/>
      <c r="AG61" s="2002"/>
      <c r="AH61" s="2002"/>
      <c r="AI61" s="2002"/>
      <c r="AJ61" s="2002"/>
      <c r="AK61" s="2003"/>
      <c r="AL61" s="713"/>
    </row>
    <row r="62" spans="2:38" ht="18" customHeight="1" x14ac:dyDescent="0.2">
      <c r="B62" s="1379" t="s">
        <v>110</v>
      </c>
      <c r="C62" s="1995"/>
      <c r="D62" s="1995"/>
      <c r="E62" s="4104">
        <f>SUM(E63:E64)</f>
        <v>0.20738744833333336</v>
      </c>
      <c r="F62" s="4104">
        <f t="shared" ref="F62:AJ62" si="10">SUM(F63:F64)</f>
        <v>0.18826561</v>
      </c>
      <c r="G62" s="4104">
        <f t="shared" si="10"/>
        <v>0.18212162833333337</v>
      </c>
      <c r="H62" s="4104">
        <f t="shared" si="10"/>
        <v>0.18277244500000003</v>
      </c>
      <c r="I62" s="4104">
        <f t="shared" si="10"/>
        <v>0.20506330499999997</v>
      </c>
      <c r="J62" s="4104">
        <f t="shared" si="10"/>
        <v>0.26991230666666666</v>
      </c>
      <c r="K62" s="4104">
        <f t="shared" si="10"/>
        <v>0.27433434833333331</v>
      </c>
      <c r="L62" s="4104">
        <f t="shared" si="10"/>
        <v>0.25615829499999998</v>
      </c>
      <c r="M62" s="4104">
        <f t="shared" si="10"/>
        <v>0.22715249666666665</v>
      </c>
      <c r="N62" s="4104">
        <f t="shared" si="10"/>
        <v>0.24898613499999997</v>
      </c>
      <c r="O62" s="4104">
        <f t="shared" si="10"/>
        <v>0.28005602500000004</v>
      </c>
      <c r="P62" s="4104">
        <f t="shared" si="10"/>
        <v>0.2645435266666667</v>
      </c>
      <c r="Q62" s="4104">
        <f t="shared" si="10"/>
        <v>0.28705713166666669</v>
      </c>
      <c r="R62" s="4104">
        <f t="shared" si="10"/>
        <v>0.28031672500000004</v>
      </c>
      <c r="S62" s="4104">
        <f t="shared" si="10"/>
        <v>0.28336508166666668</v>
      </c>
      <c r="T62" s="4104">
        <f t="shared" si="10"/>
        <v>0.26974996333333334</v>
      </c>
      <c r="U62" s="4104">
        <f t="shared" si="10"/>
        <v>0.31886520499999998</v>
      </c>
      <c r="V62" s="4104">
        <f t="shared" si="10"/>
        <v>0.26045438394285719</v>
      </c>
      <c r="W62" s="4104">
        <f t="shared" si="10"/>
        <v>0.2961321315058823</v>
      </c>
      <c r="X62" s="4104">
        <f t="shared" si="10"/>
        <v>0.27563272536585365</v>
      </c>
      <c r="Y62" s="4104">
        <f t="shared" si="10"/>
        <v>0.21737169390243902</v>
      </c>
      <c r="Z62" s="4104">
        <f t="shared" si="10"/>
        <v>0.19735271499999998</v>
      </c>
      <c r="AA62" s="4104">
        <f t="shared" si="10"/>
        <v>0.25406020953488373</v>
      </c>
      <c r="AB62" s="4104">
        <f t="shared" si="10"/>
        <v>0.20687184488372093</v>
      </c>
      <c r="AC62" s="4104">
        <f t="shared" si="10"/>
        <v>0.23731321000000002</v>
      </c>
      <c r="AD62" s="4104">
        <f t="shared" si="10"/>
        <v>0.24197975523076934</v>
      </c>
      <c r="AE62" s="4104">
        <f t="shared" si="10"/>
        <v>0.2560586585650067</v>
      </c>
      <c r="AF62" s="4104">
        <f t="shared" si="10"/>
        <v>0.2780729779123195</v>
      </c>
      <c r="AG62" s="4104">
        <f t="shared" si="10"/>
        <v>0.2727685039635539</v>
      </c>
      <c r="AH62" s="4104">
        <f t="shared" si="10"/>
        <v>0.26214537888372097</v>
      </c>
      <c r="AI62" s="4104">
        <f t="shared" si="10"/>
        <v>0.23124189231627892</v>
      </c>
      <c r="AJ62" s="4104">
        <f t="shared" si="10"/>
        <v>0.14249005951428564</v>
      </c>
      <c r="AK62" s="4095">
        <f t="shared" ref="AK62:AK64" si="11">IF(AJ62="NO",IF(E62="NO","NA",-100),IF(E62="NO",100,AJ62/E62*100-100))</f>
        <v>-31.292823813878215</v>
      </c>
      <c r="AL62" s="713"/>
    </row>
    <row r="63" spans="2:38" ht="18" customHeight="1" x14ac:dyDescent="0.2">
      <c r="B63" s="1371" t="s">
        <v>111</v>
      </c>
      <c r="C63" s="1995"/>
      <c r="D63" s="1995"/>
      <c r="E63" s="4067">
        <v>7.8174483333333343E-3</v>
      </c>
      <c r="F63" s="4067">
        <v>8.1556099999999989E-3</v>
      </c>
      <c r="G63" s="4067">
        <v>8.521628333333333E-3</v>
      </c>
      <c r="H63" s="4067">
        <v>9.3824449999999997E-3</v>
      </c>
      <c r="I63" s="4067">
        <v>9.7633049999999999E-3</v>
      </c>
      <c r="J63" s="4067">
        <v>1.0282306666666668E-2</v>
      </c>
      <c r="K63" s="4067">
        <v>1.1064348333333333E-2</v>
      </c>
      <c r="L63" s="4067">
        <v>1.1718295E-2</v>
      </c>
      <c r="M63" s="4067">
        <v>1.2182496666666667E-2</v>
      </c>
      <c r="N63" s="4067">
        <v>1.2036134999999998E-2</v>
      </c>
      <c r="O63" s="4067">
        <v>1.2306025E-2</v>
      </c>
      <c r="P63" s="4067">
        <v>1.2893526666666669E-2</v>
      </c>
      <c r="Q63" s="4067">
        <v>1.1957131666666666E-2</v>
      </c>
      <c r="R63" s="4067">
        <v>1.1908725000000002E-2</v>
      </c>
      <c r="S63" s="4067">
        <v>1.3375081666666667E-2</v>
      </c>
      <c r="T63" s="4067">
        <v>1.5159963333333332E-2</v>
      </c>
      <c r="U63" s="4067">
        <v>1.5065205000000002E-2</v>
      </c>
      <c r="V63" s="4067">
        <v>1.5084557142857139E-2</v>
      </c>
      <c r="W63" s="4067">
        <v>1.5638964705882351E-2</v>
      </c>
      <c r="X63" s="4067">
        <v>1.6632725365853661E-2</v>
      </c>
      <c r="Y63" s="4067">
        <v>1.7661693902439025E-2</v>
      </c>
      <c r="Z63" s="4067">
        <v>1.9552715000000005E-2</v>
      </c>
      <c r="AA63" s="4067">
        <v>2.0785209534883727E-2</v>
      </c>
      <c r="AB63" s="4067">
        <v>2.1476844883720935E-2</v>
      </c>
      <c r="AC63" s="4067">
        <v>2.4198210000000005E-2</v>
      </c>
      <c r="AD63" s="4067">
        <v>2.7569979230769232E-2</v>
      </c>
      <c r="AE63" s="4067">
        <v>2.8602901315789478E-2</v>
      </c>
      <c r="AF63" s="4067">
        <v>3.326214772727272E-2</v>
      </c>
      <c r="AG63" s="4067">
        <v>3.3506509302325571E-2</v>
      </c>
      <c r="AH63" s="4067">
        <v>3.437243488372093E-2</v>
      </c>
      <c r="AI63" s="4067">
        <v>2.6988825116279071E-2</v>
      </c>
      <c r="AJ63" s="4067">
        <v>8.2845657142857146E-3</v>
      </c>
      <c r="AK63" s="4095">
        <f t="shared" si="11"/>
        <v>5.9753177895734524</v>
      </c>
      <c r="AL63" s="713"/>
    </row>
    <row r="64" spans="2:38" ht="18" customHeight="1" x14ac:dyDescent="0.2">
      <c r="B64" s="1380" t="s">
        <v>1503</v>
      </c>
      <c r="C64" s="1995"/>
      <c r="D64" s="1995"/>
      <c r="E64" s="4067">
        <v>0.19957000000000003</v>
      </c>
      <c r="F64" s="4067">
        <v>0.18010999999999999</v>
      </c>
      <c r="G64" s="4067">
        <v>0.17360000000000003</v>
      </c>
      <c r="H64" s="4067">
        <v>0.17339000000000004</v>
      </c>
      <c r="I64" s="4067">
        <v>0.19529999999999997</v>
      </c>
      <c r="J64" s="4067">
        <v>0.25962999999999997</v>
      </c>
      <c r="K64" s="4067">
        <v>0.26327</v>
      </c>
      <c r="L64" s="4067">
        <v>0.24443999999999999</v>
      </c>
      <c r="M64" s="4067">
        <v>0.21496999999999999</v>
      </c>
      <c r="N64" s="4067">
        <v>0.23694999999999997</v>
      </c>
      <c r="O64" s="4067">
        <v>0.26775000000000004</v>
      </c>
      <c r="P64" s="4067">
        <v>0.25165000000000004</v>
      </c>
      <c r="Q64" s="4067">
        <v>0.27510000000000001</v>
      </c>
      <c r="R64" s="4067">
        <v>0.26840800000000004</v>
      </c>
      <c r="S64" s="4067">
        <v>0.26999000000000001</v>
      </c>
      <c r="T64" s="4067">
        <v>0.25459000000000004</v>
      </c>
      <c r="U64" s="4067">
        <v>0.30379999999999996</v>
      </c>
      <c r="V64" s="4067">
        <v>0.24536982680000005</v>
      </c>
      <c r="W64" s="4067">
        <v>0.28049316679999997</v>
      </c>
      <c r="X64" s="4067">
        <v>0.25900000000000001</v>
      </c>
      <c r="Y64" s="4067">
        <v>0.19971</v>
      </c>
      <c r="Z64" s="4067">
        <v>0.17779999999999999</v>
      </c>
      <c r="AA64" s="4067">
        <v>0.23327500000000001</v>
      </c>
      <c r="AB64" s="4067">
        <v>0.185395</v>
      </c>
      <c r="AC64" s="4067">
        <v>0.21311500000000003</v>
      </c>
      <c r="AD64" s="4067">
        <v>0.21440977600000011</v>
      </c>
      <c r="AE64" s="4067">
        <v>0.22745575724921721</v>
      </c>
      <c r="AF64" s="4067">
        <v>0.24481083018504679</v>
      </c>
      <c r="AG64" s="4067">
        <v>0.2392619946612283</v>
      </c>
      <c r="AH64" s="4067">
        <v>0.22777294400000003</v>
      </c>
      <c r="AI64" s="4067">
        <v>0.20425306719999986</v>
      </c>
      <c r="AJ64" s="4067">
        <v>0.13420549379999994</v>
      </c>
      <c r="AK64" s="4095">
        <f t="shared" si="11"/>
        <v>-32.752671343388329</v>
      </c>
      <c r="AL64" s="713"/>
    </row>
    <row r="65" spans="2:38" ht="18" customHeight="1" x14ac:dyDescent="0.2">
      <c r="B65" s="1381" t="s">
        <v>113</v>
      </c>
      <c r="C65" s="1995"/>
      <c r="D65" s="1995"/>
      <c r="E65" s="4105" t="s">
        <v>2154</v>
      </c>
      <c r="F65" s="4105" t="s">
        <v>2154</v>
      </c>
      <c r="G65" s="4105" t="s">
        <v>2154</v>
      </c>
      <c r="H65" s="4105" t="s">
        <v>2154</v>
      </c>
      <c r="I65" s="4105" t="s">
        <v>2154</v>
      </c>
      <c r="J65" s="4105" t="s">
        <v>2154</v>
      </c>
      <c r="K65" s="4105" t="s">
        <v>2154</v>
      </c>
      <c r="L65" s="4105" t="s">
        <v>2154</v>
      </c>
      <c r="M65" s="4105" t="s">
        <v>2154</v>
      </c>
      <c r="N65" s="4105" t="s">
        <v>2154</v>
      </c>
      <c r="O65" s="4105" t="s">
        <v>2154</v>
      </c>
      <c r="P65" s="4105" t="s">
        <v>2154</v>
      </c>
      <c r="Q65" s="4105" t="s">
        <v>2154</v>
      </c>
      <c r="R65" s="4105" t="s">
        <v>2154</v>
      </c>
      <c r="S65" s="4105" t="s">
        <v>2154</v>
      </c>
      <c r="T65" s="4105" t="s">
        <v>2154</v>
      </c>
      <c r="U65" s="4105" t="s">
        <v>2154</v>
      </c>
      <c r="V65" s="4105" t="s">
        <v>2154</v>
      </c>
      <c r="W65" s="4105" t="s">
        <v>2154</v>
      </c>
      <c r="X65" s="4105" t="s">
        <v>2154</v>
      </c>
      <c r="Y65" s="4105" t="s">
        <v>2154</v>
      </c>
      <c r="Z65" s="4105" t="s">
        <v>2154</v>
      </c>
      <c r="AA65" s="4105" t="s">
        <v>2154</v>
      </c>
      <c r="AB65" s="4105" t="s">
        <v>2154</v>
      </c>
      <c r="AC65" s="4105" t="s">
        <v>2154</v>
      </c>
      <c r="AD65" s="4105" t="s">
        <v>2154</v>
      </c>
      <c r="AE65" s="4105" t="s">
        <v>2154</v>
      </c>
      <c r="AF65" s="4105" t="s">
        <v>2154</v>
      </c>
      <c r="AG65" s="4105" t="s">
        <v>2154</v>
      </c>
      <c r="AH65" s="4105" t="s">
        <v>2154</v>
      </c>
      <c r="AI65" s="4105" t="s">
        <v>2154</v>
      </c>
      <c r="AJ65" s="4105" t="s">
        <v>2154</v>
      </c>
      <c r="AK65" s="4095" t="s">
        <v>2147</v>
      </c>
      <c r="AL65" s="713"/>
    </row>
    <row r="66" spans="2:38" ht="18" customHeight="1" x14ac:dyDescent="0.2">
      <c r="B66" s="1379" t="s">
        <v>114</v>
      </c>
      <c r="C66" s="348"/>
      <c r="D66" s="348"/>
      <c r="E66" s="348"/>
      <c r="F66" s="348"/>
      <c r="G66" s="1999"/>
      <c r="H66" s="1999"/>
      <c r="I66" s="1999"/>
      <c r="J66" s="1999"/>
      <c r="K66" s="1999"/>
      <c r="L66" s="1999"/>
      <c r="M66" s="1999"/>
      <c r="N66" s="1999"/>
      <c r="O66" s="1999"/>
      <c r="P66" s="1999"/>
      <c r="Q66" s="1999"/>
      <c r="R66" s="1999"/>
      <c r="S66" s="1999"/>
      <c r="T66" s="1999"/>
      <c r="U66" s="1999"/>
      <c r="V66" s="1999"/>
      <c r="W66" s="1999"/>
      <c r="X66" s="1999"/>
      <c r="Y66" s="1999"/>
      <c r="Z66" s="1999"/>
      <c r="AA66" s="1999"/>
      <c r="AB66" s="1999"/>
      <c r="AC66" s="1999"/>
      <c r="AD66" s="1999"/>
      <c r="AE66" s="1999"/>
      <c r="AF66" s="1999"/>
      <c r="AG66" s="1999"/>
      <c r="AH66" s="1999"/>
      <c r="AI66" s="1999"/>
      <c r="AJ66" s="1999"/>
      <c r="AK66" s="349"/>
      <c r="AL66" s="713"/>
    </row>
    <row r="67" spans="2:38" ht="18" customHeight="1" x14ac:dyDescent="0.2">
      <c r="B67" s="1383" t="s">
        <v>1504</v>
      </c>
      <c r="C67" s="348"/>
      <c r="D67" s="348"/>
      <c r="E67" s="348"/>
      <c r="F67" s="348"/>
      <c r="G67" s="1999"/>
      <c r="H67" s="1999"/>
      <c r="I67" s="1999"/>
      <c r="J67" s="1999"/>
      <c r="K67" s="1999"/>
      <c r="L67" s="1999"/>
      <c r="M67" s="1999"/>
      <c r="N67" s="1999"/>
      <c r="O67" s="1999"/>
      <c r="P67" s="1999"/>
      <c r="Q67" s="1999"/>
      <c r="R67" s="1999"/>
      <c r="S67" s="1999"/>
      <c r="T67" s="1999"/>
      <c r="U67" s="1999"/>
      <c r="V67" s="1999"/>
      <c r="W67" s="1999"/>
      <c r="X67" s="1999"/>
      <c r="Y67" s="1999"/>
      <c r="Z67" s="1999"/>
      <c r="AA67" s="1999"/>
      <c r="AB67" s="1999"/>
      <c r="AC67" s="1999"/>
      <c r="AD67" s="1999"/>
      <c r="AE67" s="1999"/>
      <c r="AF67" s="1999"/>
      <c r="AG67" s="1999"/>
      <c r="AH67" s="1999"/>
      <c r="AI67" s="1999"/>
      <c r="AJ67" s="1999"/>
      <c r="AK67" s="349"/>
      <c r="AL67" s="713"/>
    </row>
    <row r="68" spans="2:38" ht="18" customHeight="1" x14ac:dyDescent="0.2">
      <c r="B68" s="1384" t="s">
        <v>1505</v>
      </c>
      <c r="C68" s="354"/>
      <c r="D68" s="354"/>
      <c r="E68" s="354"/>
      <c r="F68" s="354"/>
      <c r="G68" s="1997"/>
      <c r="H68" s="1997"/>
      <c r="I68" s="1997"/>
      <c r="J68" s="1997"/>
      <c r="K68" s="1997"/>
      <c r="L68" s="1997"/>
      <c r="M68" s="1997"/>
      <c r="N68" s="1997"/>
      <c r="O68" s="1997"/>
      <c r="P68" s="1997"/>
      <c r="Q68" s="1997"/>
      <c r="R68" s="1997"/>
      <c r="S68" s="1997"/>
      <c r="T68" s="1997"/>
      <c r="U68" s="1997"/>
      <c r="V68" s="1997"/>
      <c r="W68" s="1997"/>
      <c r="X68" s="1997"/>
      <c r="Y68" s="1997"/>
      <c r="Z68" s="1997"/>
      <c r="AA68" s="1997"/>
      <c r="AB68" s="1997"/>
      <c r="AC68" s="1997"/>
      <c r="AD68" s="1997"/>
      <c r="AE68" s="1997"/>
      <c r="AF68" s="1997"/>
      <c r="AG68" s="1997"/>
      <c r="AH68" s="1997"/>
      <c r="AI68" s="1997"/>
      <c r="AJ68" s="1997"/>
      <c r="AK68" s="355"/>
      <c r="AL68" s="19"/>
    </row>
    <row r="69" spans="2:38" ht="18" customHeight="1" thickBot="1" x14ac:dyDescent="0.25">
      <c r="B69" s="768" t="s">
        <v>1726</v>
      </c>
      <c r="C69" s="2008"/>
      <c r="D69" s="2008"/>
      <c r="E69" s="2008"/>
      <c r="F69" s="2008"/>
      <c r="G69" s="2009"/>
      <c r="H69" s="2009"/>
      <c r="I69" s="2009"/>
      <c r="J69" s="2009"/>
      <c r="K69" s="2009"/>
      <c r="L69" s="2009"/>
      <c r="M69" s="2009"/>
      <c r="N69" s="2009"/>
      <c r="O69" s="2009"/>
      <c r="P69" s="2009"/>
      <c r="Q69" s="2009"/>
      <c r="R69" s="2009"/>
      <c r="S69" s="2009"/>
      <c r="T69" s="2009"/>
      <c r="U69" s="2009"/>
      <c r="V69" s="2009"/>
      <c r="W69" s="2009"/>
      <c r="X69" s="2009"/>
      <c r="Y69" s="2009"/>
      <c r="Z69" s="2009"/>
      <c r="AA69" s="2009"/>
      <c r="AB69" s="2009"/>
      <c r="AC69" s="2009"/>
      <c r="AD69" s="2009"/>
      <c r="AE69" s="2009"/>
      <c r="AF69" s="2009"/>
      <c r="AG69" s="2009"/>
      <c r="AH69" s="2009"/>
      <c r="AI69" s="2009"/>
      <c r="AJ69" s="2009"/>
      <c r="AK69" s="2010"/>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4.25" customHeight="1" x14ac:dyDescent="0.2">
      <c r="B72" s="775"/>
      <c r="AL72" s="19"/>
    </row>
    <row r="73" spans="2:38" ht="12" customHeight="1" x14ac:dyDescent="0.2">
      <c r="B73" s="1993" t="s">
        <v>1733</v>
      </c>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 customHeight="1" x14ac:dyDescent="0.2">
      <c r="B74" s="1993"/>
      <c r="C74" s="682"/>
      <c r="D74" s="682"/>
      <c r="E74" s="682"/>
      <c r="F74" s="682"/>
      <c r="G74" s="682"/>
      <c r="H74" s="682"/>
      <c r="I74" s="682"/>
      <c r="J74" s="682"/>
      <c r="K74" s="682"/>
      <c r="L74" s="682"/>
      <c r="M74" s="682"/>
      <c r="N74" s="682"/>
      <c r="O74" s="682"/>
      <c r="P74" s="682"/>
      <c r="Q74" s="682"/>
      <c r="R74" s="682"/>
      <c r="S74" s="682"/>
      <c r="T74" s="682"/>
      <c r="U74" s="682"/>
      <c r="V74" s="682"/>
      <c r="W74" s="682"/>
      <c r="X74" s="682"/>
      <c r="Y74" s="682"/>
      <c r="Z74" s="682"/>
      <c r="AA74" s="682"/>
      <c r="AB74" s="682"/>
      <c r="AC74" s="682"/>
      <c r="AD74" s="682"/>
      <c r="AE74" s="682"/>
      <c r="AF74" s="682"/>
      <c r="AG74" s="682"/>
      <c r="AH74" s="682"/>
      <c r="AI74" s="682"/>
      <c r="AJ74" s="682"/>
      <c r="AK74" s="682"/>
    </row>
  </sheetData>
  <dataValidations count="1">
    <dataValidation allowBlank="1" showInputMessage="1" showErrorMessage="1" sqref="E70:AK70 B1 B71:B65538 C1:D9 C73:AK65538 E1:AJ8 B3:B69 AL1:KB1048576 AK1:AK9 C57:AJ60 AK57 AK60"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L7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A18" sqref="A18"/>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8.42578125" customWidth="1"/>
    <col min="37" max="37" width="15" customWidth="1"/>
    <col min="38" max="38" width="10.85546875" customWidth="1"/>
    <col min="39" max="40" width="9.140625" customWidth="1"/>
    <col min="41" max="41" width="8.42578125" customWidth="1"/>
    <col min="42" max="44" width="9.140625" customWidth="1"/>
    <col min="45" max="45" width="8.85546875" customWidth="1"/>
    <col min="46" max="46" width="9.5703125" customWidth="1"/>
    <col min="47" max="47" width="9.140625" customWidth="1"/>
    <col min="48" max="48" width="8.85546875" customWidth="1"/>
    <col min="49" max="49" width="9.5703125" customWidth="1"/>
    <col min="50" max="54" width="9.140625" customWidth="1"/>
    <col min="55" max="55" width="8.85546875" customWidth="1"/>
    <col min="56" max="56" width="8.42578125" customWidth="1"/>
    <col min="57" max="57" width="9.140625" customWidth="1"/>
    <col min="58" max="58" width="8.85546875" customWidth="1"/>
    <col min="59" max="59" width="8.5703125" customWidth="1"/>
  </cols>
  <sheetData>
    <row r="1" spans="2:38" ht="17.25" customHeight="1" x14ac:dyDescent="0.2">
      <c r="B1" s="753" t="s">
        <v>1706</v>
      </c>
      <c r="AK1" s="14" t="s">
        <v>2521</v>
      </c>
    </row>
    <row r="2" spans="2:38" ht="15.75" customHeight="1" x14ac:dyDescent="0.2">
      <c r="B2" s="753" t="s">
        <v>1734</v>
      </c>
      <c r="AK2" s="14" t="s">
        <v>2522</v>
      </c>
    </row>
    <row r="3" spans="2:38" ht="15.75" customHeight="1" x14ac:dyDescent="0.2">
      <c r="B3" s="753" t="s">
        <v>1735</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2"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3"/>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433">
        <f>SUM(E11,E17,E20)</f>
        <v>6.5822252886058932</v>
      </c>
      <c r="F10" s="4433">
        <f t="shared" ref="F10:AJ10" si="0">SUM(F11,F17,F20)</f>
        <v>6.6985612369461691</v>
      </c>
      <c r="G10" s="4433">
        <f t="shared" si="0"/>
        <v>6.9040599045912607</v>
      </c>
      <c r="H10" s="4433">
        <f t="shared" si="0"/>
        <v>7.3628964431994337</v>
      </c>
      <c r="I10" s="4433">
        <f t="shared" si="0"/>
        <v>7.6520272596509837</v>
      </c>
      <c r="J10" s="4433">
        <f t="shared" si="0"/>
        <v>8.0847487878292572</v>
      </c>
      <c r="K10" s="4433">
        <f t="shared" si="0"/>
        <v>8.4100346317820414</v>
      </c>
      <c r="L10" s="4433">
        <f t="shared" si="0"/>
        <v>8.8342105942418421</v>
      </c>
      <c r="M10" s="4433">
        <f t="shared" si="0"/>
        <v>9.4065583030332043</v>
      </c>
      <c r="N10" s="4433">
        <f t="shared" si="0"/>
        <v>9.7992122569808</v>
      </c>
      <c r="O10" s="4433">
        <f t="shared" si="0"/>
        <v>10.184487629931933</v>
      </c>
      <c r="P10" s="4433">
        <f t="shared" si="0"/>
        <v>10.636438155396144</v>
      </c>
      <c r="Q10" s="4433">
        <f t="shared" si="0"/>
        <v>11.384888177803589</v>
      </c>
      <c r="R10" s="4433">
        <f t="shared" si="0"/>
        <v>12.267895878212148</v>
      </c>
      <c r="S10" s="4433">
        <f t="shared" si="0"/>
        <v>12.639290424972446</v>
      </c>
      <c r="T10" s="4433">
        <f t="shared" si="0"/>
        <v>12.7322470273491</v>
      </c>
      <c r="U10" s="4433">
        <f t="shared" si="0"/>
        <v>12.604821318482555</v>
      </c>
      <c r="V10" s="4433">
        <f t="shared" si="0"/>
        <v>12.701051157755421</v>
      </c>
      <c r="W10" s="4433">
        <f t="shared" si="0"/>
        <v>12.728503907780635</v>
      </c>
      <c r="X10" s="4433">
        <f t="shared" si="0"/>
        <v>12.390218503255735</v>
      </c>
      <c r="Y10" s="4433">
        <f t="shared" si="0"/>
        <v>12.134482974497121</v>
      </c>
      <c r="Z10" s="4433">
        <f t="shared" si="0"/>
        <v>12.412161307619693</v>
      </c>
      <c r="AA10" s="4433">
        <f t="shared" si="0"/>
        <v>12.311927068228883</v>
      </c>
      <c r="AB10" s="4433">
        <f t="shared" si="0"/>
        <v>12.268732641089295</v>
      </c>
      <c r="AC10" s="4433">
        <f t="shared" si="0"/>
        <v>11.758065937333413</v>
      </c>
      <c r="AD10" s="4433">
        <f t="shared" si="0"/>
        <v>11.013556962295443</v>
      </c>
      <c r="AE10" s="4433">
        <f t="shared" si="0"/>
        <v>10.892962913959689</v>
      </c>
      <c r="AF10" s="4433">
        <f t="shared" si="0"/>
        <v>10.882823338897811</v>
      </c>
      <c r="AG10" s="4433">
        <f t="shared" si="0"/>
        <v>10.253157524371714</v>
      </c>
      <c r="AH10" s="4433">
        <f t="shared" si="0"/>
        <v>10.026903133434217</v>
      </c>
      <c r="AI10" s="4433">
        <f t="shared" si="0"/>
        <v>9.6569005805382755</v>
      </c>
      <c r="AJ10" s="4433">
        <f t="shared" si="0"/>
        <v>9.5273563992289922</v>
      </c>
      <c r="AK10" s="4434">
        <f>IF(AJ10="NO",IF(E10="NO","NA",-100),IF(E10="NO",100,AJ10/E10*100-100))</f>
        <v>44.743699607505761</v>
      </c>
      <c r="AL10" s="713"/>
    </row>
    <row r="11" spans="2:38" ht="18" customHeight="1" x14ac:dyDescent="0.2">
      <c r="B11" s="1370" t="s">
        <v>1477</v>
      </c>
      <c r="C11" s="1995"/>
      <c r="D11" s="1995"/>
      <c r="E11" s="4435">
        <f>SUM(E12:E16)</f>
        <v>6.4471737052587237</v>
      </c>
      <c r="F11" s="4435">
        <f t="shared" ref="F11:AJ11" si="1">SUM(F12:F16)</f>
        <v>6.5736259448986516</v>
      </c>
      <c r="G11" s="4435">
        <f t="shared" si="1"/>
        <v>6.7766706748586705</v>
      </c>
      <c r="H11" s="4435">
        <f t="shared" si="1"/>
        <v>7.2425464955099237</v>
      </c>
      <c r="I11" s="4435">
        <f t="shared" si="1"/>
        <v>7.5411208642013197</v>
      </c>
      <c r="J11" s="4435">
        <f t="shared" si="1"/>
        <v>7.9688482584606941</v>
      </c>
      <c r="K11" s="4435">
        <f t="shared" si="1"/>
        <v>8.3093073676460172</v>
      </c>
      <c r="L11" s="4435">
        <f t="shared" si="1"/>
        <v>8.7468410505869372</v>
      </c>
      <c r="M11" s="4435">
        <f t="shared" si="1"/>
        <v>9.3207345529646588</v>
      </c>
      <c r="N11" s="4435">
        <f t="shared" si="1"/>
        <v>9.7073059004298035</v>
      </c>
      <c r="O11" s="4435">
        <f t="shared" si="1"/>
        <v>10.080116089281933</v>
      </c>
      <c r="P11" s="4435">
        <f t="shared" si="1"/>
        <v>10.527557806485792</v>
      </c>
      <c r="Q11" s="4435">
        <f t="shared" si="1"/>
        <v>11.285943354458034</v>
      </c>
      <c r="R11" s="4435">
        <f t="shared" si="1"/>
        <v>12.184639535248822</v>
      </c>
      <c r="S11" s="4435">
        <f t="shared" si="1"/>
        <v>12.556681376876513</v>
      </c>
      <c r="T11" s="4435">
        <f t="shared" si="1"/>
        <v>12.65324584152402</v>
      </c>
      <c r="U11" s="4435">
        <f t="shared" si="1"/>
        <v>12.523654224849878</v>
      </c>
      <c r="V11" s="4435">
        <f t="shared" si="1"/>
        <v>12.61058795638445</v>
      </c>
      <c r="W11" s="4435">
        <f t="shared" si="1"/>
        <v>12.637035243069619</v>
      </c>
      <c r="X11" s="4435">
        <f t="shared" si="1"/>
        <v>12.292639584731464</v>
      </c>
      <c r="Y11" s="4435">
        <f t="shared" si="1"/>
        <v>12.029501637908735</v>
      </c>
      <c r="Z11" s="4435">
        <f t="shared" si="1"/>
        <v>12.327313562487577</v>
      </c>
      <c r="AA11" s="4435">
        <f t="shared" si="1"/>
        <v>12.197301920440971</v>
      </c>
      <c r="AB11" s="4435">
        <f t="shared" si="1"/>
        <v>12.147944752598997</v>
      </c>
      <c r="AC11" s="4435">
        <f t="shared" si="1"/>
        <v>11.639601847477298</v>
      </c>
      <c r="AD11" s="4435">
        <f t="shared" si="1"/>
        <v>10.853009083001748</v>
      </c>
      <c r="AE11" s="4435">
        <f t="shared" si="1"/>
        <v>10.687458755213239</v>
      </c>
      <c r="AF11" s="4435">
        <f t="shared" si="1"/>
        <v>10.610550176100688</v>
      </c>
      <c r="AG11" s="4435">
        <f t="shared" si="1"/>
        <v>10.000031713248097</v>
      </c>
      <c r="AH11" s="4435">
        <f t="shared" si="1"/>
        <v>9.7221811520111121</v>
      </c>
      <c r="AI11" s="4435">
        <f t="shared" si="1"/>
        <v>9.4286313453582959</v>
      </c>
      <c r="AJ11" s="4435">
        <f t="shared" si="1"/>
        <v>9.3488006201156431</v>
      </c>
      <c r="AK11" s="4434">
        <f t="shared" ref="AK11:AK56" si="2">IF(AJ11="NO",IF(E11="NO","NA",-100),IF(E11="NO",100,AJ11/E11*100-100))</f>
        <v>45.006184841741884</v>
      </c>
      <c r="AL11" s="713"/>
    </row>
    <row r="12" spans="2:38" ht="18" customHeight="1" x14ac:dyDescent="0.2">
      <c r="B12" s="1371" t="s">
        <v>1478</v>
      </c>
      <c r="C12" s="1995"/>
      <c r="D12" s="1995"/>
      <c r="E12" s="4435">
        <v>1.7009294785985118</v>
      </c>
      <c r="F12" s="4435">
        <v>1.6290682412384687</v>
      </c>
      <c r="G12" s="4435">
        <v>1.6581035249510141</v>
      </c>
      <c r="H12" s="4435">
        <v>1.7306924205792555</v>
      </c>
      <c r="I12" s="4435">
        <v>1.7273876632427021</v>
      </c>
      <c r="J12" s="4435">
        <v>1.7976662692551446</v>
      </c>
      <c r="K12" s="4435">
        <v>1.8378522822117114</v>
      </c>
      <c r="L12" s="4435">
        <v>2.0352450444763983</v>
      </c>
      <c r="M12" s="4435">
        <v>2.2515240802437124</v>
      </c>
      <c r="N12" s="4435">
        <v>2.2324247480307475</v>
      </c>
      <c r="O12" s="4435">
        <v>2.3443755514005433</v>
      </c>
      <c r="P12" s="4435">
        <v>2.6400816051644824</v>
      </c>
      <c r="Q12" s="4435">
        <v>2.9973257240636362</v>
      </c>
      <c r="R12" s="4435">
        <v>3.36574686993489</v>
      </c>
      <c r="S12" s="4435">
        <v>3.4547141470598972</v>
      </c>
      <c r="T12" s="4435">
        <v>3.6356739756511334</v>
      </c>
      <c r="U12" s="4435">
        <v>3.645083868973102</v>
      </c>
      <c r="V12" s="4435">
        <v>3.7612196537347939</v>
      </c>
      <c r="W12" s="4435">
        <v>3.7433117435250378</v>
      </c>
      <c r="X12" s="4435">
        <v>3.9406827398383073</v>
      </c>
      <c r="Y12" s="4435">
        <v>3.794300812425687</v>
      </c>
      <c r="Z12" s="4435">
        <v>4.1907240327255195</v>
      </c>
      <c r="AA12" s="4435">
        <v>4.1252416381587018</v>
      </c>
      <c r="AB12" s="4435">
        <v>4.0946551694115421</v>
      </c>
      <c r="AC12" s="4435">
        <v>3.9105557082378528</v>
      </c>
      <c r="AD12" s="4435">
        <v>3.1706338463043902</v>
      </c>
      <c r="AE12" s="4435">
        <v>3.2185072400352954</v>
      </c>
      <c r="AF12" s="4435">
        <v>3.2315361520461878</v>
      </c>
      <c r="AG12" s="4435">
        <v>3.0129441502913008</v>
      </c>
      <c r="AH12" s="4435">
        <v>3.0093588323332585</v>
      </c>
      <c r="AI12" s="4435">
        <v>3.1529275509261439</v>
      </c>
      <c r="AJ12" s="4435">
        <v>2.9414287450729968</v>
      </c>
      <c r="AK12" s="4434">
        <f t="shared" si="2"/>
        <v>72.930670088485954</v>
      </c>
      <c r="AL12" s="713"/>
    </row>
    <row r="13" spans="2:38" ht="18" customHeight="1" x14ac:dyDescent="0.2">
      <c r="B13" s="1371" t="s">
        <v>1714</v>
      </c>
      <c r="C13" s="1995"/>
      <c r="D13" s="1995"/>
      <c r="E13" s="4435">
        <v>1.134710846917538</v>
      </c>
      <c r="F13" s="4435">
        <v>1.1069438707977839</v>
      </c>
      <c r="G13" s="4435">
        <v>1.0243107840034231</v>
      </c>
      <c r="H13" s="4435">
        <v>1.1166433143750729</v>
      </c>
      <c r="I13" s="4435">
        <v>1.1738863251427409</v>
      </c>
      <c r="J13" s="4435">
        <v>1.221623326831905</v>
      </c>
      <c r="K13" s="4435">
        <v>1.2791349757582684</v>
      </c>
      <c r="L13" s="4435">
        <v>1.3163789997832436</v>
      </c>
      <c r="M13" s="4435">
        <v>1.3289940991559224</v>
      </c>
      <c r="N13" s="4435">
        <v>1.3209948143262531</v>
      </c>
      <c r="O13" s="4435">
        <v>1.3022394470025569</v>
      </c>
      <c r="P13" s="4435">
        <v>1.2429528375383514</v>
      </c>
      <c r="Q13" s="4435">
        <v>1.2472585483209393</v>
      </c>
      <c r="R13" s="4435">
        <v>1.2610637219971466</v>
      </c>
      <c r="S13" s="4435">
        <v>1.2935425084862127</v>
      </c>
      <c r="T13" s="4435">
        <v>1.3423266239671301</v>
      </c>
      <c r="U13" s="4435">
        <v>1.3342298221966118</v>
      </c>
      <c r="V13" s="4435">
        <v>1.3715263252857555</v>
      </c>
      <c r="W13" s="4435">
        <v>1.42404088702423</v>
      </c>
      <c r="X13" s="4435">
        <v>1.0925420454198596</v>
      </c>
      <c r="Y13" s="4435">
        <v>1.2717698342144876</v>
      </c>
      <c r="Z13" s="4435">
        <v>1.2938737542015724</v>
      </c>
      <c r="AA13" s="4435">
        <v>1.3750591461183619</v>
      </c>
      <c r="AB13" s="4435">
        <v>1.511638252726148</v>
      </c>
      <c r="AC13" s="4435">
        <v>1.4779110280187984</v>
      </c>
      <c r="AD13" s="4435">
        <v>1.4903860924080672</v>
      </c>
      <c r="AE13" s="4435">
        <v>1.4733786885629305</v>
      </c>
      <c r="AF13" s="4435">
        <v>1.5348628188166988</v>
      </c>
      <c r="AG13" s="4435">
        <v>1.504047081515018</v>
      </c>
      <c r="AH13" s="4435">
        <v>1.4685903922899706</v>
      </c>
      <c r="AI13" s="4435">
        <v>1.4718197078709196</v>
      </c>
      <c r="AJ13" s="4435">
        <v>1.5766839659058423</v>
      </c>
      <c r="AK13" s="4434">
        <f t="shared" si="2"/>
        <v>38.950285897850733</v>
      </c>
      <c r="AL13" s="713"/>
    </row>
    <row r="14" spans="2:38" ht="18" customHeight="1" x14ac:dyDescent="0.2">
      <c r="B14" s="1371" t="s">
        <v>1480</v>
      </c>
      <c r="C14" s="1995"/>
      <c r="D14" s="1995"/>
      <c r="E14" s="4435">
        <v>3.0681889642603748</v>
      </c>
      <c r="F14" s="4435">
        <v>3.2846479580695087</v>
      </c>
      <c r="G14" s="4435">
        <v>3.5247618929079318</v>
      </c>
      <c r="H14" s="4435">
        <v>3.8122408714501748</v>
      </c>
      <c r="I14" s="4435">
        <v>4.0534315250603346</v>
      </c>
      <c r="J14" s="4435">
        <v>4.3475660104684701</v>
      </c>
      <c r="K14" s="4435">
        <v>4.5820869441448693</v>
      </c>
      <c r="L14" s="4435">
        <v>4.7758348071430978</v>
      </c>
      <c r="M14" s="4435">
        <v>5.1228691269862399</v>
      </c>
      <c r="N14" s="4435">
        <v>5.5384186929027024</v>
      </c>
      <c r="O14" s="4435">
        <v>5.8142239937416154</v>
      </c>
      <c r="P14" s="4435">
        <v>5.9826816597628731</v>
      </c>
      <c r="Q14" s="4435">
        <v>6.4041698370851226</v>
      </c>
      <c r="R14" s="4435">
        <v>6.8789964315150698</v>
      </c>
      <c r="S14" s="4435">
        <v>7.1292786174709937</v>
      </c>
      <c r="T14" s="4435">
        <v>6.9829600090416601</v>
      </c>
      <c r="U14" s="4435">
        <v>6.8637756581244895</v>
      </c>
      <c r="V14" s="4435">
        <v>6.8052834178180879</v>
      </c>
      <c r="W14" s="4435">
        <v>6.7910723849360659</v>
      </c>
      <c r="X14" s="4435">
        <v>6.5901892421657928</v>
      </c>
      <c r="Y14" s="4435">
        <v>6.2856682531525374</v>
      </c>
      <c r="Z14" s="4435">
        <v>6.1637530186666085</v>
      </c>
      <c r="AA14" s="4435">
        <v>6.0065920475633572</v>
      </c>
      <c r="AB14" s="4435">
        <v>5.8400152572765105</v>
      </c>
      <c r="AC14" s="4435">
        <v>5.5646353224705196</v>
      </c>
      <c r="AD14" s="4435">
        <v>5.4738715668083664</v>
      </c>
      <c r="AE14" s="4435">
        <v>5.2576312136662873</v>
      </c>
      <c r="AF14" s="4435">
        <v>5.0806583326894934</v>
      </c>
      <c r="AG14" s="4435">
        <v>4.7239156075148996</v>
      </c>
      <c r="AH14" s="4435">
        <v>4.5630965797818499</v>
      </c>
      <c r="AI14" s="4435">
        <v>4.1532091410307688</v>
      </c>
      <c r="AJ14" s="4435">
        <v>4.067701382798365</v>
      </c>
      <c r="AK14" s="4434">
        <f t="shared" si="2"/>
        <v>32.57662517467972</v>
      </c>
      <c r="AL14" s="713"/>
    </row>
    <row r="15" spans="2:38" ht="18" customHeight="1" x14ac:dyDescent="0.2">
      <c r="B15" s="1371" t="s">
        <v>1481</v>
      </c>
      <c r="C15" s="1995"/>
      <c r="D15" s="1995"/>
      <c r="E15" s="4435">
        <v>0.5321479738167656</v>
      </c>
      <c r="F15" s="4435">
        <v>0.54180638504574474</v>
      </c>
      <c r="G15" s="4435">
        <v>0.55695757984167837</v>
      </c>
      <c r="H15" s="4435">
        <v>0.57024125070918219</v>
      </c>
      <c r="I15" s="4435">
        <v>0.57121943648528406</v>
      </c>
      <c r="J15" s="4435">
        <v>0.58303768417451851</v>
      </c>
      <c r="K15" s="4435">
        <v>0.58896986539236917</v>
      </c>
      <c r="L15" s="4435">
        <v>0.59697391044693204</v>
      </c>
      <c r="M15" s="4435">
        <v>0.59864468082477551</v>
      </c>
      <c r="N15" s="4435">
        <v>0.5983519156095326</v>
      </c>
      <c r="O15" s="4435">
        <v>0.60222133286227619</v>
      </c>
      <c r="P15" s="4435">
        <v>0.64445846970012666</v>
      </c>
      <c r="Q15" s="4435">
        <v>0.62101485581758964</v>
      </c>
      <c r="R15" s="4435">
        <v>0.66362785139415914</v>
      </c>
      <c r="S15" s="4435">
        <v>0.66328647233038751</v>
      </c>
      <c r="T15" s="4435">
        <v>0.6752328371783568</v>
      </c>
      <c r="U15" s="4435">
        <v>0.66256796242867133</v>
      </c>
      <c r="V15" s="4435">
        <v>0.64962709765742377</v>
      </c>
      <c r="W15" s="4435">
        <v>0.65508919048432157</v>
      </c>
      <c r="X15" s="4435">
        <v>0.6460284296662745</v>
      </c>
      <c r="Y15" s="4435">
        <v>0.65301319071314501</v>
      </c>
      <c r="Z15" s="4435">
        <v>0.65368566787579641</v>
      </c>
      <c r="AA15" s="4435">
        <v>0.66598351676016165</v>
      </c>
      <c r="AB15" s="4435">
        <v>0.67607594560883466</v>
      </c>
      <c r="AC15" s="4435">
        <v>0.65793939875223129</v>
      </c>
      <c r="AD15" s="4435">
        <v>0.69205372598082715</v>
      </c>
      <c r="AE15" s="4435">
        <v>0.70676215558306732</v>
      </c>
      <c r="AF15" s="4435">
        <v>0.73754164904195596</v>
      </c>
      <c r="AG15" s="4435">
        <v>0.73332096634122068</v>
      </c>
      <c r="AH15" s="4435">
        <v>0.65923445738914177</v>
      </c>
      <c r="AI15" s="4435">
        <v>0.62436663118663072</v>
      </c>
      <c r="AJ15" s="4435">
        <v>0.74015994229954174</v>
      </c>
      <c r="AK15" s="4434">
        <f t="shared" si="2"/>
        <v>39.089121582261413</v>
      </c>
      <c r="AL15" s="713"/>
    </row>
    <row r="16" spans="2:38" ht="18" customHeight="1" x14ac:dyDescent="0.2">
      <c r="B16" s="1371" t="s">
        <v>1482</v>
      </c>
      <c r="C16" s="1995"/>
      <c r="D16" s="1995"/>
      <c r="E16" s="4435">
        <v>1.1196441665532852E-2</v>
      </c>
      <c r="F16" s="4435">
        <v>1.1159489747144877E-2</v>
      </c>
      <c r="G16" s="4435">
        <v>1.2536893154623004E-2</v>
      </c>
      <c r="H16" s="4435">
        <v>1.272863839623793E-2</v>
      </c>
      <c r="I16" s="4435">
        <v>1.5195914270257847E-2</v>
      </c>
      <c r="J16" s="4435">
        <v>1.8954967730655532E-2</v>
      </c>
      <c r="K16" s="4435">
        <v>2.1263300138799256E-2</v>
      </c>
      <c r="L16" s="4435">
        <v>2.2408288737265684E-2</v>
      </c>
      <c r="M16" s="4435">
        <v>1.8702565754007937E-2</v>
      </c>
      <c r="N16" s="4435">
        <v>1.7115729560568681E-2</v>
      </c>
      <c r="O16" s="4435">
        <v>1.7055764274940568E-2</v>
      </c>
      <c r="P16" s="4435">
        <v>1.7383234319957891E-2</v>
      </c>
      <c r="Q16" s="4435">
        <v>1.6174389170746161E-2</v>
      </c>
      <c r="R16" s="4435">
        <v>1.5204660407556064E-2</v>
      </c>
      <c r="S16" s="4435">
        <v>1.5859631529023716E-2</v>
      </c>
      <c r="T16" s="4435">
        <v>1.7052395685740039E-2</v>
      </c>
      <c r="U16" s="4435">
        <v>1.7996913127003019E-2</v>
      </c>
      <c r="V16" s="4435">
        <v>2.2931461888388016E-2</v>
      </c>
      <c r="W16" s="4435">
        <v>2.3521037099963411E-2</v>
      </c>
      <c r="X16" s="4435">
        <v>2.3197127641231184E-2</v>
      </c>
      <c r="Y16" s="4435">
        <v>2.4749547402879473E-2</v>
      </c>
      <c r="Z16" s="4435">
        <v>2.5277089018079773E-2</v>
      </c>
      <c r="AA16" s="4435">
        <v>2.4425571840387569E-2</v>
      </c>
      <c r="AB16" s="4435">
        <v>2.5560127575961652E-2</v>
      </c>
      <c r="AC16" s="4435">
        <v>2.8560389997894974E-2</v>
      </c>
      <c r="AD16" s="4435">
        <v>2.6063851500097154E-2</v>
      </c>
      <c r="AE16" s="4435">
        <v>3.1179457365658667E-2</v>
      </c>
      <c r="AF16" s="4435">
        <v>2.5951223506352986E-2</v>
      </c>
      <c r="AG16" s="4435">
        <v>2.5803907585655421E-2</v>
      </c>
      <c r="AH16" s="4435">
        <v>2.1900890216890161E-2</v>
      </c>
      <c r="AI16" s="4435">
        <v>2.630831434383317E-2</v>
      </c>
      <c r="AJ16" s="4435">
        <v>2.2826584038897677E-2</v>
      </c>
      <c r="AK16" s="4434">
        <f t="shared" si="2"/>
        <v>103.87355841067861</v>
      </c>
      <c r="AL16" s="713"/>
    </row>
    <row r="17" spans="2:38" ht="18" customHeight="1" x14ac:dyDescent="0.2">
      <c r="B17" s="1370" t="s">
        <v>99</v>
      </c>
      <c r="C17" s="1995"/>
      <c r="D17" s="1995"/>
      <c r="E17" s="4435">
        <f>SUM(E18:E19)</f>
        <v>0.13505158334716985</v>
      </c>
      <c r="F17" s="4435">
        <f t="shared" ref="F17:AJ17" si="3">SUM(F18:F19)</f>
        <v>0.12493529204751767</v>
      </c>
      <c r="G17" s="4435">
        <f t="shared" si="3"/>
        <v>0.1273892297325899</v>
      </c>
      <c r="H17" s="4435">
        <f t="shared" si="3"/>
        <v>0.12034994768950996</v>
      </c>
      <c r="I17" s="4435">
        <f t="shared" si="3"/>
        <v>0.11090639544966409</v>
      </c>
      <c r="J17" s="4435">
        <f t="shared" si="3"/>
        <v>0.11590052936856374</v>
      </c>
      <c r="K17" s="4435">
        <f t="shared" si="3"/>
        <v>0.10072726413602331</v>
      </c>
      <c r="L17" s="4435">
        <f t="shared" si="3"/>
        <v>8.7369543654904444E-2</v>
      </c>
      <c r="M17" s="4435">
        <f t="shared" si="3"/>
        <v>8.5823750068545937E-2</v>
      </c>
      <c r="N17" s="4435">
        <f t="shared" si="3"/>
        <v>9.1906356550996562E-2</v>
      </c>
      <c r="O17" s="4435">
        <f t="shared" si="3"/>
        <v>0.10437154064999947</v>
      </c>
      <c r="P17" s="4435">
        <f t="shared" si="3"/>
        <v>0.10888034891035292</v>
      </c>
      <c r="Q17" s="4435">
        <f t="shared" si="3"/>
        <v>9.8944823345555377E-2</v>
      </c>
      <c r="R17" s="4435">
        <f t="shared" si="3"/>
        <v>8.3256342963326568E-2</v>
      </c>
      <c r="S17" s="4435">
        <f t="shared" si="3"/>
        <v>8.260904809593192E-2</v>
      </c>
      <c r="T17" s="4435">
        <f t="shared" si="3"/>
        <v>7.9001185825078882E-2</v>
      </c>
      <c r="U17" s="4435">
        <f t="shared" si="3"/>
        <v>8.1167093632677129E-2</v>
      </c>
      <c r="V17" s="4435">
        <f t="shared" si="3"/>
        <v>9.046320137097158E-2</v>
      </c>
      <c r="W17" s="4435">
        <f t="shared" si="3"/>
        <v>9.1468664711016029E-2</v>
      </c>
      <c r="X17" s="4435">
        <f t="shared" si="3"/>
        <v>9.757891852426967E-2</v>
      </c>
      <c r="Y17" s="4435">
        <f t="shared" si="3"/>
        <v>0.10498133658838611</v>
      </c>
      <c r="Z17" s="4435">
        <f t="shared" si="3"/>
        <v>8.4847745132115335E-2</v>
      </c>
      <c r="AA17" s="4435">
        <f t="shared" si="3"/>
        <v>0.11462514778791104</v>
      </c>
      <c r="AB17" s="4435">
        <f t="shared" si="3"/>
        <v>0.12078788849029788</v>
      </c>
      <c r="AC17" s="4435">
        <f t="shared" si="3"/>
        <v>0.11846408985611549</v>
      </c>
      <c r="AD17" s="4435">
        <f t="shared" si="3"/>
        <v>0.16054787929369541</v>
      </c>
      <c r="AE17" s="4435">
        <f t="shared" si="3"/>
        <v>0.2055041587464507</v>
      </c>
      <c r="AF17" s="4435">
        <f t="shared" si="3"/>
        <v>0.27227316279712371</v>
      </c>
      <c r="AG17" s="4435">
        <f t="shared" si="3"/>
        <v>0.2531258111236166</v>
      </c>
      <c r="AH17" s="4435">
        <f t="shared" si="3"/>
        <v>0.30472198142310525</v>
      </c>
      <c r="AI17" s="4435">
        <f t="shared" si="3"/>
        <v>0.22826923517997966</v>
      </c>
      <c r="AJ17" s="4435">
        <f t="shared" si="3"/>
        <v>0.17855577911334869</v>
      </c>
      <c r="AK17" s="4434">
        <f t="shared" si="2"/>
        <v>32.213021638069165</v>
      </c>
      <c r="AL17" s="713"/>
    </row>
    <row r="18" spans="2:38" ht="18" customHeight="1" x14ac:dyDescent="0.2">
      <c r="B18" s="1371" t="s">
        <v>1483</v>
      </c>
      <c r="C18" s="1995"/>
      <c r="D18" s="1995"/>
      <c r="E18" s="4435">
        <v>5.329956551366039E-7</v>
      </c>
      <c r="F18" s="4435">
        <v>7.2957855859744104E-7</v>
      </c>
      <c r="G18" s="4435">
        <v>1.4128143447441426E-6</v>
      </c>
      <c r="H18" s="4435">
        <v>3.5019572999164302E-6</v>
      </c>
      <c r="I18" s="4435">
        <v>3.9371016007193637E-6</v>
      </c>
      <c r="J18" s="4435">
        <v>4.869435864353228E-6</v>
      </c>
      <c r="K18" s="4435">
        <v>8.5239745790063225E-6</v>
      </c>
      <c r="L18" s="4435">
        <v>1.4331691445815465E-5</v>
      </c>
      <c r="M18" s="4435">
        <v>1.8881593331029871E-5</v>
      </c>
      <c r="N18" s="4435">
        <v>1.9356941613281385E-5</v>
      </c>
      <c r="O18" s="4435">
        <v>1.9708395205607618E-5</v>
      </c>
      <c r="P18" s="4435">
        <v>1.6997205392465636E-5</v>
      </c>
      <c r="Q18" s="4435">
        <v>1.4653075432969966E-5</v>
      </c>
      <c r="R18" s="4435">
        <v>3.1792026882863641E-5</v>
      </c>
      <c r="S18" s="4435">
        <v>1.0085912030617021E-4</v>
      </c>
      <c r="T18" s="4435">
        <v>1.1288330491516995E-4</v>
      </c>
      <c r="U18" s="4435">
        <v>1.2579774697436016E-4</v>
      </c>
      <c r="V18" s="4435">
        <v>1.2741952051547868E-4</v>
      </c>
      <c r="W18" s="4435">
        <v>1.5507322621949082E-4</v>
      </c>
      <c r="X18" s="4435">
        <v>3.4002767032537785E-4</v>
      </c>
      <c r="Y18" s="4435">
        <v>4.5988490439254325E-4</v>
      </c>
      <c r="Z18" s="4435">
        <v>3.1277662797985807E-4</v>
      </c>
      <c r="AA18" s="4435">
        <v>3.5333623858198928E-4</v>
      </c>
      <c r="AB18" s="4435">
        <v>1.085977925640887E-3</v>
      </c>
      <c r="AC18" s="4435">
        <v>1.4676359872572309E-3</v>
      </c>
      <c r="AD18" s="4435">
        <v>1.2925263983728057E-3</v>
      </c>
      <c r="AE18" s="4435">
        <v>1.3498895622026015E-3</v>
      </c>
      <c r="AF18" s="4435">
        <v>1.5804250317938316E-3</v>
      </c>
      <c r="AG18" s="4435">
        <v>1.5778380369077659E-3</v>
      </c>
      <c r="AH18" s="4435">
        <v>1.327348684102706E-3</v>
      </c>
      <c r="AI18" s="4435">
        <v>2.0495385605331928E-3</v>
      </c>
      <c r="AJ18" s="4435">
        <v>1.9761010269859756E-3</v>
      </c>
      <c r="AK18" s="4434">
        <f>IF(AJ18="NO",IF(E18="NO","NA",-100),IF(E18="NO",100,AJ18/E18*100-100))</f>
        <v>370653.6840013286</v>
      </c>
      <c r="AL18" s="713"/>
    </row>
    <row r="19" spans="2:38" ht="18" customHeight="1" x14ac:dyDescent="0.2">
      <c r="B19" s="1415" t="s">
        <v>1484</v>
      </c>
      <c r="C19" s="1995"/>
      <c r="D19" s="1995"/>
      <c r="E19" s="4435">
        <v>0.13505105035151471</v>
      </c>
      <c r="F19" s="4435">
        <v>0.12493456246895908</v>
      </c>
      <c r="G19" s="4435">
        <v>0.12738781691824516</v>
      </c>
      <c r="H19" s="4435">
        <v>0.12034644573221004</v>
      </c>
      <c r="I19" s="4435">
        <v>0.11090245834806337</v>
      </c>
      <c r="J19" s="4435">
        <v>0.11589565993269939</v>
      </c>
      <c r="K19" s="4435">
        <v>0.1007187401614443</v>
      </c>
      <c r="L19" s="4435">
        <v>8.7355211963458634E-2</v>
      </c>
      <c r="M19" s="4435">
        <v>8.5804868475214902E-2</v>
      </c>
      <c r="N19" s="4435">
        <v>9.1886999609383277E-2</v>
      </c>
      <c r="O19" s="4435">
        <v>0.10435183225479386</v>
      </c>
      <c r="P19" s="4435">
        <v>0.10886335170496045</v>
      </c>
      <c r="Q19" s="4435">
        <v>9.8930170270122408E-2</v>
      </c>
      <c r="R19" s="4435">
        <v>8.3224550936443709E-2</v>
      </c>
      <c r="S19" s="4435">
        <v>8.2508188975625743E-2</v>
      </c>
      <c r="T19" s="4435">
        <v>7.8888302520163711E-2</v>
      </c>
      <c r="U19" s="4435">
        <v>8.1041295885702774E-2</v>
      </c>
      <c r="V19" s="4435">
        <v>9.0335781850456098E-2</v>
      </c>
      <c r="W19" s="4435">
        <v>9.1313591484796536E-2</v>
      </c>
      <c r="X19" s="4435">
        <v>9.7238890853944299E-2</v>
      </c>
      <c r="Y19" s="4435">
        <v>0.10452145168399357</v>
      </c>
      <c r="Z19" s="4435">
        <v>8.4534968504135471E-2</v>
      </c>
      <c r="AA19" s="4435">
        <v>0.11427181154932906</v>
      </c>
      <c r="AB19" s="4435">
        <v>0.119701910564657</v>
      </c>
      <c r="AC19" s="4435">
        <v>0.11699645386885826</v>
      </c>
      <c r="AD19" s="4435">
        <v>0.15925535289532261</v>
      </c>
      <c r="AE19" s="4435">
        <v>0.20415426918424809</v>
      </c>
      <c r="AF19" s="4435">
        <v>0.27069273776532987</v>
      </c>
      <c r="AG19" s="4435">
        <v>0.25154797308670884</v>
      </c>
      <c r="AH19" s="4435">
        <v>0.30339463273900252</v>
      </c>
      <c r="AI19" s="4435">
        <v>0.22621969661944646</v>
      </c>
      <c r="AJ19" s="4435">
        <v>0.17657967808636271</v>
      </c>
      <c r="AK19" s="4434">
        <f t="shared" si="2"/>
        <v>30.750318214302013</v>
      </c>
      <c r="AL19" s="713"/>
    </row>
    <row r="20" spans="2:38" ht="18" customHeight="1" thickBot="1" x14ac:dyDescent="0.25">
      <c r="B20" s="1416" t="s">
        <v>1485</v>
      </c>
      <c r="C20" s="354"/>
      <c r="D20" s="354"/>
      <c r="E20" s="4436"/>
      <c r="F20" s="4436"/>
      <c r="G20" s="4437"/>
      <c r="H20" s="4437"/>
      <c r="I20" s="4437"/>
      <c r="J20" s="4437"/>
      <c r="K20" s="4437"/>
      <c r="L20" s="4437"/>
      <c r="M20" s="4437"/>
      <c r="N20" s="4437"/>
      <c r="O20" s="4437"/>
      <c r="P20" s="4437"/>
      <c r="Q20" s="4437"/>
      <c r="R20" s="4437"/>
      <c r="S20" s="4437"/>
      <c r="T20" s="4437"/>
      <c r="U20" s="4437"/>
      <c r="V20" s="4437"/>
      <c r="W20" s="4437"/>
      <c r="X20" s="4437"/>
      <c r="Y20" s="4437"/>
      <c r="Z20" s="4437"/>
      <c r="AA20" s="4437"/>
      <c r="AB20" s="4437"/>
      <c r="AC20" s="4437"/>
      <c r="AD20" s="4437"/>
      <c r="AE20" s="4437"/>
      <c r="AF20" s="4437"/>
      <c r="AG20" s="4437"/>
      <c r="AH20" s="4437"/>
      <c r="AI20" s="4437"/>
      <c r="AJ20" s="4437"/>
      <c r="AK20" s="4438"/>
      <c r="AL20" s="713"/>
    </row>
    <row r="21" spans="2:38" ht="18" customHeight="1" x14ac:dyDescent="0.2">
      <c r="B21" s="770" t="s">
        <v>1486</v>
      </c>
      <c r="C21" s="1998"/>
      <c r="D21" s="1998"/>
      <c r="E21" s="4439">
        <f>SUM(E22:E29)</f>
        <v>3.4138016387751899</v>
      </c>
      <c r="F21" s="4439">
        <f t="shared" ref="F21:AJ21" si="4">SUM(F22:F29)</f>
        <v>2.8344205744859208</v>
      </c>
      <c r="G21" s="4439">
        <f t="shared" si="4"/>
        <v>3.7295673250438965</v>
      </c>
      <c r="H21" s="4439">
        <f t="shared" si="4"/>
        <v>4.7166222829485518</v>
      </c>
      <c r="I21" s="4439">
        <f t="shared" si="4"/>
        <v>4.6633770707240041</v>
      </c>
      <c r="J21" s="4439">
        <f t="shared" si="4"/>
        <v>4.6579253291241027</v>
      </c>
      <c r="K21" s="4439">
        <f t="shared" si="4"/>
        <v>5.2147619485321925</v>
      </c>
      <c r="L21" s="4439">
        <f t="shared" si="4"/>
        <v>5.3797144649726709</v>
      </c>
      <c r="M21" s="4439">
        <f t="shared" si="4"/>
        <v>5.7119542878577212</v>
      </c>
      <c r="N21" s="4439">
        <f t="shared" si="4"/>
        <v>5.5516658037421696</v>
      </c>
      <c r="O21" s="4439">
        <f t="shared" si="4"/>
        <v>5.8907951458894932</v>
      </c>
      <c r="P21" s="4439">
        <f t="shared" si="4"/>
        <v>7.0675909159558241</v>
      </c>
      <c r="Q21" s="4439">
        <f t="shared" si="4"/>
        <v>7.5041150510448231</v>
      </c>
      <c r="R21" s="4439">
        <f t="shared" si="4"/>
        <v>8.4441154890878991</v>
      </c>
      <c r="S21" s="4439">
        <f t="shared" si="4"/>
        <v>8.3566343406258721</v>
      </c>
      <c r="T21" s="4439">
        <f t="shared" si="4"/>
        <v>8.9995835280197927</v>
      </c>
      <c r="U21" s="4439">
        <f t="shared" si="4"/>
        <v>8.8797618051027403</v>
      </c>
      <c r="V21" s="4439">
        <f t="shared" si="4"/>
        <v>9.2731974041721443</v>
      </c>
      <c r="W21" s="4439">
        <f t="shared" si="4"/>
        <v>10.453995265722503</v>
      </c>
      <c r="X21" s="4439">
        <f t="shared" si="4"/>
        <v>10.119455349594618</v>
      </c>
      <c r="Y21" s="4439">
        <f t="shared" si="4"/>
        <v>10.586346782515909</v>
      </c>
      <c r="Z21" s="4439">
        <f t="shared" si="4"/>
        <v>8.6400040049653821</v>
      </c>
      <c r="AA21" s="4439">
        <f t="shared" si="4"/>
        <v>8.1442053829338708</v>
      </c>
      <c r="AB21" s="4439">
        <f t="shared" si="4"/>
        <v>4.9850658574730646</v>
      </c>
      <c r="AC21" s="4439">
        <f t="shared" si="4"/>
        <v>4.7415792911946166</v>
      </c>
      <c r="AD21" s="4439">
        <f t="shared" si="4"/>
        <v>5.2365326693917149</v>
      </c>
      <c r="AE21" s="4439">
        <f t="shared" si="4"/>
        <v>4.7944999637249897</v>
      </c>
      <c r="AF21" s="4439">
        <f t="shared" si="4"/>
        <v>5.1456793172513828</v>
      </c>
      <c r="AG21" s="4439">
        <f t="shared" si="4"/>
        <v>6.1606316530955461</v>
      </c>
      <c r="AH21" s="4439">
        <f t="shared" si="4"/>
        <v>7.5315206750354031</v>
      </c>
      <c r="AI21" s="4439">
        <f t="shared" si="4"/>
        <v>6.5867418416997365</v>
      </c>
      <c r="AJ21" s="4439">
        <f t="shared" si="4"/>
        <v>5.5593193492675903</v>
      </c>
      <c r="AK21" s="4440">
        <f t="shared" si="2"/>
        <v>62.848341453786787</v>
      </c>
      <c r="AL21" s="19"/>
    </row>
    <row r="22" spans="2:38" ht="18" customHeight="1" x14ac:dyDescent="0.2">
      <c r="B22" s="1133" t="s">
        <v>1487</v>
      </c>
      <c r="C22" s="354"/>
      <c r="D22" s="354"/>
      <c r="E22" s="4436"/>
      <c r="F22" s="4436"/>
      <c r="G22" s="4437"/>
      <c r="H22" s="4437"/>
      <c r="I22" s="4437"/>
      <c r="J22" s="4437"/>
      <c r="K22" s="4437"/>
      <c r="L22" s="4437"/>
      <c r="M22" s="4437"/>
      <c r="N22" s="4437"/>
      <c r="O22" s="4437"/>
      <c r="P22" s="4437"/>
      <c r="Q22" s="4437"/>
      <c r="R22" s="4437"/>
      <c r="S22" s="4437"/>
      <c r="T22" s="4437"/>
      <c r="U22" s="4437"/>
      <c r="V22" s="4437"/>
      <c r="W22" s="4437"/>
      <c r="X22" s="4437"/>
      <c r="Y22" s="4437"/>
      <c r="Z22" s="4437"/>
      <c r="AA22" s="4437"/>
      <c r="AB22" s="4437"/>
      <c r="AC22" s="4437"/>
      <c r="AD22" s="4437"/>
      <c r="AE22" s="4437"/>
      <c r="AF22" s="4437"/>
      <c r="AG22" s="4437"/>
      <c r="AH22" s="4437"/>
      <c r="AI22" s="4437"/>
      <c r="AJ22" s="4437"/>
      <c r="AK22" s="4438"/>
      <c r="AL22" s="19"/>
    </row>
    <row r="23" spans="2:38" ht="18" customHeight="1" x14ac:dyDescent="0.2">
      <c r="B23" s="1133" t="s">
        <v>621</v>
      </c>
      <c r="C23" s="1995"/>
      <c r="D23" s="1995"/>
      <c r="E23" s="4435">
        <v>3.33906306</v>
      </c>
      <c r="F23" s="4435">
        <v>2.7620996099999999</v>
      </c>
      <c r="G23" s="4435">
        <v>3.6530679819354845</v>
      </c>
      <c r="H23" s="4435">
        <v>4.6416531664516141</v>
      </c>
      <c r="I23" s="4435">
        <v>4.5799914764516121</v>
      </c>
      <c r="J23" s="4435">
        <v>4.5844841264516134</v>
      </c>
      <c r="K23" s="4435">
        <v>5.129786246451614</v>
      </c>
      <c r="L23" s="4435">
        <v>5.2946687564516139</v>
      </c>
      <c r="M23" s="4435">
        <v>5.6305063564516136</v>
      </c>
      <c r="N23" s="4435">
        <v>5.4660888764516145</v>
      </c>
      <c r="O23" s="4435">
        <v>5.8202428264516133</v>
      </c>
      <c r="P23" s="4435">
        <v>6.9890831464516125</v>
      </c>
      <c r="Q23" s="4435">
        <v>7.4275444967741944</v>
      </c>
      <c r="R23" s="4435">
        <v>8.3545076999999992</v>
      </c>
      <c r="S23" s="4435">
        <v>8.2630274299999993</v>
      </c>
      <c r="T23" s="4435">
        <v>8.9261825845359812</v>
      </c>
      <c r="U23" s="4435">
        <v>8.8043569476129075</v>
      </c>
      <c r="V23" s="4435">
        <v>9.1940933223425496</v>
      </c>
      <c r="W23" s="4435">
        <v>10.376143045827572</v>
      </c>
      <c r="X23" s="4435">
        <v>10.056942740141993</v>
      </c>
      <c r="Y23" s="4435">
        <v>10.515402041905819</v>
      </c>
      <c r="Z23" s="4435">
        <v>8.5573786003910044</v>
      </c>
      <c r="AA23" s="4435">
        <v>8.0798403411564426</v>
      </c>
      <c r="AB23" s="4435">
        <v>4.9338356261489773</v>
      </c>
      <c r="AC23" s="4435">
        <v>4.6936928492164975</v>
      </c>
      <c r="AD23" s="4435">
        <v>5.1857166552448222</v>
      </c>
      <c r="AE23" s="4435">
        <v>4.7422822444604087</v>
      </c>
      <c r="AF23" s="4435">
        <v>5.0896642594993722</v>
      </c>
      <c r="AG23" s="4435">
        <v>6.1034972207218603</v>
      </c>
      <c r="AH23" s="4435">
        <v>7.4754004933564833</v>
      </c>
      <c r="AI23" s="4435">
        <v>6.5334890447315539</v>
      </c>
      <c r="AJ23" s="4435">
        <v>5.5046915439456114</v>
      </c>
      <c r="AK23" s="4441">
        <f t="shared" si="2"/>
        <v>64.857370017612396</v>
      </c>
      <c r="AL23" s="19"/>
    </row>
    <row r="24" spans="2:38" ht="18" customHeight="1" x14ac:dyDescent="0.2">
      <c r="B24" s="1133" t="s">
        <v>459</v>
      </c>
      <c r="C24" s="1995"/>
      <c r="D24" s="1995"/>
      <c r="E24" s="4435">
        <v>7.4738578775190162E-2</v>
      </c>
      <c r="F24" s="4435">
        <v>7.2320964485920639E-2</v>
      </c>
      <c r="G24" s="4435">
        <v>7.6499343108412041E-2</v>
      </c>
      <c r="H24" s="4435">
        <v>7.4969116496937285E-2</v>
      </c>
      <c r="I24" s="4435">
        <v>8.3385594272391811E-2</v>
      </c>
      <c r="J24" s="4435">
        <v>7.3441202672488951E-2</v>
      </c>
      <c r="K24" s="4435">
        <v>8.4975702080578183E-2</v>
      </c>
      <c r="L24" s="4435">
        <v>8.5045708521057403E-2</v>
      </c>
      <c r="M24" s="4435">
        <v>8.1447931406107357E-2</v>
      </c>
      <c r="N24" s="4435">
        <v>8.5576927290555119E-2</v>
      </c>
      <c r="O24" s="4435">
        <v>7.0552319437879721E-2</v>
      </c>
      <c r="P24" s="4435">
        <v>7.8507769504211899E-2</v>
      </c>
      <c r="Q24" s="4435">
        <v>7.6570554270628893E-2</v>
      </c>
      <c r="R24" s="4435">
        <v>8.9607789087900527E-2</v>
      </c>
      <c r="S24" s="4435">
        <v>9.3606910625872897E-2</v>
      </c>
      <c r="T24" s="4435">
        <v>7.3400943483812195E-2</v>
      </c>
      <c r="U24" s="4435">
        <v>7.5404857489833013E-2</v>
      </c>
      <c r="V24" s="4435">
        <v>7.9104081829594983E-2</v>
      </c>
      <c r="W24" s="4435">
        <v>7.7852219894930172E-2</v>
      </c>
      <c r="X24" s="4435">
        <v>6.2512609452625476E-2</v>
      </c>
      <c r="Y24" s="4435">
        <v>7.0944740610090012E-2</v>
      </c>
      <c r="Z24" s="4435">
        <v>8.262540457437717E-2</v>
      </c>
      <c r="AA24" s="4435">
        <v>6.4365041777428578E-2</v>
      </c>
      <c r="AB24" s="4435">
        <v>5.1230231324087425E-2</v>
      </c>
      <c r="AC24" s="4435">
        <v>4.7886441978119261E-2</v>
      </c>
      <c r="AD24" s="4435">
        <v>5.0816014146892859E-2</v>
      </c>
      <c r="AE24" s="4435">
        <v>5.2217719264580575E-2</v>
      </c>
      <c r="AF24" s="4435">
        <v>5.6015057752010815E-2</v>
      </c>
      <c r="AG24" s="4435">
        <v>5.7134432373685706E-2</v>
      </c>
      <c r="AH24" s="4435">
        <v>5.6120181678920175E-2</v>
      </c>
      <c r="AI24" s="4435">
        <v>5.3252796968182643E-2</v>
      </c>
      <c r="AJ24" s="4435">
        <v>5.4627805321978577E-2</v>
      </c>
      <c r="AK24" s="4434">
        <f t="shared" si="2"/>
        <v>-26.908156112660052</v>
      </c>
      <c r="AL24" s="19"/>
    </row>
    <row r="25" spans="2:38" ht="18" customHeight="1" x14ac:dyDescent="0.2">
      <c r="B25" s="1133" t="s">
        <v>1488</v>
      </c>
      <c r="C25" s="1995"/>
      <c r="D25" s="1995"/>
      <c r="E25" s="4442" t="s">
        <v>2146</v>
      </c>
      <c r="F25" s="4442" t="s">
        <v>2146</v>
      </c>
      <c r="G25" s="4442" t="s">
        <v>2146</v>
      </c>
      <c r="H25" s="4442" t="s">
        <v>2146</v>
      </c>
      <c r="I25" s="4442" t="s">
        <v>2146</v>
      </c>
      <c r="J25" s="4442" t="s">
        <v>2146</v>
      </c>
      <c r="K25" s="4442" t="s">
        <v>2146</v>
      </c>
      <c r="L25" s="4442" t="s">
        <v>2146</v>
      </c>
      <c r="M25" s="4442" t="s">
        <v>2146</v>
      </c>
      <c r="N25" s="4442" t="s">
        <v>2146</v>
      </c>
      <c r="O25" s="4442" t="s">
        <v>2146</v>
      </c>
      <c r="P25" s="4442" t="s">
        <v>2146</v>
      </c>
      <c r="Q25" s="4442" t="s">
        <v>2146</v>
      </c>
      <c r="R25" s="4442" t="s">
        <v>2146</v>
      </c>
      <c r="S25" s="4442" t="s">
        <v>2146</v>
      </c>
      <c r="T25" s="4442" t="s">
        <v>2146</v>
      </c>
      <c r="U25" s="4442" t="s">
        <v>2146</v>
      </c>
      <c r="V25" s="4442" t="s">
        <v>2146</v>
      </c>
      <c r="W25" s="4442" t="s">
        <v>2146</v>
      </c>
      <c r="X25" s="4442" t="s">
        <v>2146</v>
      </c>
      <c r="Y25" s="4442" t="s">
        <v>2146</v>
      </c>
      <c r="Z25" s="4442" t="s">
        <v>2146</v>
      </c>
      <c r="AA25" s="4442" t="s">
        <v>2146</v>
      </c>
      <c r="AB25" s="4442" t="s">
        <v>2146</v>
      </c>
      <c r="AC25" s="4442" t="s">
        <v>2146</v>
      </c>
      <c r="AD25" s="4442" t="s">
        <v>2146</v>
      </c>
      <c r="AE25" s="4442" t="s">
        <v>2146</v>
      </c>
      <c r="AF25" s="4442" t="s">
        <v>2146</v>
      </c>
      <c r="AG25" s="4442" t="s">
        <v>2146</v>
      </c>
      <c r="AH25" s="4442" t="s">
        <v>2146</v>
      </c>
      <c r="AI25" s="4442" t="s">
        <v>2146</v>
      </c>
      <c r="AJ25" s="4442" t="s">
        <v>2146</v>
      </c>
      <c r="AK25" s="4443" t="str">
        <f t="shared" si="2"/>
        <v>NA</v>
      </c>
      <c r="AL25" s="19"/>
    </row>
    <row r="26" spans="2:38" ht="18" customHeight="1" x14ac:dyDescent="0.2">
      <c r="B26" s="1133" t="s">
        <v>1489</v>
      </c>
      <c r="C26" s="1995"/>
      <c r="D26" s="1995"/>
      <c r="E26" s="4442" t="s">
        <v>2146</v>
      </c>
      <c r="F26" s="4442" t="s">
        <v>2146</v>
      </c>
      <c r="G26" s="4444" t="s">
        <v>2146</v>
      </c>
      <c r="H26" s="4444" t="s">
        <v>2146</v>
      </c>
      <c r="I26" s="4444" t="s">
        <v>2146</v>
      </c>
      <c r="J26" s="4444" t="s">
        <v>2146</v>
      </c>
      <c r="K26" s="4444" t="s">
        <v>2146</v>
      </c>
      <c r="L26" s="4444" t="s">
        <v>2146</v>
      </c>
      <c r="M26" s="4444" t="s">
        <v>2146</v>
      </c>
      <c r="N26" s="4444" t="s">
        <v>2146</v>
      </c>
      <c r="O26" s="4444" t="s">
        <v>2146</v>
      </c>
      <c r="P26" s="4444" t="s">
        <v>2146</v>
      </c>
      <c r="Q26" s="4444" t="s">
        <v>2146</v>
      </c>
      <c r="R26" s="4444" t="s">
        <v>2146</v>
      </c>
      <c r="S26" s="4444" t="s">
        <v>2146</v>
      </c>
      <c r="T26" s="4444" t="s">
        <v>2146</v>
      </c>
      <c r="U26" s="4444" t="s">
        <v>2146</v>
      </c>
      <c r="V26" s="4444" t="s">
        <v>2146</v>
      </c>
      <c r="W26" s="4444" t="s">
        <v>2146</v>
      </c>
      <c r="X26" s="4444" t="s">
        <v>2146</v>
      </c>
      <c r="Y26" s="4444" t="s">
        <v>2146</v>
      </c>
      <c r="Z26" s="4444" t="s">
        <v>2146</v>
      </c>
      <c r="AA26" s="4444" t="s">
        <v>2146</v>
      </c>
      <c r="AB26" s="4444" t="s">
        <v>2146</v>
      </c>
      <c r="AC26" s="4444" t="s">
        <v>2146</v>
      </c>
      <c r="AD26" s="4444" t="s">
        <v>2146</v>
      </c>
      <c r="AE26" s="4444" t="s">
        <v>2146</v>
      </c>
      <c r="AF26" s="4444" t="s">
        <v>2146</v>
      </c>
      <c r="AG26" s="4444" t="s">
        <v>2146</v>
      </c>
      <c r="AH26" s="4444" t="s">
        <v>2146</v>
      </c>
      <c r="AI26" s="4444" t="s">
        <v>2146</v>
      </c>
      <c r="AJ26" s="4444" t="s">
        <v>2146</v>
      </c>
      <c r="AK26" s="4443" t="str">
        <f t="shared" si="2"/>
        <v>NA</v>
      </c>
      <c r="AL26" s="19"/>
    </row>
    <row r="27" spans="2:38" ht="18" customHeight="1" x14ac:dyDescent="0.2">
      <c r="B27" s="1133" t="s">
        <v>1490</v>
      </c>
      <c r="C27" s="348"/>
      <c r="D27" s="348"/>
      <c r="E27" s="4445"/>
      <c r="F27" s="4445"/>
      <c r="G27" s="4446"/>
      <c r="H27" s="4446"/>
      <c r="I27" s="4446"/>
      <c r="J27" s="4446"/>
      <c r="K27" s="4446"/>
      <c r="L27" s="4446"/>
      <c r="M27" s="4446"/>
      <c r="N27" s="4446"/>
      <c r="O27" s="4446"/>
      <c r="P27" s="4446"/>
      <c r="Q27" s="4446"/>
      <c r="R27" s="4446"/>
      <c r="S27" s="4446"/>
      <c r="T27" s="4446"/>
      <c r="U27" s="4446"/>
      <c r="V27" s="4446"/>
      <c r="W27" s="4446"/>
      <c r="X27" s="4446"/>
      <c r="Y27" s="4446"/>
      <c r="Z27" s="4446"/>
      <c r="AA27" s="4446"/>
      <c r="AB27" s="4446"/>
      <c r="AC27" s="4446"/>
      <c r="AD27" s="4446"/>
      <c r="AE27" s="4446"/>
      <c r="AF27" s="4446"/>
      <c r="AG27" s="4446"/>
      <c r="AH27" s="4446"/>
      <c r="AI27" s="4446"/>
      <c r="AJ27" s="4446"/>
      <c r="AK27" s="4447"/>
      <c r="AL27" s="19"/>
    </row>
    <row r="28" spans="2:38" ht="18" customHeight="1" x14ac:dyDescent="0.2">
      <c r="B28" s="1133" t="s">
        <v>480</v>
      </c>
      <c r="C28" s="1995"/>
      <c r="D28" s="1995"/>
      <c r="E28" s="4442" t="s">
        <v>2153</v>
      </c>
      <c r="F28" s="4442" t="s">
        <v>2153</v>
      </c>
      <c r="G28" s="4442" t="s">
        <v>2153</v>
      </c>
      <c r="H28" s="4442" t="s">
        <v>2153</v>
      </c>
      <c r="I28" s="4442" t="s">
        <v>2153</v>
      </c>
      <c r="J28" s="4442" t="s">
        <v>2153</v>
      </c>
      <c r="K28" s="4442" t="s">
        <v>2153</v>
      </c>
      <c r="L28" s="4442" t="s">
        <v>2153</v>
      </c>
      <c r="M28" s="4442" t="s">
        <v>2153</v>
      </c>
      <c r="N28" s="4442" t="s">
        <v>2153</v>
      </c>
      <c r="O28" s="4442" t="s">
        <v>2153</v>
      </c>
      <c r="P28" s="4442" t="s">
        <v>2153</v>
      </c>
      <c r="Q28" s="4442" t="s">
        <v>2153</v>
      </c>
      <c r="R28" s="4442" t="s">
        <v>2153</v>
      </c>
      <c r="S28" s="4442" t="s">
        <v>2153</v>
      </c>
      <c r="T28" s="4442" t="s">
        <v>2153</v>
      </c>
      <c r="U28" s="4442" t="s">
        <v>2153</v>
      </c>
      <c r="V28" s="4442" t="s">
        <v>2153</v>
      </c>
      <c r="W28" s="4442" t="s">
        <v>2153</v>
      </c>
      <c r="X28" s="4442" t="s">
        <v>2153</v>
      </c>
      <c r="Y28" s="4442" t="s">
        <v>2153</v>
      </c>
      <c r="Z28" s="4442" t="s">
        <v>2153</v>
      </c>
      <c r="AA28" s="4442" t="s">
        <v>2153</v>
      </c>
      <c r="AB28" s="4442" t="s">
        <v>2153</v>
      </c>
      <c r="AC28" s="4442" t="s">
        <v>2153</v>
      </c>
      <c r="AD28" s="4442" t="s">
        <v>2153</v>
      </c>
      <c r="AE28" s="4442" t="s">
        <v>2153</v>
      </c>
      <c r="AF28" s="4442" t="s">
        <v>2153</v>
      </c>
      <c r="AG28" s="4442" t="s">
        <v>2153</v>
      </c>
      <c r="AH28" s="4442" t="s">
        <v>2153</v>
      </c>
      <c r="AI28" s="4442" t="s">
        <v>2153</v>
      </c>
      <c r="AJ28" s="4442" t="s">
        <v>2153</v>
      </c>
      <c r="AK28" s="4443" t="s">
        <v>2147</v>
      </c>
      <c r="AL28" s="19"/>
    </row>
    <row r="29" spans="2:38" ht="18" customHeight="1" thickBot="1" x14ac:dyDescent="0.25">
      <c r="B29" s="1375" t="s">
        <v>1715</v>
      </c>
      <c r="C29" s="2013"/>
      <c r="D29" s="2013"/>
      <c r="E29" s="4448" t="s">
        <v>2146</v>
      </c>
      <c r="F29" s="4448" t="s">
        <v>2146</v>
      </c>
      <c r="G29" s="4449" t="s">
        <v>2146</v>
      </c>
      <c r="H29" s="4449" t="s">
        <v>2146</v>
      </c>
      <c r="I29" s="4449" t="s">
        <v>2146</v>
      </c>
      <c r="J29" s="4449" t="s">
        <v>2146</v>
      </c>
      <c r="K29" s="4449" t="s">
        <v>2146</v>
      </c>
      <c r="L29" s="4449" t="s">
        <v>2146</v>
      </c>
      <c r="M29" s="4449" t="s">
        <v>2146</v>
      </c>
      <c r="N29" s="4449" t="s">
        <v>2146</v>
      </c>
      <c r="O29" s="4449" t="s">
        <v>2146</v>
      </c>
      <c r="P29" s="4449" t="s">
        <v>2146</v>
      </c>
      <c r="Q29" s="4449" t="s">
        <v>2146</v>
      </c>
      <c r="R29" s="4449" t="s">
        <v>2146</v>
      </c>
      <c r="S29" s="4449" t="s">
        <v>2146</v>
      </c>
      <c r="T29" s="4449" t="s">
        <v>2146</v>
      </c>
      <c r="U29" s="4449" t="s">
        <v>2146</v>
      </c>
      <c r="V29" s="4449" t="s">
        <v>2146</v>
      </c>
      <c r="W29" s="4449" t="s">
        <v>2146</v>
      </c>
      <c r="X29" s="4449" t="s">
        <v>2146</v>
      </c>
      <c r="Y29" s="4449" t="s">
        <v>2146</v>
      </c>
      <c r="Z29" s="4449" t="s">
        <v>2146</v>
      </c>
      <c r="AA29" s="4449" t="s">
        <v>2146</v>
      </c>
      <c r="AB29" s="4449" t="s">
        <v>2146</v>
      </c>
      <c r="AC29" s="4449" t="s">
        <v>2146</v>
      </c>
      <c r="AD29" s="4449" t="s">
        <v>2146</v>
      </c>
      <c r="AE29" s="4449" t="s">
        <v>2146</v>
      </c>
      <c r="AF29" s="4449" t="s">
        <v>2146</v>
      </c>
      <c r="AG29" s="4449" t="s">
        <v>2146</v>
      </c>
      <c r="AH29" s="4449" t="s">
        <v>2146</v>
      </c>
      <c r="AI29" s="4449" t="s">
        <v>2146</v>
      </c>
      <c r="AJ29" s="4449" t="s">
        <v>2146</v>
      </c>
      <c r="AK29" s="4450" t="str">
        <f t="shared" si="2"/>
        <v>NA</v>
      </c>
      <c r="AL29" s="19"/>
    </row>
    <row r="30" spans="2:38" ht="18" customHeight="1" x14ac:dyDescent="0.2">
      <c r="B30" s="765" t="s">
        <v>1491</v>
      </c>
      <c r="C30" s="1998"/>
      <c r="D30" s="1998"/>
      <c r="E30" s="4439">
        <f>SUM(E31:E40)</f>
        <v>42.929199844169077</v>
      </c>
      <c r="F30" s="4439">
        <f t="shared" ref="F30:AJ30" si="5">SUM(F31:F40)</f>
        <v>42.017615631318712</v>
      </c>
      <c r="G30" s="4439">
        <f t="shared" si="5"/>
        <v>40.315632942925866</v>
      </c>
      <c r="H30" s="4439">
        <f t="shared" si="5"/>
        <v>40.382609202706547</v>
      </c>
      <c r="I30" s="4439">
        <f t="shared" si="5"/>
        <v>41.559447105110578</v>
      </c>
      <c r="J30" s="4439">
        <f t="shared" si="5"/>
        <v>38.335436661842564</v>
      </c>
      <c r="K30" s="4439">
        <f t="shared" si="5"/>
        <v>41.663391236812956</v>
      </c>
      <c r="L30" s="4439">
        <f t="shared" si="5"/>
        <v>43.673659626670215</v>
      </c>
      <c r="M30" s="4439">
        <f t="shared" si="5"/>
        <v>42.920260706467431</v>
      </c>
      <c r="N30" s="4439">
        <f t="shared" si="5"/>
        <v>44.258586676092172</v>
      </c>
      <c r="O30" s="4439">
        <f t="shared" si="5"/>
        <v>46.664991387392156</v>
      </c>
      <c r="P30" s="4439">
        <f t="shared" si="5"/>
        <v>46.06599907335255</v>
      </c>
      <c r="Q30" s="4439">
        <f t="shared" si="5"/>
        <v>46.553284740067404</v>
      </c>
      <c r="R30" s="4439">
        <f t="shared" si="5"/>
        <v>40.83004815006403</v>
      </c>
      <c r="S30" s="4439">
        <f t="shared" si="5"/>
        <v>46.16080833168958</v>
      </c>
      <c r="T30" s="4439">
        <f t="shared" si="5"/>
        <v>45.632562258458002</v>
      </c>
      <c r="U30" s="4439">
        <f t="shared" si="5"/>
        <v>45.528596387212012</v>
      </c>
      <c r="V30" s="4439">
        <f t="shared" si="5"/>
        <v>39.646160078923188</v>
      </c>
      <c r="W30" s="4439">
        <f t="shared" si="5"/>
        <v>39.445000995473158</v>
      </c>
      <c r="X30" s="4439">
        <f t="shared" si="5"/>
        <v>41.385076096598176</v>
      </c>
      <c r="Y30" s="4439">
        <f t="shared" si="5"/>
        <v>40.649304481768304</v>
      </c>
      <c r="Z30" s="4439">
        <f t="shared" si="5"/>
        <v>44.780989980916559</v>
      </c>
      <c r="AA30" s="4439">
        <f t="shared" si="5"/>
        <v>46.328036828827699</v>
      </c>
      <c r="AB30" s="4439">
        <f t="shared" si="5"/>
        <v>45.640764870818195</v>
      </c>
      <c r="AC30" s="4439">
        <f t="shared" si="5"/>
        <v>47.618047150109263</v>
      </c>
      <c r="AD30" s="4439">
        <f t="shared" si="5"/>
        <v>45.696315514849573</v>
      </c>
      <c r="AE30" s="4439">
        <f t="shared" si="5"/>
        <v>46.098036793869383</v>
      </c>
      <c r="AF30" s="4439">
        <f t="shared" si="5"/>
        <v>51.455684754938439</v>
      </c>
      <c r="AG30" s="4439">
        <f t="shared" si="5"/>
        <v>47.212350807632909</v>
      </c>
      <c r="AH30" s="4439">
        <f t="shared" si="5"/>
        <v>44.225457917240895</v>
      </c>
      <c r="AI30" s="4439">
        <f t="shared" si="5"/>
        <v>43.800575094302815</v>
      </c>
      <c r="AJ30" s="4439">
        <f t="shared" si="5"/>
        <v>51.784878674305745</v>
      </c>
      <c r="AK30" s="4451">
        <f t="shared" si="2"/>
        <v>20.628567181038449</v>
      </c>
      <c r="AL30" s="713"/>
    </row>
    <row r="31" spans="2:38" ht="18" customHeight="1" x14ac:dyDescent="0.2">
      <c r="B31" s="1135" t="s">
        <v>1492</v>
      </c>
      <c r="C31" s="348"/>
      <c r="D31" s="348"/>
      <c r="E31" s="4452"/>
      <c r="F31" s="4452"/>
      <c r="G31" s="4453"/>
      <c r="H31" s="4453"/>
      <c r="I31" s="4453"/>
      <c r="J31" s="4453"/>
      <c r="K31" s="4453"/>
      <c r="L31" s="4453"/>
      <c r="M31" s="4453"/>
      <c r="N31" s="4453"/>
      <c r="O31" s="4453"/>
      <c r="P31" s="4453"/>
      <c r="Q31" s="4453"/>
      <c r="R31" s="4453"/>
      <c r="S31" s="4453"/>
      <c r="T31" s="4453"/>
      <c r="U31" s="4453"/>
      <c r="V31" s="4453"/>
      <c r="W31" s="4453"/>
      <c r="X31" s="4453"/>
      <c r="Y31" s="4453"/>
      <c r="Z31" s="4453"/>
      <c r="AA31" s="4453"/>
      <c r="AB31" s="4453"/>
      <c r="AC31" s="4453"/>
      <c r="AD31" s="4453"/>
      <c r="AE31" s="4453"/>
      <c r="AF31" s="4453"/>
      <c r="AG31" s="4453"/>
      <c r="AH31" s="4453"/>
      <c r="AI31" s="4453"/>
      <c r="AJ31" s="4453"/>
      <c r="AK31" s="4454"/>
      <c r="AL31" s="713"/>
    </row>
    <row r="32" spans="2:38" ht="18" customHeight="1" x14ac:dyDescent="0.2">
      <c r="B32" s="1135" t="s">
        <v>1493</v>
      </c>
      <c r="C32" s="1995"/>
      <c r="D32" s="1995"/>
      <c r="E32" s="4435">
        <v>0.76816438643373797</v>
      </c>
      <c r="F32" s="4435">
        <v>0.77861845864059653</v>
      </c>
      <c r="G32" s="4435">
        <v>0.81145672043367267</v>
      </c>
      <c r="H32" s="4435">
        <v>0.83367464720933981</v>
      </c>
      <c r="I32" s="4435">
        <v>0.88904978659560019</v>
      </c>
      <c r="J32" s="4435">
        <v>0.9623384755779818</v>
      </c>
      <c r="K32" s="4435">
        <v>0.95622890457958354</v>
      </c>
      <c r="L32" s="4435">
        <v>0.94800546248963469</v>
      </c>
      <c r="M32" s="4435">
        <v>1.0305680559504724</v>
      </c>
      <c r="N32" s="4435">
        <v>1.0916567131806578</v>
      </c>
      <c r="O32" s="4435">
        <v>1.33582540977275</v>
      </c>
      <c r="P32" s="4435">
        <v>1.4544423673366769</v>
      </c>
      <c r="Q32" s="4435">
        <v>1.5273295226789434</v>
      </c>
      <c r="R32" s="4435">
        <v>1.5087567734699698</v>
      </c>
      <c r="S32" s="4435">
        <v>1.4839846739407445</v>
      </c>
      <c r="T32" s="4435">
        <v>1.6959018415521276</v>
      </c>
      <c r="U32" s="4435">
        <v>1.7609107565195992</v>
      </c>
      <c r="V32" s="4435">
        <v>1.7792742428177359</v>
      </c>
      <c r="W32" s="4435">
        <v>1.5211139747914264</v>
      </c>
      <c r="X32" s="4435">
        <v>1.5348619854931387</v>
      </c>
      <c r="Y32" s="4435">
        <v>1.5337195038126648</v>
      </c>
      <c r="Z32" s="4435">
        <v>1.6395019828870174</v>
      </c>
      <c r="AA32" s="4435">
        <v>1.6308244784434525</v>
      </c>
      <c r="AB32" s="4435">
        <v>1.6533637047673528</v>
      </c>
      <c r="AC32" s="4435">
        <v>1.7033373433807624</v>
      </c>
      <c r="AD32" s="4435">
        <v>1.8558823680409184</v>
      </c>
      <c r="AE32" s="4435">
        <v>1.8801364660716184</v>
      </c>
      <c r="AF32" s="4435">
        <v>1.9128108498363421</v>
      </c>
      <c r="AG32" s="4435">
        <v>1.9871377753914135</v>
      </c>
      <c r="AH32" s="4435">
        <v>2.0509321935399125</v>
      </c>
      <c r="AI32" s="4435">
        <v>2.0626601784741583</v>
      </c>
      <c r="AJ32" s="4435">
        <v>2.0742185194530158</v>
      </c>
      <c r="AK32" s="4443">
        <f t="shared" si="2"/>
        <v>170.02273941424625</v>
      </c>
      <c r="AL32" s="713"/>
    </row>
    <row r="33" spans="2:38" ht="18" customHeight="1" x14ac:dyDescent="0.2">
      <c r="B33" s="1135" t="s">
        <v>1494</v>
      </c>
      <c r="C33" s="348"/>
      <c r="D33" s="348"/>
      <c r="E33" s="4452"/>
      <c r="F33" s="4452"/>
      <c r="G33" s="4453"/>
      <c r="H33" s="4453"/>
      <c r="I33" s="4453"/>
      <c r="J33" s="4453"/>
      <c r="K33" s="4453"/>
      <c r="L33" s="4453"/>
      <c r="M33" s="4453"/>
      <c r="N33" s="4453"/>
      <c r="O33" s="4453"/>
      <c r="P33" s="4453"/>
      <c r="Q33" s="4453"/>
      <c r="R33" s="4453"/>
      <c r="S33" s="4453"/>
      <c r="T33" s="4453"/>
      <c r="U33" s="4453"/>
      <c r="V33" s="4453"/>
      <c r="W33" s="4453"/>
      <c r="X33" s="4453"/>
      <c r="Y33" s="4453"/>
      <c r="Z33" s="4453"/>
      <c r="AA33" s="4453"/>
      <c r="AB33" s="4453"/>
      <c r="AC33" s="4453"/>
      <c r="AD33" s="4453"/>
      <c r="AE33" s="4453"/>
      <c r="AF33" s="4453"/>
      <c r="AG33" s="4453"/>
      <c r="AH33" s="4453"/>
      <c r="AI33" s="4453"/>
      <c r="AJ33" s="4453"/>
      <c r="AK33" s="4454"/>
      <c r="AL33" s="713"/>
    </row>
    <row r="34" spans="2:38" ht="18" customHeight="1" x14ac:dyDescent="0.2">
      <c r="B34" s="1135" t="s">
        <v>1495</v>
      </c>
      <c r="C34" s="1995"/>
      <c r="D34" s="1995"/>
      <c r="E34" s="4435">
        <v>41.694921519213935</v>
      </c>
      <c r="F34" s="4435">
        <v>40.778721491556013</v>
      </c>
      <c r="G34" s="4435">
        <v>39.066836968095018</v>
      </c>
      <c r="H34" s="4435">
        <v>39.030090399235284</v>
      </c>
      <c r="I34" s="4435">
        <v>40.073222357586253</v>
      </c>
      <c r="J34" s="4435">
        <v>37.031251459494982</v>
      </c>
      <c r="K34" s="4435">
        <v>40.175448325090194</v>
      </c>
      <c r="L34" s="4435">
        <v>42.081850914369213</v>
      </c>
      <c r="M34" s="4435">
        <v>41.306933347262174</v>
      </c>
      <c r="N34" s="4435">
        <v>42.526309902217427</v>
      </c>
      <c r="O34" s="4435">
        <v>44.760203001595386</v>
      </c>
      <c r="P34" s="4435">
        <v>44.039196199818264</v>
      </c>
      <c r="Q34" s="4435">
        <v>44.434930491408089</v>
      </c>
      <c r="R34" s="4435">
        <v>39.049203534277815</v>
      </c>
      <c r="S34" s="4435">
        <v>44.108820102634994</v>
      </c>
      <c r="T34" s="4435">
        <v>43.565350378084027</v>
      </c>
      <c r="U34" s="4435">
        <v>43.293181003418454</v>
      </c>
      <c r="V34" s="4435">
        <v>37.66727190666419</v>
      </c>
      <c r="W34" s="4435">
        <v>37.660859111517247</v>
      </c>
      <c r="X34" s="4435">
        <v>39.526117877627456</v>
      </c>
      <c r="Y34" s="4435">
        <v>38.834286232943846</v>
      </c>
      <c r="Z34" s="4435">
        <v>42.725442830402386</v>
      </c>
      <c r="AA34" s="4435">
        <v>44.272713191755024</v>
      </c>
      <c r="AB34" s="4435">
        <v>43.581492714535628</v>
      </c>
      <c r="AC34" s="4435">
        <v>45.542590434300735</v>
      </c>
      <c r="AD34" s="4435">
        <v>43.485800138412749</v>
      </c>
      <c r="AE34" s="4435">
        <v>43.898827677116408</v>
      </c>
      <c r="AF34" s="4435">
        <v>49.013161092039972</v>
      </c>
      <c r="AG34" s="4435">
        <v>44.856052845818496</v>
      </c>
      <c r="AH34" s="4435">
        <v>41.947431092932661</v>
      </c>
      <c r="AI34" s="4435">
        <v>41.497126858763508</v>
      </c>
      <c r="AJ34" s="4435">
        <v>49.198060666125514</v>
      </c>
      <c r="AK34" s="4443">
        <f t="shared" si="2"/>
        <v>17.995331022397949</v>
      </c>
      <c r="AL34" s="713"/>
    </row>
    <row r="35" spans="2:38" ht="18" customHeight="1" x14ac:dyDescent="0.2">
      <c r="B35" s="1135" t="s">
        <v>1496</v>
      </c>
      <c r="C35" s="1995"/>
      <c r="D35" s="1995"/>
      <c r="E35" s="4442" t="s">
        <v>2147</v>
      </c>
      <c r="F35" s="4442" t="s">
        <v>2147</v>
      </c>
      <c r="G35" s="4442" t="s">
        <v>2147</v>
      </c>
      <c r="H35" s="4442" t="s">
        <v>2147</v>
      </c>
      <c r="I35" s="4442" t="s">
        <v>2147</v>
      </c>
      <c r="J35" s="4442" t="s">
        <v>2147</v>
      </c>
      <c r="K35" s="4442" t="s">
        <v>2147</v>
      </c>
      <c r="L35" s="4442" t="s">
        <v>2147</v>
      </c>
      <c r="M35" s="4442" t="s">
        <v>2147</v>
      </c>
      <c r="N35" s="4442" t="s">
        <v>2147</v>
      </c>
      <c r="O35" s="4442" t="s">
        <v>2147</v>
      </c>
      <c r="P35" s="4442" t="s">
        <v>2147</v>
      </c>
      <c r="Q35" s="4442" t="s">
        <v>2147</v>
      </c>
      <c r="R35" s="4442" t="s">
        <v>2147</v>
      </c>
      <c r="S35" s="4442" t="s">
        <v>2147</v>
      </c>
      <c r="T35" s="4442" t="s">
        <v>2147</v>
      </c>
      <c r="U35" s="4442" t="s">
        <v>2147</v>
      </c>
      <c r="V35" s="4442" t="s">
        <v>2147</v>
      </c>
      <c r="W35" s="4442" t="s">
        <v>2147</v>
      </c>
      <c r="X35" s="4442" t="s">
        <v>2147</v>
      </c>
      <c r="Y35" s="4442" t="s">
        <v>2147</v>
      </c>
      <c r="Z35" s="4442" t="s">
        <v>2147</v>
      </c>
      <c r="AA35" s="4442" t="s">
        <v>2147</v>
      </c>
      <c r="AB35" s="4442" t="s">
        <v>2147</v>
      </c>
      <c r="AC35" s="4442" t="s">
        <v>2147</v>
      </c>
      <c r="AD35" s="4442" t="s">
        <v>2147</v>
      </c>
      <c r="AE35" s="4442" t="s">
        <v>2147</v>
      </c>
      <c r="AF35" s="4442" t="s">
        <v>2147</v>
      </c>
      <c r="AG35" s="4442" t="s">
        <v>2147</v>
      </c>
      <c r="AH35" s="4442" t="s">
        <v>2147</v>
      </c>
      <c r="AI35" s="4442" t="s">
        <v>2147</v>
      </c>
      <c r="AJ35" s="4442" t="s">
        <v>2147</v>
      </c>
      <c r="AK35" s="4443" t="s">
        <v>2147</v>
      </c>
      <c r="AL35" s="713"/>
    </row>
    <row r="36" spans="2:38" ht="18" customHeight="1" x14ac:dyDescent="0.2">
      <c r="B36" s="1135" t="s">
        <v>1497</v>
      </c>
      <c r="C36" s="1995"/>
      <c r="D36" s="1995"/>
      <c r="E36" s="4435">
        <v>0.4661139385214037</v>
      </c>
      <c r="F36" s="4435">
        <v>0.46027568112210543</v>
      </c>
      <c r="G36" s="4435">
        <v>0.43733925439717408</v>
      </c>
      <c r="H36" s="4435">
        <v>0.51884415626192171</v>
      </c>
      <c r="I36" s="4435">
        <v>0.59717496092872757</v>
      </c>
      <c r="J36" s="4435">
        <v>0.34184672676960454</v>
      </c>
      <c r="K36" s="4435">
        <v>0.53171400714317996</v>
      </c>
      <c r="L36" s="4435">
        <v>0.6438032498113726</v>
      </c>
      <c r="M36" s="4435">
        <v>0.58275930325478098</v>
      </c>
      <c r="N36" s="4435">
        <v>0.6406200606940875</v>
      </c>
      <c r="O36" s="4435">
        <v>0.56896297602401846</v>
      </c>
      <c r="P36" s="4435">
        <v>0.57236050619761281</v>
      </c>
      <c r="Q36" s="4435">
        <v>0.59102472598037292</v>
      </c>
      <c r="R36" s="4435">
        <v>0.27208784231624822</v>
      </c>
      <c r="S36" s="4435">
        <v>0.56800355511383671</v>
      </c>
      <c r="T36" s="4435">
        <v>0.37131003882184332</v>
      </c>
      <c r="U36" s="4435">
        <v>0.47450462727395798</v>
      </c>
      <c r="V36" s="4435">
        <v>0.19961392944126016</v>
      </c>
      <c r="W36" s="4435">
        <v>0.26302790916448576</v>
      </c>
      <c r="X36" s="4435">
        <v>0.32409623347758237</v>
      </c>
      <c r="Y36" s="4435">
        <v>0.28129874501179614</v>
      </c>
      <c r="Z36" s="4435">
        <v>0.41604516762715543</v>
      </c>
      <c r="AA36" s="4435">
        <v>0.42449915862922627</v>
      </c>
      <c r="AB36" s="4435">
        <v>0.40590845151521499</v>
      </c>
      <c r="AC36" s="4435">
        <v>0.37211937242776477</v>
      </c>
      <c r="AD36" s="4435">
        <v>0.35463300839590872</v>
      </c>
      <c r="AE36" s="4435">
        <v>0.31907265068135793</v>
      </c>
      <c r="AF36" s="4435">
        <v>0.52971281306212881</v>
      </c>
      <c r="AG36" s="4435">
        <v>0.36916018642300474</v>
      </c>
      <c r="AH36" s="4435">
        <v>0.22709463076832143</v>
      </c>
      <c r="AI36" s="4435">
        <v>0.24078805706514347</v>
      </c>
      <c r="AJ36" s="4435">
        <v>0.51259948872721606</v>
      </c>
      <c r="AK36" s="4443">
        <f t="shared" si="2"/>
        <v>9.9730015268955015</v>
      </c>
      <c r="AL36" s="713"/>
    </row>
    <row r="37" spans="2:38" ht="18" customHeight="1" x14ac:dyDescent="0.2">
      <c r="B37" s="1136" t="s">
        <v>721</v>
      </c>
      <c r="C37" s="354"/>
      <c r="D37" s="354"/>
      <c r="E37" s="4436"/>
      <c r="F37" s="4436"/>
      <c r="G37" s="4437"/>
      <c r="H37" s="4437"/>
      <c r="I37" s="4437"/>
      <c r="J37" s="4437"/>
      <c r="K37" s="4437"/>
      <c r="L37" s="4437"/>
      <c r="M37" s="4437"/>
      <c r="N37" s="4437"/>
      <c r="O37" s="4437"/>
      <c r="P37" s="4437"/>
      <c r="Q37" s="4437"/>
      <c r="R37" s="4437"/>
      <c r="S37" s="4437"/>
      <c r="T37" s="4437"/>
      <c r="U37" s="4437"/>
      <c r="V37" s="4437"/>
      <c r="W37" s="4437"/>
      <c r="X37" s="4437"/>
      <c r="Y37" s="4437"/>
      <c r="Z37" s="4437"/>
      <c r="AA37" s="4437"/>
      <c r="AB37" s="4437"/>
      <c r="AC37" s="4437"/>
      <c r="AD37" s="4437"/>
      <c r="AE37" s="4437"/>
      <c r="AF37" s="4437"/>
      <c r="AG37" s="4437"/>
      <c r="AH37" s="4437"/>
      <c r="AI37" s="4437"/>
      <c r="AJ37" s="4437"/>
      <c r="AK37" s="4438"/>
      <c r="AL37" s="713"/>
    </row>
    <row r="38" spans="2:38" ht="18" customHeight="1" x14ac:dyDescent="0.2">
      <c r="B38" s="1136" t="s">
        <v>722</v>
      </c>
      <c r="C38" s="354"/>
      <c r="D38" s="354"/>
      <c r="E38" s="4436"/>
      <c r="F38" s="4436"/>
      <c r="G38" s="4437"/>
      <c r="H38" s="4437"/>
      <c r="I38" s="4437"/>
      <c r="J38" s="4437"/>
      <c r="K38" s="4437"/>
      <c r="L38" s="4437"/>
      <c r="M38" s="4437"/>
      <c r="N38" s="4437"/>
      <c r="O38" s="4437"/>
      <c r="P38" s="4437"/>
      <c r="Q38" s="4437"/>
      <c r="R38" s="4437"/>
      <c r="S38" s="4437"/>
      <c r="T38" s="4437"/>
      <c r="U38" s="4437"/>
      <c r="V38" s="4437"/>
      <c r="W38" s="4437"/>
      <c r="X38" s="4437"/>
      <c r="Y38" s="4437"/>
      <c r="Z38" s="4437"/>
      <c r="AA38" s="4437"/>
      <c r="AB38" s="4437"/>
      <c r="AC38" s="4437"/>
      <c r="AD38" s="4437"/>
      <c r="AE38" s="4437"/>
      <c r="AF38" s="4437"/>
      <c r="AG38" s="4437"/>
      <c r="AH38" s="4437"/>
      <c r="AI38" s="4437"/>
      <c r="AJ38" s="4437"/>
      <c r="AK38" s="4438"/>
      <c r="AL38" s="713"/>
    </row>
    <row r="39" spans="2:38" ht="18" customHeight="1" x14ac:dyDescent="0.2">
      <c r="B39" s="1136" t="s">
        <v>1498</v>
      </c>
      <c r="C39" s="354"/>
      <c r="D39" s="354"/>
      <c r="E39" s="4436"/>
      <c r="F39" s="4436"/>
      <c r="G39" s="4437"/>
      <c r="H39" s="4437"/>
      <c r="I39" s="4437"/>
      <c r="J39" s="4437"/>
      <c r="K39" s="4437"/>
      <c r="L39" s="4437"/>
      <c r="M39" s="4437"/>
      <c r="N39" s="4437"/>
      <c r="O39" s="4437"/>
      <c r="P39" s="4437"/>
      <c r="Q39" s="4437"/>
      <c r="R39" s="4437"/>
      <c r="S39" s="4437"/>
      <c r="T39" s="4437"/>
      <c r="U39" s="4437"/>
      <c r="V39" s="4437"/>
      <c r="W39" s="4437"/>
      <c r="X39" s="4437"/>
      <c r="Y39" s="4437"/>
      <c r="Z39" s="4437"/>
      <c r="AA39" s="4437"/>
      <c r="AB39" s="4437"/>
      <c r="AC39" s="4437"/>
      <c r="AD39" s="4437"/>
      <c r="AE39" s="4437"/>
      <c r="AF39" s="4437"/>
      <c r="AG39" s="4437"/>
      <c r="AH39" s="4437"/>
      <c r="AI39" s="4437"/>
      <c r="AJ39" s="4437"/>
      <c r="AK39" s="4454"/>
      <c r="AL39" s="713"/>
    </row>
    <row r="40" spans="2:38" ht="18" customHeight="1" thickBot="1" x14ac:dyDescent="0.25">
      <c r="B40" s="1376" t="s">
        <v>1499</v>
      </c>
      <c r="C40" s="2013"/>
      <c r="D40" s="2013"/>
      <c r="E40" s="4448" t="s">
        <v>2146</v>
      </c>
      <c r="F40" s="4448" t="s">
        <v>2146</v>
      </c>
      <c r="G40" s="4449" t="s">
        <v>2146</v>
      </c>
      <c r="H40" s="4449" t="s">
        <v>2146</v>
      </c>
      <c r="I40" s="4449" t="s">
        <v>2146</v>
      </c>
      <c r="J40" s="4449" t="s">
        <v>2146</v>
      </c>
      <c r="K40" s="4449" t="s">
        <v>2146</v>
      </c>
      <c r="L40" s="4449" t="s">
        <v>2146</v>
      </c>
      <c r="M40" s="4449" t="s">
        <v>2146</v>
      </c>
      <c r="N40" s="4449" t="s">
        <v>2146</v>
      </c>
      <c r="O40" s="4449" t="s">
        <v>2146</v>
      </c>
      <c r="P40" s="4449" t="s">
        <v>2146</v>
      </c>
      <c r="Q40" s="4449" t="s">
        <v>2146</v>
      </c>
      <c r="R40" s="4449" t="s">
        <v>2146</v>
      </c>
      <c r="S40" s="4449" t="s">
        <v>2146</v>
      </c>
      <c r="T40" s="4449" t="s">
        <v>2146</v>
      </c>
      <c r="U40" s="4449" t="s">
        <v>2146</v>
      </c>
      <c r="V40" s="4449" t="s">
        <v>2146</v>
      </c>
      <c r="W40" s="4449" t="s">
        <v>2146</v>
      </c>
      <c r="X40" s="4449" t="s">
        <v>2146</v>
      </c>
      <c r="Y40" s="4449" t="s">
        <v>2146</v>
      </c>
      <c r="Z40" s="4449" t="s">
        <v>2146</v>
      </c>
      <c r="AA40" s="4449" t="s">
        <v>2146</v>
      </c>
      <c r="AB40" s="4449" t="s">
        <v>2146</v>
      </c>
      <c r="AC40" s="4449" t="s">
        <v>2146</v>
      </c>
      <c r="AD40" s="4449" t="s">
        <v>2146</v>
      </c>
      <c r="AE40" s="4449" t="s">
        <v>2146</v>
      </c>
      <c r="AF40" s="4449" t="s">
        <v>2146</v>
      </c>
      <c r="AG40" s="4449" t="s">
        <v>2146</v>
      </c>
      <c r="AH40" s="4449" t="s">
        <v>2146</v>
      </c>
      <c r="AI40" s="4449" t="s">
        <v>2146</v>
      </c>
      <c r="AJ40" s="4449" t="s">
        <v>2146</v>
      </c>
      <c r="AK40" s="4450" t="str">
        <f t="shared" si="2"/>
        <v>NA</v>
      </c>
      <c r="AL40" s="713"/>
    </row>
    <row r="41" spans="2:38" ht="18" customHeight="1" x14ac:dyDescent="0.2">
      <c r="B41" s="765" t="s">
        <v>1716</v>
      </c>
      <c r="C41" s="1998"/>
      <c r="D41" s="1998"/>
      <c r="E41" s="4439">
        <f>SUM(E42:E49)</f>
        <v>16.158841561002379</v>
      </c>
      <c r="F41" s="4439">
        <f t="shared" ref="F41:AJ41" si="6">SUM(F42:F49)</f>
        <v>15.335132593743484</v>
      </c>
      <c r="G41" s="4439">
        <f t="shared" si="6"/>
        <v>14.065730973393464</v>
      </c>
      <c r="H41" s="4439">
        <f t="shared" si="6"/>
        <v>13.5013417039307</v>
      </c>
      <c r="I41" s="4439">
        <f t="shared" si="6"/>
        <v>13.638106323262715</v>
      </c>
      <c r="J41" s="4439">
        <f t="shared" si="6"/>
        <v>13.607801100295523</v>
      </c>
      <c r="K41" s="4439">
        <f t="shared" si="6"/>
        <v>14.717784290078102</v>
      </c>
      <c r="L41" s="4439">
        <f t="shared" si="6"/>
        <v>14.427435612922892</v>
      </c>
      <c r="M41" s="4439">
        <f t="shared" si="6"/>
        <v>14.429027769262129</v>
      </c>
      <c r="N41" s="4439">
        <f t="shared" si="6"/>
        <v>16.099685221292003</v>
      </c>
      <c r="O41" s="4439">
        <f t="shared" si="6"/>
        <v>17.105157905604958</v>
      </c>
      <c r="P41" s="4439">
        <f t="shared" si="6"/>
        <v>16.602642474097376</v>
      </c>
      <c r="Q41" s="4439">
        <f t="shared" si="6"/>
        <v>16.768273043612378</v>
      </c>
      <c r="R41" s="4439">
        <f t="shared" si="6"/>
        <v>17.873206876176024</v>
      </c>
      <c r="S41" s="4439">
        <f t="shared" si="6"/>
        <v>15.721579448202601</v>
      </c>
      <c r="T41" s="4439">
        <f t="shared" si="6"/>
        <v>16.532130619893771</v>
      </c>
      <c r="U41" s="4439">
        <f t="shared" si="6"/>
        <v>17.289384986216152</v>
      </c>
      <c r="V41" s="4439">
        <f t="shared" si="6"/>
        <v>17.82315043188391</v>
      </c>
      <c r="W41" s="4439">
        <f t="shared" si="6"/>
        <v>17.439517599166955</v>
      </c>
      <c r="X41" s="4439">
        <f t="shared" si="6"/>
        <v>18.020612939584147</v>
      </c>
      <c r="Y41" s="4439">
        <f t="shared" si="6"/>
        <v>18.941080441607792</v>
      </c>
      <c r="Z41" s="4439">
        <f t="shared" si="6"/>
        <v>19.456037540209682</v>
      </c>
      <c r="AA41" s="4439">
        <f t="shared" si="6"/>
        <v>18.53843499245647</v>
      </c>
      <c r="AB41" s="4439">
        <f t="shared" si="6"/>
        <v>17.494503567835622</v>
      </c>
      <c r="AC41" s="4439">
        <f t="shared" si="6"/>
        <v>17.388728346654723</v>
      </c>
      <c r="AD41" s="4439">
        <f t="shared" si="6"/>
        <v>15.972342718531682</v>
      </c>
      <c r="AE41" s="4439">
        <f t="shared" si="6"/>
        <v>14.544315766922185</v>
      </c>
      <c r="AF41" s="4439">
        <f t="shared" si="6"/>
        <v>14.515598738390139</v>
      </c>
      <c r="AG41" s="4439">
        <f t="shared" si="6"/>
        <v>12.970667459593111</v>
      </c>
      <c r="AH41" s="4439">
        <f t="shared" si="6"/>
        <v>12.329513783830532</v>
      </c>
      <c r="AI41" s="4439">
        <f t="shared" si="6"/>
        <v>12.278701752689837</v>
      </c>
      <c r="AJ41" s="4439">
        <f t="shared" si="6"/>
        <v>11.675809542745004</v>
      </c>
      <c r="AK41" s="4451">
        <f t="shared" si="2"/>
        <v>-27.743523577065631</v>
      </c>
      <c r="AL41" s="713"/>
    </row>
    <row r="42" spans="2:38" ht="18" customHeight="1" x14ac:dyDescent="0.2">
      <c r="B42" s="1135" t="s">
        <v>981</v>
      </c>
      <c r="C42" s="1995"/>
      <c r="D42" s="1995"/>
      <c r="E42" s="4435">
        <v>4.5564987128722088</v>
      </c>
      <c r="F42" s="4435">
        <v>4.8611115768679802</v>
      </c>
      <c r="G42" s="4435">
        <v>4.9733235005788545</v>
      </c>
      <c r="H42" s="4435">
        <v>4.8253703705396553</v>
      </c>
      <c r="I42" s="4435">
        <v>4.6361842258305899</v>
      </c>
      <c r="J42" s="4435">
        <v>4.531344016077635</v>
      </c>
      <c r="K42" s="4435">
        <v>4.5362976040779452</v>
      </c>
      <c r="L42" s="4435">
        <v>4.1757944701376717</v>
      </c>
      <c r="M42" s="4435">
        <v>4.1288590284281446</v>
      </c>
      <c r="N42" s="4435">
        <v>4.4446220989247172</v>
      </c>
      <c r="O42" s="4435">
        <v>4.7640524513046492</v>
      </c>
      <c r="P42" s="4435">
        <v>4.5479830526331337</v>
      </c>
      <c r="Q42" s="4435">
        <v>4.7650262664799561</v>
      </c>
      <c r="R42" s="4435">
        <v>4.8539087263538798</v>
      </c>
      <c r="S42" s="4435">
        <v>4.563587363109959</v>
      </c>
      <c r="T42" s="4435">
        <v>4.5280226489477027</v>
      </c>
      <c r="U42" s="4435">
        <v>4.7588687531444736</v>
      </c>
      <c r="V42" s="4435">
        <v>4.9450298453544974</v>
      </c>
      <c r="W42" s="4435">
        <v>5.5451387617763155</v>
      </c>
      <c r="X42" s="4435">
        <v>5.8001507472247242</v>
      </c>
      <c r="Y42" s="4435">
        <v>6.4809922444469352</v>
      </c>
      <c r="Z42" s="4435">
        <v>7.0292544585440329</v>
      </c>
      <c r="AA42" s="4435">
        <v>6.4022581602565234</v>
      </c>
      <c r="AB42" s="4435">
        <v>6.1762583551851442</v>
      </c>
      <c r="AC42" s="4435">
        <v>5.9163748894072414</v>
      </c>
      <c r="AD42" s="4435">
        <v>5.6320858774824663</v>
      </c>
      <c r="AE42" s="4435">
        <v>5.1549411564902936</v>
      </c>
      <c r="AF42" s="4435">
        <v>5.08187048011842</v>
      </c>
      <c r="AG42" s="4435">
        <v>4.4896358264906508</v>
      </c>
      <c r="AH42" s="4435">
        <v>4.4779210689633286</v>
      </c>
      <c r="AI42" s="4435">
        <v>4.2453602807586828</v>
      </c>
      <c r="AJ42" s="4435">
        <v>4.0685652367060792</v>
      </c>
      <c r="AK42" s="4443">
        <f t="shared" si="2"/>
        <v>-10.708517809688104</v>
      </c>
      <c r="AL42" s="713"/>
    </row>
    <row r="43" spans="2:38" ht="18" customHeight="1" x14ac:dyDescent="0.2">
      <c r="B43" s="1135" t="s">
        <v>984</v>
      </c>
      <c r="C43" s="1995"/>
      <c r="D43" s="1995"/>
      <c r="E43" s="4435">
        <v>0.56256655724854354</v>
      </c>
      <c r="F43" s="4435">
        <v>0.51126953224202798</v>
      </c>
      <c r="G43" s="4435">
        <v>0.34728920466759539</v>
      </c>
      <c r="H43" s="4435">
        <v>0.27148900020503253</v>
      </c>
      <c r="I43" s="4435">
        <v>0.23155930639150762</v>
      </c>
      <c r="J43" s="4435">
        <v>0.25520864831611695</v>
      </c>
      <c r="K43" s="4435">
        <v>0.21628050868962251</v>
      </c>
      <c r="L43" s="4435">
        <v>0.21998643827670733</v>
      </c>
      <c r="M43" s="4435">
        <v>0.23407454048426529</v>
      </c>
      <c r="N43" s="4435">
        <v>0.23714124362800956</v>
      </c>
      <c r="O43" s="4435">
        <v>0.17494225886210718</v>
      </c>
      <c r="P43" s="4435">
        <v>0.18710331874141861</v>
      </c>
      <c r="Q43" s="4435">
        <v>0.19250837028800041</v>
      </c>
      <c r="R43" s="4435">
        <v>0.20391587266921507</v>
      </c>
      <c r="S43" s="4435">
        <v>0.16303286912344206</v>
      </c>
      <c r="T43" s="4435">
        <v>0.23370915903268344</v>
      </c>
      <c r="U43" s="4435">
        <v>0.13524441726366035</v>
      </c>
      <c r="V43" s="4435">
        <v>0.20992904669944568</v>
      </c>
      <c r="W43" s="4435">
        <v>0.15753790487858593</v>
      </c>
      <c r="X43" s="4435">
        <v>0.14814045161818612</v>
      </c>
      <c r="Y43" s="4435">
        <v>0.17767911098095826</v>
      </c>
      <c r="Z43" s="4435">
        <v>0.16647354520966731</v>
      </c>
      <c r="AA43" s="4435">
        <v>0.1184342643430861</v>
      </c>
      <c r="AB43" s="4435">
        <v>0.15521001285450314</v>
      </c>
      <c r="AC43" s="4435">
        <v>0.14216134906321654</v>
      </c>
      <c r="AD43" s="4435">
        <v>0.10987448312544423</v>
      </c>
      <c r="AE43" s="4435">
        <v>0.1527644847598269</v>
      </c>
      <c r="AF43" s="4435">
        <v>5.7492564946878419E-2</v>
      </c>
      <c r="AG43" s="4435">
        <v>7.7234494380934438E-2</v>
      </c>
      <c r="AH43" s="4435">
        <v>9.2457917625437924E-2</v>
      </c>
      <c r="AI43" s="4435">
        <v>9.610091329523307E-2</v>
      </c>
      <c r="AJ43" s="4435">
        <v>0.11510606232598503</v>
      </c>
      <c r="AK43" s="4443">
        <f t="shared" si="2"/>
        <v>-79.539121043924609</v>
      </c>
      <c r="AL43" s="713"/>
    </row>
    <row r="44" spans="2:38" ht="18" customHeight="1" x14ac:dyDescent="0.2">
      <c r="B44" s="1135" t="s">
        <v>1717</v>
      </c>
      <c r="C44" s="1995"/>
      <c r="D44" s="1995"/>
      <c r="E44" s="4435">
        <v>10.622257691750297</v>
      </c>
      <c r="F44" s="4435">
        <v>9.57240800224392</v>
      </c>
      <c r="G44" s="4435">
        <v>8.3647743180925715</v>
      </c>
      <c r="H44" s="4435">
        <v>8.0441497449864023</v>
      </c>
      <c r="I44" s="4435">
        <v>8.4307847621007745</v>
      </c>
      <c r="J44" s="4435">
        <v>8.5114766360509755</v>
      </c>
      <c r="K44" s="4435">
        <v>9.5779709463662321</v>
      </c>
      <c r="L44" s="4435">
        <v>9.6084416321108517</v>
      </c>
      <c r="M44" s="4435">
        <v>9.6251852531349407</v>
      </c>
      <c r="N44" s="4435">
        <v>10.924468425358237</v>
      </c>
      <c r="O44" s="4435">
        <v>11.622411308111847</v>
      </c>
      <c r="P44" s="4435">
        <v>11.377073870658498</v>
      </c>
      <c r="Q44" s="4435">
        <v>11.29404283536058</v>
      </c>
      <c r="R44" s="4435">
        <v>12.286622495808034</v>
      </c>
      <c r="S44" s="4435">
        <v>10.507537199883716</v>
      </c>
      <c r="T44" s="4435">
        <v>11.260733068521617</v>
      </c>
      <c r="U44" s="4435">
        <v>11.842644006660519</v>
      </c>
      <c r="V44" s="4435">
        <v>12.11728189237113</v>
      </c>
      <c r="W44" s="4435">
        <v>11.155017322234478</v>
      </c>
      <c r="X44" s="4435">
        <v>11.462288683163896</v>
      </c>
      <c r="Y44" s="4435">
        <v>11.676561444354059</v>
      </c>
      <c r="Z44" s="4435">
        <v>11.627427453047156</v>
      </c>
      <c r="AA44" s="4435">
        <v>11.410514164762851</v>
      </c>
      <c r="AB44" s="4435">
        <v>10.573672709782256</v>
      </c>
      <c r="AC44" s="4435">
        <v>10.755586189108108</v>
      </c>
      <c r="AD44" s="4435">
        <v>9.6422613694427657</v>
      </c>
      <c r="AE44" s="4435">
        <v>8.6750238985645254</v>
      </c>
      <c r="AF44" s="4435">
        <v>8.8219186290114475</v>
      </c>
      <c r="AG44" s="4435">
        <v>7.8781397149614172</v>
      </c>
      <c r="AH44" s="4435">
        <v>7.2390851908034985</v>
      </c>
      <c r="AI44" s="4435">
        <v>7.4147472803391521</v>
      </c>
      <c r="AJ44" s="4435">
        <v>6.9689710181786486</v>
      </c>
      <c r="AK44" s="4443">
        <f t="shared" si="2"/>
        <v>-34.392751330152237</v>
      </c>
      <c r="AL44" s="713"/>
    </row>
    <row r="45" spans="2:38" ht="18" customHeight="1" x14ac:dyDescent="0.2">
      <c r="B45" s="1135" t="s">
        <v>1525</v>
      </c>
      <c r="C45" s="1995"/>
      <c r="D45" s="1995"/>
      <c r="E45" s="4435">
        <v>0.25716816698448591</v>
      </c>
      <c r="F45" s="4435">
        <v>0.24933026672966452</v>
      </c>
      <c r="G45" s="4435">
        <v>0.23163920607718327</v>
      </c>
      <c r="H45" s="4435">
        <v>0.22902240286985903</v>
      </c>
      <c r="I45" s="4435">
        <v>0.19293400835230148</v>
      </c>
      <c r="J45" s="4435">
        <v>0.18433889691286789</v>
      </c>
      <c r="K45" s="4435">
        <v>0.25898418625954311</v>
      </c>
      <c r="L45" s="4435">
        <v>0.29465863159628103</v>
      </c>
      <c r="M45" s="4435">
        <v>0.30845295559243241</v>
      </c>
      <c r="N45" s="4435">
        <v>0.33938700527281829</v>
      </c>
      <c r="O45" s="4435">
        <v>0.38237543546207542</v>
      </c>
      <c r="P45" s="4435">
        <v>0.33108748856043096</v>
      </c>
      <c r="Q45" s="4435">
        <v>0.35398587456775088</v>
      </c>
      <c r="R45" s="4435">
        <v>0.35972259591801381</v>
      </c>
      <c r="S45" s="4435">
        <v>0.30323428600378544</v>
      </c>
      <c r="T45" s="4435">
        <v>0.31028479213423604</v>
      </c>
      <c r="U45" s="4435">
        <v>0.34193934540547777</v>
      </c>
      <c r="V45" s="4435">
        <v>0.33803494271444195</v>
      </c>
      <c r="W45" s="4435">
        <v>0.35874025369277646</v>
      </c>
      <c r="X45" s="4435">
        <v>0.39522643228248899</v>
      </c>
      <c r="Y45" s="4435">
        <v>0.37992872291407942</v>
      </c>
      <c r="Z45" s="4435">
        <v>0.38388102919579276</v>
      </c>
      <c r="AA45" s="4435">
        <v>0.36492752773778342</v>
      </c>
      <c r="AB45" s="4435">
        <v>0.3753915894976646</v>
      </c>
      <c r="AC45" s="4435">
        <v>0.36277340217249221</v>
      </c>
      <c r="AD45" s="4435">
        <v>0.35234476278596094</v>
      </c>
      <c r="AE45" s="4435">
        <v>0.31412217494954964</v>
      </c>
      <c r="AF45" s="4435">
        <v>0.31498351433597283</v>
      </c>
      <c r="AG45" s="4435">
        <v>0.2741344942480905</v>
      </c>
      <c r="AH45" s="4435">
        <v>0.28754175304370511</v>
      </c>
      <c r="AI45" s="4435">
        <v>0.25261268023934924</v>
      </c>
      <c r="AJ45" s="4435">
        <v>0.25193637902854277</v>
      </c>
      <c r="AK45" s="4443">
        <f t="shared" si="2"/>
        <v>-2.0343839664489991</v>
      </c>
      <c r="AL45" s="713"/>
    </row>
    <row r="46" spans="2:38" ht="18" customHeight="1" x14ac:dyDescent="0.2">
      <c r="B46" s="1135" t="s">
        <v>992</v>
      </c>
      <c r="C46" s="1995"/>
      <c r="D46" s="1995"/>
      <c r="E46" s="4435">
        <v>0.1475923807182756</v>
      </c>
      <c r="F46" s="4435">
        <v>0.12497535708846486</v>
      </c>
      <c r="G46" s="4435">
        <v>0.12058072969154436</v>
      </c>
      <c r="H46" s="4435">
        <v>9.9553153901180261E-2</v>
      </c>
      <c r="I46" s="4435">
        <v>0.1051989434446851</v>
      </c>
      <c r="J46" s="4435">
        <v>9.1346810080783714E-2</v>
      </c>
      <c r="K46" s="4435">
        <v>9.1387074684759165E-2</v>
      </c>
      <c r="L46" s="4435">
        <v>9.1764830801381383E-2</v>
      </c>
      <c r="M46" s="4435">
        <v>8.8989915908059394E-2</v>
      </c>
      <c r="N46" s="4435">
        <v>0.10035728239393597</v>
      </c>
      <c r="O46" s="4435">
        <v>9.6829594999993135E-2</v>
      </c>
      <c r="P46" s="4435">
        <v>8.6515803492469304E-2</v>
      </c>
      <c r="Q46" s="4435">
        <v>8.2051072951802972E-2</v>
      </c>
      <c r="R46" s="4435">
        <v>9.386952428687928E-2</v>
      </c>
      <c r="S46" s="4435">
        <v>0.10057413797884034</v>
      </c>
      <c r="T46" s="4435">
        <v>0.12089166875324349</v>
      </c>
      <c r="U46" s="4435">
        <v>0.11617100008916365</v>
      </c>
      <c r="V46" s="4435">
        <v>0.10928771560620945</v>
      </c>
      <c r="W46" s="4435">
        <v>0.11231950074338193</v>
      </c>
      <c r="X46" s="4435">
        <v>9.3216906580797843E-2</v>
      </c>
      <c r="Y46" s="4435">
        <v>9.8030806978341128E-2</v>
      </c>
      <c r="Z46" s="4435">
        <v>0.11365646211374719</v>
      </c>
      <c r="AA46" s="4435">
        <v>8.3668072865101362E-2</v>
      </c>
      <c r="AB46" s="4435">
        <v>6.0562156104684579E-2</v>
      </c>
      <c r="AC46" s="4435">
        <v>6.1507895850934045E-2</v>
      </c>
      <c r="AD46" s="4435">
        <v>6.0271916490330264E-2</v>
      </c>
      <c r="AE46" s="4435">
        <v>5.2575269293704825E-2</v>
      </c>
      <c r="AF46" s="4435">
        <v>5.4394915893134638E-2</v>
      </c>
      <c r="AG46" s="4435">
        <v>4.0960516634874954E-2</v>
      </c>
      <c r="AH46" s="4435">
        <v>3.4920054823134886E-2</v>
      </c>
      <c r="AI46" s="4435">
        <v>4.2453193771706421E-2</v>
      </c>
      <c r="AJ46" s="4435">
        <v>4.3803442220034357E-2</v>
      </c>
      <c r="AK46" s="4443">
        <f t="shared" si="2"/>
        <v>-70.321339078033859</v>
      </c>
      <c r="AL46" s="713"/>
    </row>
    <row r="47" spans="2:38" ht="18" customHeight="1" x14ac:dyDescent="0.2">
      <c r="B47" s="1135" t="s">
        <v>1527</v>
      </c>
      <c r="C47" s="1995"/>
      <c r="D47" s="1995"/>
      <c r="E47" s="4442" t="s">
        <v>2146</v>
      </c>
      <c r="F47" s="4442" t="s">
        <v>2146</v>
      </c>
      <c r="G47" s="4442" t="s">
        <v>2146</v>
      </c>
      <c r="H47" s="4442" t="s">
        <v>2146</v>
      </c>
      <c r="I47" s="4442" t="s">
        <v>2146</v>
      </c>
      <c r="J47" s="4442" t="s">
        <v>2146</v>
      </c>
      <c r="K47" s="4442" t="s">
        <v>2146</v>
      </c>
      <c r="L47" s="4442" t="s">
        <v>2146</v>
      </c>
      <c r="M47" s="4442" t="s">
        <v>2146</v>
      </c>
      <c r="N47" s="4442" t="s">
        <v>2146</v>
      </c>
      <c r="O47" s="4442" t="s">
        <v>2146</v>
      </c>
      <c r="P47" s="4442" t="s">
        <v>2146</v>
      </c>
      <c r="Q47" s="4442" t="s">
        <v>2146</v>
      </c>
      <c r="R47" s="4442" t="s">
        <v>2146</v>
      </c>
      <c r="S47" s="4442" t="s">
        <v>2146</v>
      </c>
      <c r="T47" s="4442" t="s">
        <v>2146</v>
      </c>
      <c r="U47" s="4442" t="s">
        <v>2146</v>
      </c>
      <c r="V47" s="4442" t="s">
        <v>2146</v>
      </c>
      <c r="W47" s="4442" t="s">
        <v>2146</v>
      </c>
      <c r="X47" s="4442" t="s">
        <v>2146</v>
      </c>
      <c r="Y47" s="4442" t="s">
        <v>2146</v>
      </c>
      <c r="Z47" s="4442" t="s">
        <v>2146</v>
      </c>
      <c r="AA47" s="4442" t="s">
        <v>2146</v>
      </c>
      <c r="AB47" s="4442" t="s">
        <v>2146</v>
      </c>
      <c r="AC47" s="4442" t="s">
        <v>2146</v>
      </c>
      <c r="AD47" s="4442" t="s">
        <v>2146</v>
      </c>
      <c r="AE47" s="4442" t="s">
        <v>2146</v>
      </c>
      <c r="AF47" s="4442" t="s">
        <v>2146</v>
      </c>
      <c r="AG47" s="4442" t="s">
        <v>2146</v>
      </c>
      <c r="AH47" s="4442" t="s">
        <v>2146</v>
      </c>
      <c r="AI47" s="4442" t="s">
        <v>2146</v>
      </c>
      <c r="AJ47" s="4442" t="s">
        <v>2146</v>
      </c>
      <c r="AK47" s="4443" t="str">
        <f t="shared" si="2"/>
        <v>NA</v>
      </c>
      <c r="AL47" s="713"/>
    </row>
    <row r="48" spans="2:38" ht="18" customHeight="1" x14ac:dyDescent="0.2">
      <c r="B48" s="1135" t="s">
        <v>1528</v>
      </c>
      <c r="C48" s="354"/>
      <c r="D48" s="354"/>
      <c r="E48" s="4436"/>
      <c r="F48" s="4436"/>
      <c r="G48" s="4436"/>
      <c r="H48" s="4436"/>
      <c r="I48" s="4436"/>
      <c r="J48" s="4436"/>
      <c r="K48" s="4436"/>
      <c r="L48" s="4436"/>
      <c r="M48" s="4436"/>
      <c r="N48" s="4436"/>
      <c r="O48" s="4436"/>
      <c r="P48" s="4436"/>
      <c r="Q48" s="4436"/>
      <c r="R48" s="4436"/>
      <c r="S48" s="4436"/>
      <c r="T48" s="4436"/>
      <c r="U48" s="4436"/>
      <c r="V48" s="4436"/>
      <c r="W48" s="4436"/>
      <c r="X48" s="4436"/>
      <c r="Y48" s="4436"/>
      <c r="Z48" s="4436"/>
      <c r="AA48" s="4436"/>
      <c r="AB48" s="4436"/>
      <c r="AC48" s="4436"/>
      <c r="AD48" s="4436"/>
      <c r="AE48" s="4436"/>
      <c r="AF48" s="4436"/>
      <c r="AG48" s="4436"/>
      <c r="AH48" s="4436"/>
      <c r="AI48" s="4436"/>
      <c r="AJ48" s="4436"/>
      <c r="AK48" s="4454"/>
      <c r="AL48" s="713"/>
    </row>
    <row r="49" spans="2:38" ht="18" customHeight="1" thickBot="1" x14ac:dyDescent="0.25">
      <c r="B49" s="1376" t="s">
        <v>1718</v>
      </c>
      <c r="C49" s="2013"/>
      <c r="D49" s="2013"/>
      <c r="E49" s="4455">
        <v>1.2758051428571431E-2</v>
      </c>
      <c r="F49" s="4455">
        <v>1.6037858571428573E-2</v>
      </c>
      <c r="G49" s="4455">
        <v>2.8124014285714288E-2</v>
      </c>
      <c r="H49" s="4455">
        <v>3.1757031428571433E-2</v>
      </c>
      <c r="I49" s="4455">
        <v>4.144507714285714E-2</v>
      </c>
      <c r="J49" s="4455">
        <v>3.4086092857142862E-2</v>
      </c>
      <c r="K49" s="4455">
        <v>3.6863970000000003E-2</v>
      </c>
      <c r="L49" s="4455">
        <v>3.6789610000000007E-2</v>
      </c>
      <c r="M49" s="4455">
        <v>4.3466075714285714E-2</v>
      </c>
      <c r="N49" s="4455">
        <v>5.3709165714285717E-2</v>
      </c>
      <c r="O49" s="4455">
        <v>6.4546856864285712E-2</v>
      </c>
      <c r="P49" s="4455">
        <v>7.287894001142857E-2</v>
      </c>
      <c r="Q49" s="4455">
        <v>8.0658623964285719E-2</v>
      </c>
      <c r="R49" s="4455">
        <v>7.5167661140000008E-2</v>
      </c>
      <c r="S49" s="4455">
        <v>8.3613592102857154E-2</v>
      </c>
      <c r="T49" s="4455">
        <v>7.8489282504285732E-2</v>
      </c>
      <c r="U49" s="4455">
        <v>9.4517463652857153E-2</v>
      </c>
      <c r="V49" s="4455">
        <v>0.1035869891381873</v>
      </c>
      <c r="W49" s="4455">
        <v>0.11076385584141431</v>
      </c>
      <c r="X49" s="4455">
        <v>0.12158971871405545</v>
      </c>
      <c r="Y49" s="4455">
        <v>0.12788811193341856</v>
      </c>
      <c r="Z49" s="4455">
        <v>0.13534459209928801</v>
      </c>
      <c r="AA49" s="4455">
        <v>0.15863280249112216</v>
      </c>
      <c r="AB49" s="4455">
        <v>0.15340874441137142</v>
      </c>
      <c r="AC49" s="4455">
        <v>0.15032462105272859</v>
      </c>
      <c r="AD49" s="4455">
        <v>0.17550430920471427</v>
      </c>
      <c r="AE49" s="4455">
        <v>0.19488878286428571</v>
      </c>
      <c r="AF49" s="4455">
        <v>0.18493863408428571</v>
      </c>
      <c r="AG49" s="4455">
        <v>0.21056241287714289</v>
      </c>
      <c r="AH49" s="4455">
        <v>0.19758779857142855</v>
      </c>
      <c r="AI49" s="4455">
        <v>0.22742740428571434</v>
      </c>
      <c r="AJ49" s="4455">
        <v>0.22742740428571434</v>
      </c>
      <c r="AK49" s="4450">
        <f t="shared" si="2"/>
        <v>1682.6186511240633</v>
      </c>
      <c r="AL49" s="713"/>
    </row>
    <row r="50" spans="2:38" ht="18" customHeight="1" x14ac:dyDescent="0.2">
      <c r="B50" s="766" t="s">
        <v>1500</v>
      </c>
      <c r="C50" s="1994"/>
      <c r="D50" s="1994"/>
      <c r="E50" s="4456">
        <f>SUM(E51:E55)</f>
        <v>0.59380049335514651</v>
      </c>
      <c r="F50" s="4456">
        <f t="shared" ref="F50:AJ50" si="7">SUM(F51:F55)</f>
        <v>0.61813364076428645</v>
      </c>
      <c r="G50" s="4456">
        <f t="shared" si="7"/>
        <v>0.64167034590775029</v>
      </c>
      <c r="H50" s="4456">
        <f t="shared" si="7"/>
        <v>0.66480169878840234</v>
      </c>
      <c r="I50" s="4456">
        <f t="shared" si="7"/>
        <v>0.6748602533814182</v>
      </c>
      <c r="J50" s="4456">
        <f t="shared" si="7"/>
        <v>0.68677642061202049</v>
      </c>
      <c r="K50" s="4456">
        <f t="shared" si="7"/>
        <v>0.704023228559712</v>
      </c>
      <c r="L50" s="4456">
        <f t="shared" si="7"/>
        <v>0.72880389471375728</v>
      </c>
      <c r="M50" s="4456">
        <f t="shared" si="7"/>
        <v>0.75565066334282749</v>
      </c>
      <c r="N50" s="4456">
        <f t="shared" si="7"/>
        <v>0.77667629320589471</v>
      </c>
      <c r="O50" s="4456">
        <f t="shared" si="7"/>
        <v>0.79816342621954495</v>
      </c>
      <c r="P50" s="4456">
        <f t="shared" si="7"/>
        <v>0.81989781190778277</v>
      </c>
      <c r="Q50" s="4456">
        <f t="shared" si="7"/>
        <v>0.84230124598577261</v>
      </c>
      <c r="R50" s="4456">
        <f t="shared" si="7"/>
        <v>0.86890688260120186</v>
      </c>
      <c r="S50" s="4456">
        <f t="shared" si="7"/>
        <v>0.89207302509492714</v>
      </c>
      <c r="T50" s="4456">
        <f t="shared" si="7"/>
        <v>0.91452844210611206</v>
      </c>
      <c r="U50" s="4456">
        <f t="shared" si="7"/>
        <v>0.94487305994812654</v>
      </c>
      <c r="V50" s="4456">
        <f t="shared" si="7"/>
        <v>0.97212226391401435</v>
      </c>
      <c r="W50" s="4456">
        <f t="shared" si="7"/>
        <v>1.0328899956533242</v>
      </c>
      <c r="X50" s="4456">
        <f t="shared" si="7"/>
        <v>1.2616847310806687</v>
      </c>
      <c r="Y50" s="4456">
        <f t="shared" si="7"/>
        <v>1.343791983055437</v>
      </c>
      <c r="Z50" s="4456">
        <f t="shared" si="7"/>
        <v>1.4471069682259725</v>
      </c>
      <c r="AA50" s="4456">
        <f t="shared" si="7"/>
        <v>1.2812867753564194</v>
      </c>
      <c r="AB50" s="4456">
        <f t="shared" si="7"/>
        <v>1.1808759878538786</v>
      </c>
      <c r="AC50" s="4456">
        <f t="shared" si="7"/>
        <v>1.240403827217694</v>
      </c>
      <c r="AD50" s="4456">
        <f t="shared" si="7"/>
        <v>1.287982306435683</v>
      </c>
      <c r="AE50" s="4456">
        <f t="shared" si="7"/>
        <v>1.3633861471000244</v>
      </c>
      <c r="AF50" s="4456">
        <f t="shared" si="7"/>
        <v>1.3334549536302136</v>
      </c>
      <c r="AG50" s="4456">
        <f t="shared" si="7"/>
        <v>1.3160711322537635</v>
      </c>
      <c r="AH50" s="4456">
        <f t="shared" si="7"/>
        <v>1.3393262904371759</v>
      </c>
      <c r="AI50" s="4456">
        <f t="shared" si="7"/>
        <v>1.3682815925931888</v>
      </c>
      <c r="AJ50" s="4456">
        <f t="shared" si="7"/>
        <v>1.2798477567391111</v>
      </c>
      <c r="AK50" s="4443">
        <f t="shared" si="2"/>
        <v>115.53497699329901</v>
      </c>
      <c r="AL50" s="713"/>
    </row>
    <row r="51" spans="2:38" ht="18" customHeight="1" x14ac:dyDescent="0.2">
      <c r="B51" s="1135" t="s">
        <v>1719</v>
      </c>
      <c r="C51" s="348"/>
      <c r="D51" s="348"/>
      <c r="E51" s="4452"/>
      <c r="F51" s="4452"/>
      <c r="G51" s="4453"/>
      <c r="H51" s="4453"/>
      <c r="I51" s="4453"/>
      <c r="J51" s="4453"/>
      <c r="K51" s="4453"/>
      <c r="L51" s="4453"/>
      <c r="M51" s="4453"/>
      <c r="N51" s="4453"/>
      <c r="O51" s="4453"/>
      <c r="P51" s="4453"/>
      <c r="Q51" s="4453"/>
      <c r="R51" s="4453"/>
      <c r="S51" s="4453"/>
      <c r="T51" s="4453"/>
      <c r="U51" s="4453"/>
      <c r="V51" s="4453"/>
      <c r="W51" s="4453"/>
      <c r="X51" s="4453"/>
      <c r="Y51" s="4453"/>
      <c r="Z51" s="4453"/>
      <c r="AA51" s="4453"/>
      <c r="AB51" s="4453"/>
      <c r="AC51" s="4453"/>
      <c r="AD51" s="4453"/>
      <c r="AE51" s="4453"/>
      <c r="AF51" s="4453"/>
      <c r="AG51" s="4453"/>
      <c r="AH51" s="4453"/>
      <c r="AI51" s="4453"/>
      <c r="AJ51" s="4453"/>
      <c r="AK51" s="4454"/>
      <c r="AL51" s="713"/>
    </row>
    <row r="52" spans="2:38" ht="18" customHeight="1" x14ac:dyDescent="0.2">
      <c r="B52" s="1135" t="s">
        <v>1531</v>
      </c>
      <c r="C52" s="1995"/>
      <c r="D52" s="1995"/>
      <c r="E52" s="4435">
        <v>4.4834209662719324E-2</v>
      </c>
      <c r="F52" s="4435">
        <v>6.1837012751870701E-2</v>
      </c>
      <c r="G52" s="4435">
        <v>7.8839815841023009E-2</v>
      </c>
      <c r="H52" s="4435">
        <v>9.5842618930175344E-2</v>
      </c>
      <c r="I52" s="4435">
        <v>0.11284542201932737</v>
      </c>
      <c r="J52" s="4435">
        <v>0.12984822510847871</v>
      </c>
      <c r="K52" s="4435">
        <v>0.14685102819763104</v>
      </c>
      <c r="L52" s="4435">
        <v>0.16385383128678341</v>
      </c>
      <c r="M52" s="4435">
        <v>0.18085663437593569</v>
      </c>
      <c r="N52" s="4435">
        <v>0.19785943746508797</v>
      </c>
      <c r="O52" s="4435">
        <v>0.21486224055423941</v>
      </c>
      <c r="P52" s="4435">
        <v>0.23186504364339167</v>
      </c>
      <c r="Q52" s="4435">
        <v>0.24886784673254408</v>
      </c>
      <c r="R52" s="4435">
        <v>0.26587064982169634</v>
      </c>
      <c r="S52" s="4435">
        <v>0.28287345291084803</v>
      </c>
      <c r="T52" s="4435">
        <v>0.29987625600000001</v>
      </c>
      <c r="U52" s="4435">
        <v>0.32291011199999997</v>
      </c>
      <c r="V52" s="4435">
        <v>0.34093142400000004</v>
      </c>
      <c r="W52" s="4435">
        <v>0.36703022400000013</v>
      </c>
      <c r="X52" s="4435">
        <v>0.38502451296000006</v>
      </c>
      <c r="Y52" s="4435">
        <v>0.43550678496</v>
      </c>
      <c r="Z52" s="4435">
        <v>0.50594630496000004</v>
      </c>
      <c r="AA52" s="4435">
        <v>0.51473875392000001</v>
      </c>
      <c r="AB52" s="4435">
        <v>0.52355088383999993</v>
      </c>
      <c r="AC52" s="4435">
        <v>0.5313267100800001</v>
      </c>
      <c r="AD52" s="4435">
        <v>0.5387696822400001</v>
      </c>
      <c r="AE52" s="4435">
        <v>0.55267241211228502</v>
      </c>
      <c r="AF52" s="4435">
        <v>0.56139967209225794</v>
      </c>
      <c r="AG52" s="4435">
        <v>0.57042224205820513</v>
      </c>
      <c r="AH52" s="4435">
        <v>0.57469981740377529</v>
      </c>
      <c r="AI52" s="4435">
        <v>0.58209129263598636</v>
      </c>
      <c r="AJ52" s="4435">
        <v>0.58397051121672516</v>
      </c>
      <c r="AK52" s="4443">
        <f t="shared" si="2"/>
        <v>1202.5109968701202</v>
      </c>
      <c r="AL52" s="713"/>
    </row>
    <row r="53" spans="2:38" ht="18" customHeight="1" x14ac:dyDescent="0.2">
      <c r="B53" s="1135" t="s">
        <v>1532</v>
      </c>
      <c r="C53" s="1995"/>
      <c r="D53" s="1995"/>
      <c r="E53" s="4435">
        <v>3.7979999999999993E-2</v>
      </c>
      <c r="F53" s="4435">
        <v>3.7979999999999993E-2</v>
      </c>
      <c r="G53" s="4435">
        <v>3.7979999999999993E-2</v>
      </c>
      <c r="H53" s="4435">
        <v>3.7979999999999993E-2</v>
      </c>
      <c r="I53" s="4435">
        <v>3.7979999999999993E-2</v>
      </c>
      <c r="J53" s="4435">
        <v>3.7979999999999993E-2</v>
      </c>
      <c r="K53" s="4435">
        <v>2.4749999999999998E-2</v>
      </c>
      <c r="L53" s="4435" t="s">
        <v>2146</v>
      </c>
      <c r="M53" s="4435" t="s">
        <v>2146</v>
      </c>
      <c r="N53" s="4435" t="s">
        <v>2146</v>
      </c>
      <c r="O53" s="4435" t="s">
        <v>2146</v>
      </c>
      <c r="P53" s="4435" t="s">
        <v>2146</v>
      </c>
      <c r="Q53" s="4435" t="s">
        <v>2146</v>
      </c>
      <c r="R53" s="4435" t="s">
        <v>2146</v>
      </c>
      <c r="S53" s="4435" t="s">
        <v>2146</v>
      </c>
      <c r="T53" s="4435" t="s">
        <v>2146</v>
      </c>
      <c r="U53" s="4435" t="s">
        <v>2146</v>
      </c>
      <c r="V53" s="4435" t="s">
        <v>2146</v>
      </c>
      <c r="W53" s="4435" t="s">
        <v>2146</v>
      </c>
      <c r="X53" s="4435" t="s">
        <v>2146</v>
      </c>
      <c r="Y53" s="4435" t="s">
        <v>2146</v>
      </c>
      <c r="Z53" s="4435" t="s">
        <v>2146</v>
      </c>
      <c r="AA53" s="4435" t="s">
        <v>2146</v>
      </c>
      <c r="AB53" s="4435" t="s">
        <v>2146</v>
      </c>
      <c r="AC53" s="4435" t="s">
        <v>2146</v>
      </c>
      <c r="AD53" s="4435" t="s">
        <v>2146</v>
      </c>
      <c r="AE53" s="4435" t="s">
        <v>2146</v>
      </c>
      <c r="AF53" s="4435" t="s">
        <v>2146</v>
      </c>
      <c r="AG53" s="4435" t="s">
        <v>2146</v>
      </c>
      <c r="AH53" s="4435" t="s">
        <v>2146</v>
      </c>
      <c r="AI53" s="4435" t="s">
        <v>2146</v>
      </c>
      <c r="AJ53" s="4435" t="s">
        <v>2146</v>
      </c>
      <c r="AK53" s="4443">
        <f t="shared" si="2"/>
        <v>-100</v>
      </c>
      <c r="AL53" s="713"/>
    </row>
    <row r="54" spans="2:38" ht="18" customHeight="1" x14ac:dyDescent="0.2">
      <c r="B54" s="1135" t="s">
        <v>1502</v>
      </c>
      <c r="C54" s="1995"/>
      <c r="D54" s="1995"/>
      <c r="E54" s="4435">
        <v>0.51098628369242716</v>
      </c>
      <c r="F54" s="4435">
        <v>0.51831662801241574</v>
      </c>
      <c r="G54" s="4435">
        <v>0.52485053006672733</v>
      </c>
      <c r="H54" s="4435">
        <v>0.53097907985822701</v>
      </c>
      <c r="I54" s="4435">
        <v>0.52403483136209084</v>
      </c>
      <c r="J54" s="4435">
        <v>0.51894819550354176</v>
      </c>
      <c r="K54" s="4435">
        <v>0.53242220036208099</v>
      </c>
      <c r="L54" s="4435">
        <v>0.56495006342697385</v>
      </c>
      <c r="M54" s="4435">
        <v>0.5747940289668918</v>
      </c>
      <c r="N54" s="4435">
        <v>0.57881685574080677</v>
      </c>
      <c r="O54" s="4435">
        <v>0.58330118566530553</v>
      </c>
      <c r="P54" s="4435">
        <v>0.5880327682643911</v>
      </c>
      <c r="Q54" s="4435">
        <v>0.59343339925322847</v>
      </c>
      <c r="R54" s="4435">
        <v>0.60303623277950558</v>
      </c>
      <c r="S54" s="4435">
        <v>0.60919957218407905</v>
      </c>
      <c r="T54" s="4435">
        <v>0.61465218610611205</v>
      </c>
      <c r="U54" s="4435">
        <v>0.62196294794812657</v>
      </c>
      <c r="V54" s="4435">
        <v>0.63119083991401437</v>
      </c>
      <c r="W54" s="4435">
        <v>0.665859771653324</v>
      </c>
      <c r="X54" s="4435">
        <v>0.87666021812066863</v>
      </c>
      <c r="Y54" s="4435">
        <v>0.90828519809543695</v>
      </c>
      <c r="Z54" s="4435">
        <v>0.94116066326597247</v>
      </c>
      <c r="AA54" s="4435">
        <v>0.76654802143641942</v>
      </c>
      <c r="AB54" s="4435">
        <v>0.65732510401387878</v>
      </c>
      <c r="AC54" s="4435">
        <v>0.70907711713769395</v>
      </c>
      <c r="AD54" s="4435">
        <v>0.7492126241956828</v>
      </c>
      <c r="AE54" s="4435">
        <v>0.81071373498773935</v>
      </c>
      <c r="AF54" s="4435">
        <v>0.77205528153795566</v>
      </c>
      <c r="AG54" s="4435">
        <v>0.74564889019555824</v>
      </c>
      <c r="AH54" s="4435">
        <v>0.76462647303340059</v>
      </c>
      <c r="AI54" s="4435">
        <v>0.78619029995720235</v>
      </c>
      <c r="AJ54" s="4435">
        <v>0.69587724552238606</v>
      </c>
      <c r="AK54" s="4443">
        <f t="shared" si="2"/>
        <v>36.18315554263458</v>
      </c>
      <c r="AL54" s="713"/>
    </row>
    <row r="55" spans="2:38" ht="18" customHeight="1" thickBot="1" x14ac:dyDescent="0.25">
      <c r="B55" s="1417" t="s">
        <v>1720</v>
      </c>
      <c r="C55" s="2229"/>
      <c r="D55" s="2229"/>
      <c r="E55" s="4457" t="s">
        <v>2146</v>
      </c>
      <c r="F55" s="4457" t="s">
        <v>2146</v>
      </c>
      <c r="G55" s="4457" t="s">
        <v>2146</v>
      </c>
      <c r="H55" s="4457" t="s">
        <v>2146</v>
      </c>
      <c r="I55" s="4457" t="s">
        <v>2146</v>
      </c>
      <c r="J55" s="4457" t="s">
        <v>2146</v>
      </c>
      <c r="K55" s="4457" t="s">
        <v>2146</v>
      </c>
      <c r="L55" s="4457" t="s">
        <v>2146</v>
      </c>
      <c r="M55" s="4457" t="s">
        <v>2146</v>
      </c>
      <c r="N55" s="4457" t="s">
        <v>2146</v>
      </c>
      <c r="O55" s="4457" t="s">
        <v>2146</v>
      </c>
      <c r="P55" s="4457" t="s">
        <v>2146</v>
      </c>
      <c r="Q55" s="4457" t="s">
        <v>2146</v>
      </c>
      <c r="R55" s="4457" t="s">
        <v>2146</v>
      </c>
      <c r="S55" s="4457" t="s">
        <v>2146</v>
      </c>
      <c r="T55" s="4457" t="s">
        <v>2146</v>
      </c>
      <c r="U55" s="4457" t="s">
        <v>2146</v>
      </c>
      <c r="V55" s="4457" t="s">
        <v>2146</v>
      </c>
      <c r="W55" s="4457" t="s">
        <v>2146</v>
      </c>
      <c r="X55" s="4457" t="s">
        <v>2146</v>
      </c>
      <c r="Y55" s="4457" t="s">
        <v>2146</v>
      </c>
      <c r="Z55" s="4457" t="s">
        <v>2146</v>
      </c>
      <c r="AA55" s="4457" t="s">
        <v>2146</v>
      </c>
      <c r="AB55" s="4457" t="s">
        <v>2146</v>
      </c>
      <c r="AC55" s="4457" t="s">
        <v>2146</v>
      </c>
      <c r="AD55" s="4457" t="s">
        <v>2146</v>
      </c>
      <c r="AE55" s="4457" t="s">
        <v>2146</v>
      </c>
      <c r="AF55" s="4457" t="s">
        <v>2146</v>
      </c>
      <c r="AG55" s="4457" t="s">
        <v>2146</v>
      </c>
      <c r="AH55" s="4457" t="s">
        <v>2146</v>
      </c>
      <c r="AI55" s="4457" t="s">
        <v>2146</v>
      </c>
      <c r="AJ55" s="4457" t="s">
        <v>2146</v>
      </c>
      <c r="AK55" s="4458" t="str">
        <f t="shared" si="2"/>
        <v>NA</v>
      </c>
      <c r="AL55" s="713"/>
    </row>
    <row r="56" spans="2:38" ht="18" customHeight="1" thickBot="1" x14ac:dyDescent="0.25">
      <c r="B56" s="1446" t="s">
        <v>2069</v>
      </c>
      <c r="C56" s="2000"/>
      <c r="D56" s="2000"/>
      <c r="E56" s="4459" t="s">
        <v>2146</v>
      </c>
      <c r="F56" s="4459" t="s">
        <v>2146</v>
      </c>
      <c r="G56" s="4459" t="s">
        <v>2146</v>
      </c>
      <c r="H56" s="4459" t="s">
        <v>2146</v>
      </c>
      <c r="I56" s="4459" t="s">
        <v>2146</v>
      </c>
      <c r="J56" s="4459" t="s">
        <v>2146</v>
      </c>
      <c r="K56" s="4459" t="s">
        <v>2146</v>
      </c>
      <c r="L56" s="4459" t="s">
        <v>2146</v>
      </c>
      <c r="M56" s="4459" t="s">
        <v>2146</v>
      </c>
      <c r="N56" s="4459" t="s">
        <v>2146</v>
      </c>
      <c r="O56" s="4459" t="s">
        <v>2146</v>
      </c>
      <c r="P56" s="4459" t="s">
        <v>2146</v>
      </c>
      <c r="Q56" s="4459" t="s">
        <v>2146</v>
      </c>
      <c r="R56" s="4459" t="s">
        <v>2146</v>
      </c>
      <c r="S56" s="4459" t="s">
        <v>2146</v>
      </c>
      <c r="T56" s="4459" t="s">
        <v>2146</v>
      </c>
      <c r="U56" s="4459" t="s">
        <v>2146</v>
      </c>
      <c r="V56" s="4459" t="s">
        <v>2146</v>
      </c>
      <c r="W56" s="4459" t="s">
        <v>2146</v>
      </c>
      <c r="X56" s="4459" t="s">
        <v>2146</v>
      </c>
      <c r="Y56" s="4459" t="s">
        <v>2146</v>
      </c>
      <c r="Z56" s="4459" t="s">
        <v>2146</v>
      </c>
      <c r="AA56" s="4459" t="s">
        <v>2146</v>
      </c>
      <c r="AB56" s="4459" t="s">
        <v>2146</v>
      </c>
      <c r="AC56" s="4459" t="s">
        <v>2146</v>
      </c>
      <c r="AD56" s="4459" t="s">
        <v>2146</v>
      </c>
      <c r="AE56" s="4459" t="s">
        <v>2146</v>
      </c>
      <c r="AF56" s="4459" t="s">
        <v>2146</v>
      </c>
      <c r="AG56" s="4459" t="s">
        <v>2146</v>
      </c>
      <c r="AH56" s="4459" t="s">
        <v>2146</v>
      </c>
      <c r="AI56" s="4459" t="s">
        <v>2146</v>
      </c>
      <c r="AJ56" s="4459" t="s">
        <v>2146</v>
      </c>
      <c r="AK56" s="4460" t="str">
        <f t="shared" si="2"/>
        <v>NA</v>
      </c>
      <c r="AL56" s="713"/>
    </row>
    <row r="57" spans="2:38" ht="18" customHeight="1" thickBot="1" x14ac:dyDescent="0.25">
      <c r="B57" s="985"/>
      <c r="C57" s="986"/>
      <c r="D57" s="986"/>
      <c r="E57" s="4431"/>
      <c r="F57" s="4431"/>
      <c r="G57" s="4431"/>
      <c r="H57" s="4431"/>
      <c r="I57" s="4431"/>
      <c r="J57" s="4431"/>
      <c r="K57" s="4431"/>
      <c r="L57" s="4431"/>
      <c r="M57" s="4431"/>
      <c r="N57" s="4431"/>
      <c r="O57" s="4431"/>
      <c r="P57" s="4431"/>
      <c r="Q57" s="4431"/>
      <c r="R57" s="4431"/>
      <c r="S57" s="4431"/>
      <c r="T57" s="4431"/>
      <c r="U57" s="4431"/>
      <c r="V57" s="4431"/>
      <c r="W57" s="4431"/>
      <c r="X57" s="4431"/>
      <c r="Y57" s="4431"/>
      <c r="Z57" s="4431"/>
      <c r="AA57" s="4431"/>
      <c r="AB57" s="4431"/>
      <c r="AC57" s="4431"/>
      <c r="AD57" s="4431"/>
      <c r="AE57" s="4431"/>
      <c r="AF57" s="4431"/>
      <c r="AG57" s="4431"/>
      <c r="AH57" s="4431"/>
      <c r="AI57" s="4431"/>
      <c r="AJ57" s="4431"/>
      <c r="AK57" s="4431"/>
      <c r="AL57" s="19"/>
    </row>
    <row r="58" spans="2:38" ht="18" customHeight="1" thickBot="1" x14ac:dyDescent="0.25">
      <c r="B58" s="776" t="s">
        <v>2135</v>
      </c>
      <c r="C58" s="777"/>
      <c r="D58" s="778"/>
      <c r="E58" s="4432">
        <f>SUM(E10,E21,E30,E50,E56)</f>
        <v>53.519027264905304</v>
      </c>
      <c r="F58" s="4432">
        <f t="shared" ref="F58:AJ58" si="8">SUM(F10,F21,F30,F50,F56)</f>
        <v>52.168731083515084</v>
      </c>
      <c r="G58" s="4432">
        <f t="shared" si="8"/>
        <v>51.590930518468774</v>
      </c>
      <c r="H58" s="4432">
        <f t="shared" si="8"/>
        <v>53.12692962764293</v>
      </c>
      <c r="I58" s="4432">
        <f t="shared" si="8"/>
        <v>54.549711688866985</v>
      </c>
      <c r="J58" s="4432">
        <f t="shared" si="8"/>
        <v>51.764887199407944</v>
      </c>
      <c r="K58" s="4432">
        <f t="shared" si="8"/>
        <v>55.992211045686901</v>
      </c>
      <c r="L58" s="4432">
        <f t="shared" si="8"/>
        <v>58.616388580598489</v>
      </c>
      <c r="M58" s="4432">
        <f t="shared" si="8"/>
        <v>58.794423960701188</v>
      </c>
      <c r="N58" s="4432">
        <f t="shared" si="8"/>
        <v>60.386141030021037</v>
      </c>
      <c r="O58" s="4432">
        <f t="shared" si="8"/>
        <v>63.53843758943313</v>
      </c>
      <c r="P58" s="4432">
        <f t="shared" si="8"/>
        <v>64.589925956612305</v>
      </c>
      <c r="Q58" s="4432">
        <f t="shared" si="8"/>
        <v>66.284589214901587</v>
      </c>
      <c r="R58" s="4432">
        <f t="shared" si="8"/>
        <v>62.410966399965282</v>
      </c>
      <c r="S58" s="4432">
        <f t="shared" si="8"/>
        <v>68.048806122382828</v>
      </c>
      <c r="T58" s="4432">
        <f t="shared" si="8"/>
        <v>68.278921255933014</v>
      </c>
      <c r="U58" s="4432">
        <f t="shared" si="8"/>
        <v>67.958052570745423</v>
      </c>
      <c r="V58" s="4432">
        <f t="shared" si="8"/>
        <v>62.592530904764772</v>
      </c>
      <c r="W58" s="4432">
        <f t="shared" si="8"/>
        <v>63.660390164629618</v>
      </c>
      <c r="X58" s="4432">
        <f t="shared" si="8"/>
        <v>65.156434680529202</v>
      </c>
      <c r="Y58" s="4432">
        <f t="shared" si="8"/>
        <v>64.713926221836772</v>
      </c>
      <c r="Z58" s="4432">
        <f t="shared" si="8"/>
        <v>67.2802622617276</v>
      </c>
      <c r="AA58" s="4432">
        <f t="shared" si="8"/>
        <v>68.065456055346871</v>
      </c>
      <c r="AB58" s="4432">
        <f t="shared" si="8"/>
        <v>64.07543935723443</v>
      </c>
      <c r="AC58" s="4432">
        <f t="shared" si="8"/>
        <v>65.358096205854977</v>
      </c>
      <c r="AD58" s="4432">
        <f t="shared" si="8"/>
        <v>63.234387452972413</v>
      </c>
      <c r="AE58" s="4432">
        <f t="shared" si="8"/>
        <v>63.148885818654087</v>
      </c>
      <c r="AF58" s="4432">
        <f t="shared" si="8"/>
        <v>68.817642364717841</v>
      </c>
      <c r="AG58" s="4432">
        <f t="shared" si="8"/>
        <v>64.942211117353935</v>
      </c>
      <c r="AH58" s="4432">
        <f t="shared" si="8"/>
        <v>63.123208016147693</v>
      </c>
      <c r="AI58" s="4432">
        <f t="shared" si="8"/>
        <v>61.412499109134018</v>
      </c>
      <c r="AJ58" s="4432">
        <f t="shared" si="8"/>
        <v>68.151402179541435</v>
      </c>
      <c r="AK58" s="4460">
        <f>IF(AJ58="NO",IF(E58="NO","NA",-100),IF(E58="NO",100,AJ58/E58*100-100))</f>
        <v>27.340509838136001</v>
      </c>
      <c r="AL58" s="713"/>
    </row>
    <row r="59" spans="2:38" ht="18" customHeight="1" thickBot="1" x14ac:dyDescent="0.25">
      <c r="B59" s="779" t="s">
        <v>2136</v>
      </c>
      <c r="C59" s="777"/>
      <c r="D59" s="778"/>
      <c r="E59" s="4432">
        <f>SUM(E58,E41)</f>
        <v>69.67786882590768</v>
      </c>
      <c r="F59" s="4432">
        <f t="shared" ref="F59:AJ59" si="9">SUM(F58,F41)</f>
        <v>67.503863677258565</v>
      </c>
      <c r="G59" s="4432">
        <f t="shared" si="9"/>
        <v>65.656661491862238</v>
      </c>
      <c r="H59" s="4432">
        <f t="shared" si="9"/>
        <v>66.628271331573629</v>
      </c>
      <c r="I59" s="4432">
        <f t="shared" si="9"/>
        <v>68.187818012129696</v>
      </c>
      <c r="J59" s="4432">
        <f t="shared" si="9"/>
        <v>65.372688299703469</v>
      </c>
      <c r="K59" s="4432">
        <f t="shared" si="9"/>
        <v>70.709995335765001</v>
      </c>
      <c r="L59" s="4432">
        <f t="shared" si="9"/>
        <v>73.043824193521374</v>
      </c>
      <c r="M59" s="4432">
        <f t="shared" si="9"/>
        <v>73.223451729963315</v>
      </c>
      <c r="N59" s="4432">
        <f t="shared" si="9"/>
        <v>76.485826251313043</v>
      </c>
      <c r="O59" s="4432">
        <f t="shared" si="9"/>
        <v>80.643595495038085</v>
      </c>
      <c r="P59" s="4432">
        <f t="shared" si="9"/>
        <v>81.192568430709684</v>
      </c>
      <c r="Q59" s="4432">
        <f t="shared" si="9"/>
        <v>83.052862258513969</v>
      </c>
      <c r="R59" s="4432">
        <f t="shared" si="9"/>
        <v>80.284173276141303</v>
      </c>
      <c r="S59" s="4432">
        <f t="shared" si="9"/>
        <v>83.770385570585432</v>
      </c>
      <c r="T59" s="4432">
        <f t="shared" si="9"/>
        <v>84.811051875826792</v>
      </c>
      <c r="U59" s="4432">
        <f t="shared" si="9"/>
        <v>85.247437556961572</v>
      </c>
      <c r="V59" s="4432">
        <f t="shared" si="9"/>
        <v>80.415681336648674</v>
      </c>
      <c r="W59" s="4432">
        <f t="shared" si="9"/>
        <v>81.09990776379658</v>
      </c>
      <c r="X59" s="4432">
        <f t="shared" si="9"/>
        <v>83.177047620113342</v>
      </c>
      <c r="Y59" s="4432">
        <f t="shared" si="9"/>
        <v>83.655006663444567</v>
      </c>
      <c r="Z59" s="4432">
        <f t="shared" si="9"/>
        <v>86.736299801937278</v>
      </c>
      <c r="AA59" s="4432">
        <f t="shared" si="9"/>
        <v>86.603891047803344</v>
      </c>
      <c r="AB59" s="4432">
        <f t="shared" si="9"/>
        <v>81.569942925070052</v>
      </c>
      <c r="AC59" s="4432">
        <f t="shared" si="9"/>
        <v>82.746824552509707</v>
      </c>
      <c r="AD59" s="4432">
        <f t="shared" si="9"/>
        <v>79.206730171504091</v>
      </c>
      <c r="AE59" s="4432">
        <f t="shared" si="9"/>
        <v>77.693201585576276</v>
      </c>
      <c r="AF59" s="4432">
        <f t="shared" si="9"/>
        <v>83.33324110310798</v>
      </c>
      <c r="AG59" s="4432">
        <f t="shared" si="9"/>
        <v>77.912878576947051</v>
      </c>
      <c r="AH59" s="4432">
        <f t="shared" si="9"/>
        <v>75.452721799978221</v>
      </c>
      <c r="AI59" s="4432">
        <f t="shared" si="9"/>
        <v>73.691200861823859</v>
      </c>
      <c r="AJ59" s="4432">
        <f t="shared" si="9"/>
        <v>79.827211722286435</v>
      </c>
      <c r="AK59" s="4460">
        <f>IF(AJ59="NO",IF(E59="NO","NA",-100),IF(E59="NO",100,AJ59/E59*100-100))</f>
        <v>14.56609260213915</v>
      </c>
      <c r="AL59" s="713"/>
    </row>
    <row r="60" spans="2:38" ht="18" customHeight="1" thickBot="1" x14ac:dyDescent="0.25">
      <c r="B60" s="985"/>
      <c r="C60" s="986"/>
      <c r="D60" s="986"/>
      <c r="E60" s="4431"/>
      <c r="F60" s="4431"/>
      <c r="G60" s="4431"/>
      <c r="H60" s="4431"/>
      <c r="I60" s="4431"/>
      <c r="J60" s="4431"/>
      <c r="K60" s="4431"/>
      <c r="L60" s="4431"/>
      <c r="M60" s="4431"/>
      <c r="N60" s="4431"/>
      <c r="O60" s="4431"/>
      <c r="P60" s="4431"/>
      <c r="Q60" s="4431"/>
      <c r="R60" s="4431"/>
      <c r="S60" s="4431"/>
      <c r="T60" s="4431"/>
      <c r="U60" s="4431"/>
      <c r="V60" s="4431"/>
      <c r="W60" s="4431"/>
      <c r="X60" s="4431"/>
      <c r="Y60" s="4431"/>
      <c r="Z60" s="4431"/>
      <c r="AA60" s="4431"/>
      <c r="AB60" s="4431"/>
      <c r="AC60" s="4431"/>
      <c r="AD60" s="4431"/>
      <c r="AE60" s="4431"/>
      <c r="AF60" s="4431"/>
      <c r="AG60" s="4431"/>
      <c r="AH60" s="4431"/>
      <c r="AI60" s="4431"/>
      <c r="AJ60" s="4431"/>
      <c r="AK60" s="4431"/>
      <c r="AL60" s="19"/>
    </row>
    <row r="61" spans="2:38" ht="18" customHeight="1" x14ac:dyDescent="0.2">
      <c r="B61" s="4106" t="s">
        <v>1721</v>
      </c>
      <c r="C61" s="2001"/>
      <c r="D61" s="2001"/>
      <c r="E61" s="4461"/>
      <c r="F61" s="4461"/>
      <c r="G61" s="4462"/>
      <c r="H61" s="4462"/>
      <c r="I61" s="4462"/>
      <c r="J61" s="4462"/>
      <c r="K61" s="4462"/>
      <c r="L61" s="4462"/>
      <c r="M61" s="4462"/>
      <c r="N61" s="4462"/>
      <c r="O61" s="4462"/>
      <c r="P61" s="4462"/>
      <c r="Q61" s="4462"/>
      <c r="R61" s="4462"/>
      <c r="S61" s="4462"/>
      <c r="T61" s="4462"/>
      <c r="U61" s="4462"/>
      <c r="V61" s="4462"/>
      <c r="W61" s="4462"/>
      <c r="X61" s="4462"/>
      <c r="Y61" s="4462"/>
      <c r="Z61" s="4462"/>
      <c r="AA61" s="4462"/>
      <c r="AB61" s="4462"/>
      <c r="AC61" s="4462"/>
      <c r="AD61" s="4462"/>
      <c r="AE61" s="4462"/>
      <c r="AF61" s="4462"/>
      <c r="AG61" s="4462"/>
      <c r="AH61" s="4462"/>
      <c r="AI61" s="4462"/>
      <c r="AJ61" s="4462"/>
      <c r="AK61" s="4463"/>
      <c r="AL61" s="713"/>
    </row>
    <row r="62" spans="2:38" ht="18" customHeight="1" x14ac:dyDescent="0.2">
      <c r="B62" s="1379" t="s">
        <v>110</v>
      </c>
      <c r="C62" s="1995"/>
      <c r="D62" s="1995"/>
      <c r="E62" s="4464">
        <f>SUM(E63:E64)</f>
        <v>7.9993873321929823E-2</v>
      </c>
      <c r="F62" s="4464">
        <f t="shared" ref="F62:AJ62" si="10">SUM(F63:F64)</f>
        <v>7.5386837384210537E-2</v>
      </c>
      <c r="G62" s="4464">
        <f t="shared" si="10"/>
        <v>7.4823900764035098E-2</v>
      </c>
      <c r="H62" s="4464">
        <f t="shared" si="10"/>
        <v>7.7065468544736837E-2</v>
      </c>
      <c r="I62" s="4464">
        <f t="shared" si="10"/>
        <v>8.4259927376315782E-2</v>
      </c>
      <c r="J62" s="4464">
        <f t="shared" si="10"/>
        <v>0.10483241108070175</v>
      </c>
      <c r="K62" s="4464">
        <f t="shared" si="10"/>
        <v>0.10822132526929826</v>
      </c>
      <c r="L62" s="4464">
        <f t="shared" si="10"/>
        <v>0.10435733409736841</v>
      </c>
      <c r="M62" s="4464">
        <f t="shared" si="10"/>
        <v>9.8623807064912292E-2</v>
      </c>
      <c r="N62" s="4464">
        <f t="shared" si="10"/>
        <v>0.10482924900263157</v>
      </c>
      <c r="O62" s="4464">
        <f t="shared" si="10"/>
        <v>0.11416261503947368</v>
      </c>
      <c r="P62" s="4464">
        <f t="shared" si="10"/>
        <v>0.11170550690175438</v>
      </c>
      <c r="Q62" s="4464">
        <f t="shared" si="10"/>
        <v>0.11388578527807017</v>
      </c>
      <c r="R62" s="4464">
        <f t="shared" si="10"/>
        <v>0.10956300561842106</v>
      </c>
      <c r="S62" s="4464">
        <f t="shared" si="10"/>
        <v>0.11546407625175439</v>
      </c>
      <c r="T62" s="4464">
        <f t="shared" si="10"/>
        <v>0.11666685336666668</v>
      </c>
      <c r="U62" s="4464">
        <f t="shared" si="10"/>
        <v>0.13091541353421052</v>
      </c>
      <c r="V62" s="4464">
        <f t="shared" si="10"/>
        <v>0.11710566363157895</v>
      </c>
      <c r="W62" s="4464">
        <f t="shared" si="10"/>
        <v>0.12750554307554179</v>
      </c>
      <c r="X62" s="4464">
        <f t="shared" si="10"/>
        <v>0.12281481179620027</v>
      </c>
      <c r="Y62" s="4464">
        <f t="shared" si="10"/>
        <v>0.1090583331049037</v>
      </c>
      <c r="Z62" s="4464">
        <f t="shared" si="10"/>
        <v>0.10260023191578947</v>
      </c>
      <c r="AA62" s="4464">
        <f t="shared" si="10"/>
        <v>0.1202110280188005</v>
      </c>
      <c r="AB62" s="4464">
        <f t="shared" si="10"/>
        <v>0.10893505670364748</v>
      </c>
      <c r="AC62" s="4464">
        <f t="shared" si="10"/>
        <v>0.12093147292210527</v>
      </c>
      <c r="AD62" s="4464">
        <f t="shared" si="10"/>
        <v>0.1212933742847451</v>
      </c>
      <c r="AE62" s="4464">
        <f t="shared" si="10"/>
        <v>0.12818696232617033</v>
      </c>
      <c r="AF62" s="4464">
        <f t="shared" si="10"/>
        <v>0.13925237956650846</v>
      </c>
      <c r="AG62" s="4464">
        <f t="shared" si="10"/>
        <v>0.13996125113980071</v>
      </c>
      <c r="AH62" s="4464">
        <f t="shared" si="10"/>
        <v>0.13952455375856082</v>
      </c>
      <c r="AI62" s="4464">
        <f t="shared" si="10"/>
        <v>0.1159477610636668</v>
      </c>
      <c r="AJ62" s="4464">
        <f t="shared" si="10"/>
        <v>5.6441583296916689E-2</v>
      </c>
      <c r="AK62" s="4465">
        <f t="shared" ref="AK62:AK64" si="11">IF(AJ62="NO",IF(E62="NO","NA",-100),IF(E62="NO",100,AJ62/E62*100-100))</f>
        <v>-29.442617349241942</v>
      </c>
      <c r="AL62" s="713"/>
    </row>
    <row r="63" spans="2:38" ht="18" customHeight="1" x14ac:dyDescent="0.2">
      <c r="B63" s="1371" t="s">
        <v>111</v>
      </c>
      <c r="C63" s="1995"/>
      <c r="D63" s="1995"/>
      <c r="E63" s="4435">
        <v>2.2973873321929825E-2</v>
      </c>
      <c r="F63" s="4435">
        <v>2.3926837384210527E-2</v>
      </c>
      <c r="G63" s="4435">
        <v>2.5223900764035089E-2</v>
      </c>
      <c r="H63" s="4435">
        <v>2.7525468544736843E-2</v>
      </c>
      <c r="I63" s="4435">
        <v>2.8459927376315787E-2</v>
      </c>
      <c r="J63" s="4435">
        <v>3.0652411080701755E-2</v>
      </c>
      <c r="K63" s="4435">
        <v>3.3001325269298241E-2</v>
      </c>
      <c r="L63" s="4435">
        <v>3.4517334097368416E-2</v>
      </c>
      <c r="M63" s="4435">
        <v>3.7203807064912282E-2</v>
      </c>
      <c r="N63" s="4435">
        <v>3.7129249002631572E-2</v>
      </c>
      <c r="O63" s="4435">
        <v>3.7662615039473685E-2</v>
      </c>
      <c r="P63" s="4435">
        <v>3.9805506901754384E-2</v>
      </c>
      <c r="Q63" s="4435">
        <v>3.5285785278070171E-2</v>
      </c>
      <c r="R63" s="4435">
        <v>3.2875005618421049E-2</v>
      </c>
      <c r="S63" s="4435">
        <v>3.8324076251754387E-2</v>
      </c>
      <c r="T63" s="4435">
        <v>4.3926853366666671E-2</v>
      </c>
      <c r="U63" s="4435">
        <v>4.4115413534210515E-2</v>
      </c>
      <c r="V63" s="4435">
        <v>4.6999998831578953E-2</v>
      </c>
      <c r="W63" s="4435">
        <v>4.7364638275541791E-2</v>
      </c>
      <c r="X63" s="4435">
        <v>4.8814811796200265E-2</v>
      </c>
      <c r="Y63" s="4435">
        <v>5.1998333104903711E-2</v>
      </c>
      <c r="Z63" s="4435">
        <v>5.1800231915789467E-2</v>
      </c>
      <c r="AA63" s="4435">
        <v>5.3561028018800499E-2</v>
      </c>
      <c r="AB63" s="4435">
        <v>5.5965056703647487E-2</v>
      </c>
      <c r="AC63" s="4435">
        <v>6.0041472922105266E-2</v>
      </c>
      <c r="AD63" s="4435">
        <v>6.0033438284745083E-2</v>
      </c>
      <c r="AE63" s="4435">
        <v>6.3199603112108274E-2</v>
      </c>
      <c r="AF63" s="4435">
        <v>6.9306428085066527E-2</v>
      </c>
      <c r="AG63" s="4435">
        <v>7.160068123659262E-2</v>
      </c>
      <c r="AH63" s="4435">
        <v>7.4446569758560815E-2</v>
      </c>
      <c r="AI63" s="4435">
        <v>5.7589741863666853E-2</v>
      </c>
      <c r="AJ63" s="4435">
        <v>1.8097156496916712E-2</v>
      </c>
      <c r="AK63" s="4465">
        <f t="shared" si="11"/>
        <v>-21.227229543213411</v>
      </c>
      <c r="AL63" s="713"/>
    </row>
    <row r="64" spans="2:38" ht="18" customHeight="1" x14ac:dyDescent="0.2">
      <c r="B64" s="1380" t="s">
        <v>1503</v>
      </c>
      <c r="C64" s="1995"/>
      <c r="D64" s="1995"/>
      <c r="E64" s="4435">
        <v>5.7020000000000001E-2</v>
      </c>
      <c r="F64" s="4435">
        <v>5.1460000000000006E-2</v>
      </c>
      <c r="G64" s="4435">
        <v>4.9600000000000005E-2</v>
      </c>
      <c r="H64" s="4435">
        <v>4.9540000000000001E-2</v>
      </c>
      <c r="I64" s="4435">
        <v>5.5799999999999995E-2</v>
      </c>
      <c r="J64" s="4435">
        <v>7.4179999999999996E-2</v>
      </c>
      <c r="K64" s="4435">
        <v>7.5220000000000009E-2</v>
      </c>
      <c r="L64" s="4435">
        <v>6.9839999999999999E-2</v>
      </c>
      <c r="M64" s="4435">
        <v>6.1420000000000009E-2</v>
      </c>
      <c r="N64" s="4435">
        <v>6.7699999999999996E-2</v>
      </c>
      <c r="O64" s="4435">
        <v>7.6499999999999999E-2</v>
      </c>
      <c r="P64" s="4435">
        <v>7.1899999999999992E-2</v>
      </c>
      <c r="Q64" s="4435">
        <v>7.8600000000000003E-2</v>
      </c>
      <c r="R64" s="4435">
        <v>7.6688000000000006E-2</v>
      </c>
      <c r="S64" s="4435">
        <v>7.714E-2</v>
      </c>
      <c r="T64" s="4435">
        <v>7.2740000000000013E-2</v>
      </c>
      <c r="U64" s="4435">
        <v>8.6800000000000002E-2</v>
      </c>
      <c r="V64" s="4435">
        <v>7.0105664800000009E-2</v>
      </c>
      <c r="W64" s="4435">
        <v>8.0140904799999996E-2</v>
      </c>
      <c r="X64" s="4435">
        <v>7.3999999999999996E-2</v>
      </c>
      <c r="Y64" s="4435">
        <v>5.706E-2</v>
      </c>
      <c r="Z64" s="4435">
        <v>5.0800000000000005E-2</v>
      </c>
      <c r="AA64" s="4435">
        <v>6.6650000000000001E-2</v>
      </c>
      <c r="AB64" s="4435">
        <v>5.2969999999999996E-2</v>
      </c>
      <c r="AC64" s="4435">
        <v>6.0890000000000007E-2</v>
      </c>
      <c r="AD64" s="4435">
        <v>6.1259936000000022E-2</v>
      </c>
      <c r="AE64" s="4435">
        <v>6.4987359214062054E-2</v>
      </c>
      <c r="AF64" s="4435">
        <v>6.9945951481441934E-2</v>
      </c>
      <c r="AG64" s="4435">
        <v>6.8360569903208088E-2</v>
      </c>
      <c r="AH64" s="4435">
        <v>6.5077984000000005E-2</v>
      </c>
      <c r="AI64" s="4435">
        <v>5.8358019199999958E-2</v>
      </c>
      <c r="AJ64" s="4435">
        <v>3.8344426799999977E-2</v>
      </c>
      <c r="AK64" s="4465">
        <f t="shared" si="11"/>
        <v>-32.752671343388329</v>
      </c>
      <c r="AL64" s="713"/>
    </row>
    <row r="65" spans="2:38" ht="18" customHeight="1" x14ac:dyDescent="0.2">
      <c r="B65" s="1381" t="s">
        <v>113</v>
      </c>
      <c r="C65" s="1995"/>
      <c r="D65" s="1995"/>
      <c r="E65" s="4466" t="s">
        <v>2154</v>
      </c>
      <c r="F65" s="4466" t="s">
        <v>2154</v>
      </c>
      <c r="G65" s="4466" t="s">
        <v>2154</v>
      </c>
      <c r="H65" s="4466" t="s">
        <v>2154</v>
      </c>
      <c r="I65" s="4466" t="s">
        <v>2154</v>
      </c>
      <c r="J65" s="4466" t="s">
        <v>2154</v>
      </c>
      <c r="K65" s="4466" t="s">
        <v>2154</v>
      </c>
      <c r="L65" s="4466" t="s">
        <v>2154</v>
      </c>
      <c r="M65" s="4466" t="s">
        <v>2154</v>
      </c>
      <c r="N65" s="4466" t="s">
        <v>2154</v>
      </c>
      <c r="O65" s="4466" t="s">
        <v>2154</v>
      </c>
      <c r="P65" s="4466" t="s">
        <v>2154</v>
      </c>
      <c r="Q65" s="4466" t="s">
        <v>2154</v>
      </c>
      <c r="R65" s="4466" t="s">
        <v>2154</v>
      </c>
      <c r="S65" s="4466" t="s">
        <v>2154</v>
      </c>
      <c r="T65" s="4466" t="s">
        <v>2154</v>
      </c>
      <c r="U65" s="4466" t="s">
        <v>2154</v>
      </c>
      <c r="V65" s="4466" t="s">
        <v>2154</v>
      </c>
      <c r="W65" s="4466" t="s">
        <v>2154</v>
      </c>
      <c r="X65" s="4466" t="s">
        <v>2154</v>
      </c>
      <c r="Y65" s="4466" t="s">
        <v>2154</v>
      </c>
      <c r="Z65" s="4466" t="s">
        <v>2154</v>
      </c>
      <c r="AA65" s="4466" t="s">
        <v>2154</v>
      </c>
      <c r="AB65" s="4466" t="s">
        <v>2154</v>
      </c>
      <c r="AC65" s="4466" t="s">
        <v>2154</v>
      </c>
      <c r="AD65" s="4466" t="s">
        <v>2154</v>
      </c>
      <c r="AE65" s="4466" t="s">
        <v>2154</v>
      </c>
      <c r="AF65" s="4466" t="s">
        <v>2154</v>
      </c>
      <c r="AG65" s="4466" t="s">
        <v>2154</v>
      </c>
      <c r="AH65" s="4466" t="s">
        <v>2154</v>
      </c>
      <c r="AI65" s="4466" t="s">
        <v>2154</v>
      </c>
      <c r="AJ65" s="4466" t="s">
        <v>2154</v>
      </c>
      <c r="AK65" s="4465" t="s">
        <v>2147</v>
      </c>
      <c r="AL65" s="713"/>
    </row>
    <row r="66" spans="2:38" ht="18" customHeight="1" x14ac:dyDescent="0.2">
      <c r="B66" s="1379" t="s">
        <v>114</v>
      </c>
      <c r="C66" s="348"/>
      <c r="D66" s="348"/>
      <c r="E66" s="4452"/>
      <c r="F66" s="4452"/>
      <c r="G66" s="4453"/>
      <c r="H66" s="4453"/>
      <c r="I66" s="4453"/>
      <c r="J66" s="4453"/>
      <c r="K66" s="4453"/>
      <c r="L66" s="4453"/>
      <c r="M66" s="4453"/>
      <c r="N66" s="4453"/>
      <c r="O66" s="4453"/>
      <c r="P66" s="4453"/>
      <c r="Q66" s="4453"/>
      <c r="R66" s="4453"/>
      <c r="S66" s="4453"/>
      <c r="T66" s="4453"/>
      <c r="U66" s="4453"/>
      <c r="V66" s="4453"/>
      <c r="W66" s="4453"/>
      <c r="X66" s="4453"/>
      <c r="Y66" s="4453"/>
      <c r="Z66" s="4453"/>
      <c r="AA66" s="4453"/>
      <c r="AB66" s="4453"/>
      <c r="AC66" s="4453"/>
      <c r="AD66" s="4453"/>
      <c r="AE66" s="4453"/>
      <c r="AF66" s="4453"/>
      <c r="AG66" s="4453"/>
      <c r="AH66" s="4453"/>
      <c r="AI66" s="4453"/>
      <c r="AJ66" s="4453"/>
      <c r="AK66" s="4454"/>
      <c r="AL66" s="713"/>
    </row>
    <row r="67" spans="2:38" ht="18" customHeight="1" x14ac:dyDescent="0.2">
      <c r="B67" s="1383" t="s">
        <v>1504</v>
      </c>
      <c r="C67" s="348"/>
      <c r="D67" s="348"/>
      <c r="E67" s="4452"/>
      <c r="F67" s="4452"/>
      <c r="G67" s="4453"/>
      <c r="H67" s="4453"/>
      <c r="I67" s="4453"/>
      <c r="J67" s="4453"/>
      <c r="K67" s="4453"/>
      <c r="L67" s="4453"/>
      <c r="M67" s="4453"/>
      <c r="N67" s="4453"/>
      <c r="O67" s="4453"/>
      <c r="P67" s="4453"/>
      <c r="Q67" s="4453"/>
      <c r="R67" s="4453"/>
      <c r="S67" s="4453"/>
      <c r="T67" s="4453"/>
      <c r="U67" s="4453"/>
      <c r="V67" s="4453"/>
      <c r="W67" s="4453"/>
      <c r="X67" s="4453"/>
      <c r="Y67" s="4453"/>
      <c r="Z67" s="4453"/>
      <c r="AA67" s="4453"/>
      <c r="AB67" s="4453"/>
      <c r="AC67" s="4453"/>
      <c r="AD67" s="4453"/>
      <c r="AE67" s="4453"/>
      <c r="AF67" s="4453"/>
      <c r="AG67" s="4453"/>
      <c r="AH67" s="4453"/>
      <c r="AI67" s="4453"/>
      <c r="AJ67" s="4453"/>
      <c r="AK67" s="4454"/>
      <c r="AL67" s="713"/>
    </row>
    <row r="68" spans="2:38" ht="18" customHeight="1" x14ac:dyDescent="0.2">
      <c r="B68" s="1384" t="s">
        <v>1505</v>
      </c>
      <c r="C68" s="354"/>
      <c r="D68" s="354"/>
      <c r="E68" s="4436"/>
      <c r="F68" s="4436"/>
      <c r="G68" s="4437"/>
      <c r="H68" s="4437"/>
      <c r="I68" s="4437"/>
      <c r="J68" s="4437"/>
      <c r="K68" s="4437"/>
      <c r="L68" s="4437"/>
      <c r="M68" s="4437"/>
      <c r="N68" s="4437"/>
      <c r="O68" s="4437"/>
      <c r="P68" s="4437"/>
      <c r="Q68" s="4437"/>
      <c r="R68" s="4437"/>
      <c r="S68" s="4437"/>
      <c r="T68" s="4437"/>
      <c r="U68" s="4437"/>
      <c r="V68" s="4437"/>
      <c r="W68" s="4437"/>
      <c r="X68" s="4437"/>
      <c r="Y68" s="4437"/>
      <c r="Z68" s="4437"/>
      <c r="AA68" s="4437"/>
      <c r="AB68" s="4437"/>
      <c r="AC68" s="4437"/>
      <c r="AD68" s="4437"/>
      <c r="AE68" s="4437"/>
      <c r="AF68" s="4437"/>
      <c r="AG68" s="4437"/>
      <c r="AH68" s="4437"/>
      <c r="AI68" s="4437"/>
      <c r="AJ68" s="4437"/>
      <c r="AK68" s="4438"/>
      <c r="AL68" s="19"/>
    </row>
    <row r="69" spans="2:38" ht="18" customHeight="1" thickBot="1" x14ac:dyDescent="0.25">
      <c r="B69" s="768" t="s">
        <v>1536</v>
      </c>
      <c r="C69" s="2013"/>
      <c r="D69" s="2013"/>
      <c r="E69" s="4455" t="s">
        <v>2313</v>
      </c>
      <c r="F69" s="4455" t="s">
        <v>2313</v>
      </c>
      <c r="G69" s="4455" t="s">
        <v>2313</v>
      </c>
      <c r="H69" s="4455" t="s">
        <v>2313</v>
      </c>
      <c r="I69" s="4455" t="s">
        <v>2313</v>
      </c>
      <c r="J69" s="4455" t="s">
        <v>2313</v>
      </c>
      <c r="K69" s="4455" t="s">
        <v>2313</v>
      </c>
      <c r="L69" s="4455" t="s">
        <v>2313</v>
      </c>
      <c r="M69" s="4455" t="s">
        <v>2313</v>
      </c>
      <c r="N69" s="4455" t="s">
        <v>2313</v>
      </c>
      <c r="O69" s="4455" t="s">
        <v>2313</v>
      </c>
      <c r="P69" s="4455" t="s">
        <v>2313</v>
      </c>
      <c r="Q69" s="4455" t="s">
        <v>2313</v>
      </c>
      <c r="R69" s="4455" t="s">
        <v>2313</v>
      </c>
      <c r="S69" s="4455" t="s">
        <v>2313</v>
      </c>
      <c r="T69" s="4455" t="s">
        <v>2313</v>
      </c>
      <c r="U69" s="4455" t="s">
        <v>2313</v>
      </c>
      <c r="V69" s="4455" t="s">
        <v>2313</v>
      </c>
      <c r="W69" s="4455" t="s">
        <v>2313</v>
      </c>
      <c r="X69" s="4455" t="s">
        <v>2313</v>
      </c>
      <c r="Y69" s="4455" t="s">
        <v>2313</v>
      </c>
      <c r="Z69" s="4455" t="s">
        <v>2313</v>
      </c>
      <c r="AA69" s="4455" t="s">
        <v>2313</v>
      </c>
      <c r="AB69" s="4455" t="s">
        <v>2313</v>
      </c>
      <c r="AC69" s="4455" t="s">
        <v>2313</v>
      </c>
      <c r="AD69" s="4455" t="s">
        <v>2313</v>
      </c>
      <c r="AE69" s="4455" t="s">
        <v>2313</v>
      </c>
      <c r="AF69" s="4455" t="s">
        <v>2313</v>
      </c>
      <c r="AG69" s="4455" t="s">
        <v>2313</v>
      </c>
      <c r="AH69" s="4455" t="s">
        <v>2313</v>
      </c>
      <c r="AI69" s="4455" t="s">
        <v>2313</v>
      </c>
      <c r="AJ69" s="4455" t="s">
        <v>2313</v>
      </c>
      <c r="AK69" s="4467" t="s">
        <v>2147</v>
      </c>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2.75" x14ac:dyDescent="0.2">
      <c r="C72" s="682"/>
      <c r="D72" s="682"/>
      <c r="E72" s="682"/>
      <c r="F72" s="682"/>
      <c r="G72" s="682"/>
      <c r="H72" s="682"/>
      <c r="I72" s="682"/>
      <c r="J72" s="682"/>
      <c r="K72" s="682"/>
      <c r="L72" s="682"/>
      <c r="M72" s="682"/>
      <c r="N72" s="682"/>
      <c r="O72" s="682"/>
      <c r="P72" s="682"/>
      <c r="Q72" s="682"/>
      <c r="R72" s="682"/>
      <c r="S72" s="682"/>
      <c r="T72" s="682"/>
      <c r="U72" s="682"/>
      <c r="V72" s="682"/>
      <c r="W72" s="682"/>
      <c r="X72" s="682"/>
      <c r="Y72" s="682"/>
      <c r="Z72" s="682"/>
      <c r="AA72" s="682"/>
      <c r="AB72" s="682"/>
      <c r="AC72" s="682"/>
      <c r="AD72" s="682"/>
      <c r="AE72" s="682"/>
      <c r="AF72" s="682"/>
      <c r="AG72" s="682"/>
      <c r="AH72" s="682"/>
      <c r="AI72" s="682"/>
      <c r="AJ72" s="682"/>
      <c r="AK72" s="682"/>
    </row>
    <row r="73" spans="2:38" ht="12.75" x14ac:dyDescent="0.2">
      <c r="B73" s="1993"/>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75" x14ac:dyDescent="0.2"/>
    <row r="75" spans="2:38" ht="12.75" x14ac:dyDescent="0.2"/>
    <row r="76" spans="2:38" ht="12.75" x14ac:dyDescent="0.2"/>
    <row r="77" spans="2:38" ht="12.75" x14ac:dyDescent="0.2"/>
  </sheetData>
  <dataValidations count="1">
    <dataValidation allowBlank="1" showInputMessage="1" showErrorMessage="1" sqref="B73:B65538 E70:AK70 B1 C1:D9 C72:AK65538 AK1:AK9 B3:B69 E1:AJ8 AL1:KB1048576 B71 C57:D60 E57:AK57 E60:AK60 E58:AJ59"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7" t="s">
        <v>147</v>
      </c>
      <c r="C1" s="987"/>
      <c r="J1" s="14" t="s">
        <v>2521</v>
      </c>
    </row>
    <row r="2" spans="2:11" ht="16.350000000000001" customHeight="1" x14ac:dyDescent="0.25">
      <c r="B2" s="1022" t="s">
        <v>120</v>
      </c>
      <c r="J2" s="14" t="s">
        <v>2522</v>
      </c>
    </row>
    <row r="3" spans="2:11" ht="16.350000000000001" customHeight="1" x14ac:dyDescent="0.25">
      <c r="B3" s="1022" t="s">
        <v>172</v>
      </c>
      <c r="I3" s="226"/>
      <c r="J3" s="14" t="s">
        <v>2144</v>
      </c>
    </row>
    <row r="4" spans="2:11" ht="12" customHeight="1" x14ac:dyDescent="0.25">
      <c r="B4" s="1022"/>
      <c r="I4" s="226"/>
      <c r="J4" s="226"/>
    </row>
    <row r="5" spans="2:11" ht="12" customHeight="1" x14ac:dyDescent="0.25">
      <c r="B5" s="1022"/>
      <c r="I5" s="226"/>
      <c r="J5" s="226"/>
    </row>
    <row r="6" spans="2:11" ht="12" customHeight="1" thickBot="1" x14ac:dyDescent="0.25">
      <c r="B6" s="2449" t="s">
        <v>64</v>
      </c>
      <c r="C6" s="1011"/>
      <c r="J6" s="1011"/>
    </row>
    <row r="7" spans="2:11" ht="12" customHeight="1" x14ac:dyDescent="0.2">
      <c r="B7" s="292" t="s">
        <v>65</v>
      </c>
      <c r="C7" s="177" t="s">
        <v>122</v>
      </c>
      <c r="D7" s="179"/>
      <c r="E7" s="177" t="s">
        <v>123</v>
      </c>
      <c r="F7" s="178"/>
      <c r="G7" s="179"/>
      <c r="H7" s="177" t="s">
        <v>124</v>
      </c>
      <c r="I7" s="178"/>
      <c r="J7" s="203"/>
      <c r="K7" s="1840"/>
    </row>
    <row r="8" spans="2:11" ht="14.25" x14ac:dyDescent="0.2">
      <c r="B8" s="1841"/>
      <c r="C8" s="1842" t="s">
        <v>125</v>
      </c>
      <c r="D8" s="1843"/>
      <c r="E8" s="1721" t="s">
        <v>149</v>
      </c>
      <c r="F8" s="1721" t="s">
        <v>67</v>
      </c>
      <c r="G8" s="1859" t="s">
        <v>68</v>
      </c>
      <c r="H8" s="1859" t="s">
        <v>2009</v>
      </c>
      <c r="I8" s="1721" t="s">
        <v>67</v>
      </c>
      <c r="J8" s="1839" t="s">
        <v>68</v>
      </c>
    </row>
    <row r="9" spans="2:11" ht="15" thickBot="1" x14ac:dyDescent="0.25">
      <c r="B9" s="1845"/>
      <c r="C9" s="1846" t="s">
        <v>127</v>
      </c>
      <c r="D9" s="1747" t="s">
        <v>173</v>
      </c>
      <c r="E9" s="1747" t="s">
        <v>129</v>
      </c>
      <c r="F9" s="1748" t="s">
        <v>130</v>
      </c>
      <c r="G9" s="1772"/>
      <c r="H9" s="1748" t="s">
        <v>73</v>
      </c>
      <c r="I9" s="344"/>
      <c r="J9" s="345"/>
    </row>
    <row r="10" spans="2:11" ht="18" customHeight="1" thickTop="1" x14ac:dyDescent="0.2">
      <c r="B10" s="1240" t="s">
        <v>174</v>
      </c>
      <c r="C10" s="1913">
        <f>IF(SUM(C11:C15)=0,"NO",SUM(C11:C15))</f>
        <v>1193005.8695205871</v>
      </c>
      <c r="D10" s="1913" t="s">
        <v>1814</v>
      </c>
      <c r="E10" s="628"/>
      <c r="F10" s="628"/>
      <c r="G10" s="628"/>
      <c r="H10" s="1847">
        <f>IF(SUM(H11:H14)=0,"NO",SUM(H11:H14))</f>
        <v>80926.112954754557</v>
      </c>
      <c r="I10" s="1847">
        <f>IF(SUM(I11:I15)=0,"NO",SUM(I11:I15))</f>
        <v>21.266576747645065</v>
      </c>
      <c r="J10" s="2192">
        <f>IF(SUM(J11:J15)=0,"NO",SUM(J11:J15))</f>
        <v>6.8637756581244886</v>
      </c>
    </row>
    <row r="11" spans="2:11" ht="18" customHeight="1" x14ac:dyDescent="0.2">
      <c r="B11" s="282" t="s">
        <v>132</v>
      </c>
      <c r="C11" s="1913">
        <f>IF(SUM(C17:C18,C21:C24,C82,C89:C92,C100)=0,"NO",SUM(C17:C18,C21:C24,C82,C89:C92,C100))</f>
        <v>1168056.6713781303</v>
      </c>
      <c r="D11" s="1909" t="s">
        <v>1814</v>
      </c>
      <c r="E11" s="1913">
        <f>IFERROR(H11*1000/$C11,"NA")</f>
        <v>67.957599533752656</v>
      </c>
      <c r="F11" s="1913">
        <f t="shared" ref="F11:G15" si="0">IFERROR(I11*1000000/$C11,"NA")</f>
        <v>17.742530324510099</v>
      </c>
      <c r="G11" s="1913">
        <f t="shared" si="0"/>
        <v>5.8672836101508103</v>
      </c>
      <c r="H11" s="1913">
        <f>IF(SUM(H17:H18,H21:H24,H82,H89:H92,H100)=0,"NO",SUM(H17:H18,H21:H24,H82,H89:H92,H100))</f>
        <v>79378.327506243106</v>
      </c>
      <c r="I11" s="1913">
        <f>IF(SUM(I17:I18,I21:I24,I82,I89:I92,I100)=0,"NO",SUM(I17:I18,I21:I24,I82,I89:I92,I100))</f>
        <v>20.724280912672807</v>
      </c>
      <c r="J11" s="3085">
        <f>IF(SUM(J17:J18,J21:J24,J82,J89:J92,J100)=0,"NO",SUM(J17:J18,J21:J24,J82,J89:J92,J100))</f>
        <v>6.8533197637042154</v>
      </c>
    </row>
    <row r="12" spans="2:11" ht="18" customHeight="1" x14ac:dyDescent="0.2">
      <c r="B12" s="282" t="s">
        <v>133</v>
      </c>
      <c r="C12" s="1913" t="str">
        <f>IF(SUM(C83,C101)=0,"NO",SUM(C83,C101))</f>
        <v>NO</v>
      </c>
      <c r="D12" s="1909" t="s">
        <v>1814</v>
      </c>
      <c r="E12" s="1913" t="str">
        <f t="shared" ref="E12:E15" si="1">IFERROR(H12*1000/$C12,"NA")</f>
        <v>NA</v>
      </c>
      <c r="F12" s="1913" t="str">
        <f t="shared" si="0"/>
        <v>NA</v>
      </c>
      <c r="G12" s="1913" t="str">
        <f t="shared" si="0"/>
        <v>NA</v>
      </c>
      <c r="H12" s="1913" t="str">
        <f>IF(SUM(H83,H101)=0,"NO",SUM(H83,H101))</f>
        <v>NO</v>
      </c>
      <c r="I12" s="1913" t="str">
        <f>IF(SUM(I83,I101)=0,"NO",SUM(I83,I101))</f>
        <v>NO</v>
      </c>
      <c r="J12" s="3085" t="str">
        <f>IF(SUM(J83,J101)=0,"NO",SUM(J83,J101))</f>
        <v>NO</v>
      </c>
    </row>
    <row r="13" spans="2:11" ht="18" customHeight="1" x14ac:dyDescent="0.2">
      <c r="B13" s="282" t="s">
        <v>134</v>
      </c>
      <c r="C13" s="1913">
        <f>IF(SUM(C26,C84,C94,C102)=0,"NO",SUM(C26,C84,C94,C102))</f>
        <v>18000.030511060068</v>
      </c>
      <c r="D13" s="1909" t="s">
        <v>1814</v>
      </c>
      <c r="E13" s="1913">
        <f t="shared" si="1"/>
        <v>51.411918339264986</v>
      </c>
      <c r="F13" s="1913">
        <f t="shared" si="0"/>
        <v>17.762132210103989</v>
      </c>
      <c r="G13" s="1913">
        <f t="shared" si="0"/>
        <v>0.18372138364032739</v>
      </c>
      <c r="H13" s="1913">
        <f>IF(SUM(H26,H84,H94,H102)=0,"NO",SUM(H26,H84,H94,H102))</f>
        <v>925.41609873889843</v>
      </c>
      <c r="I13" s="1913">
        <f>IF(SUM(I26,I84,I94,I102)=0,"NO",SUM(I26,I84,I94,I102))</f>
        <v>0.31971892172335459</v>
      </c>
      <c r="J13" s="3085">
        <f>IF(SUM(J26,J84,J94,J102)=0,"NO",SUM(J26,J84,J94,J102))</f>
        <v>3.306990511060065E-3</v>
      </c>
    </row>
    <row r="14" spans="2:11" ht="18" customHeight="1" x14ac:dyDescent="0.2">
      <c r="B14" s="282" t="s">
        <v>175</v>
      </c>
      <c r="C14" s="1913">
        <f>IF(SUM(C28,C86,C96,C103)=0,"NO",SUM(C28,C86,C96,C103))</f>
        <v>6918.6814430088089</v>
      </c>
      <c r="D14" s="1909" t="s">
        <v>1814</v>
      </c>
      <c r="E14" s="1913">
        <f t="shared" si="1"/>
        <v>89.954907578732033</v>
      </c>
      <c r="F14" s="1913">
        <f t="shared" si="0"/>
        <v>31.913595360444599</v>
      </c>
      <c r="G14" s="1913">
        <f t="shared" si="0"/>
        <v>0.99729985501389373</v>
      </c>
      <c r="H14" s="1913">
        <f>IF(SUM(H28,H86,H96,H103)=0,"NO",SUM(H28,H86,H96,H103))</f>
        <v>622.36934977254577</v>
      </c>
      <c r="I14" s="1913">
        <f>IF(SUM(I28,I86,I96,I103)=0,"NO",SUM(I28,I86,I96,I103))</f>
        <v>0.22080000000000005</v>
      </c>
      <c r="J14" s="3085">
        <f>IF(SUM(J28,J86,J96,J103)=0,"NO",SUM(J28,J86,J96,J103))</f>
        <v>6.9000000000000016E-3</v>
      </c>
    </row>
    <row r="15" spans="2:11" ht="18" customHeight="1" x14ac:dyDescent="0.2">
      <c r="B15" s="282" t="s">
        <v>137</v>
      </c>
      <c r="C15" s="1913">
        <f>IF(SUM(C19,C27,C85,C95,C104)=0,"NO",SUM(C19,C27,C85,C95,C104))</f>
        <v>30.486188388076346</v>
      </c>
      <c r="D15" s="1913" t="s">
        <v>1814</v>
      </c>
      <c r="E15" s="1913">
        <f t="shared" si="1"/>
        <v>67.259999999999962</v>
      </c>
      <c r="F15" s="1913">
        <f t="shared" si="0"/>
        <v>58.285844930365585</v>
      </c>
      <c r="G15" s="1913">
        <f t="shared" si="0"/>
        <v>8.1644811100862213</v>
      </c>
      <c r="H15" s="1913">
        <f>IF(SUM(H19,H27,H85,H95,H104)=0,"NO",SUM(H19,H27,H85,H95,H104))</f>
        <v>2.050501030982014</v>
      </c>
      <c r="I15" s="1913">
        <f>IF(SUM(I19,I27,I85,I95,I104)=0,"NO",SUM(I19,I27,I85,I95,I104))</f>
        <v>1.7769132489053299E-3</v>
      </c>
      <c r="J15" s="3085">
        <f>IF(SUM(J19,J27,J85,J95,J104)=0,"NO",SUM(J19,J27,J85,J95,J104))</f>
        <v>2.4890390921297924E-4</v>
      </c>
    </row>
    <row r="16" spans="2:11" ht="18" customHeight="1" x14ac:dyDescent="0.2">
      <c r="B16" s="1241" t="s">
        <v>176</v>
      </c>
      <c r="C16" s="1913">
        <f>IF(SUM(C17:C19)=0,"NO",SUM(C17:C19))</f>
        <v>81116.719368861726</v>
      </c>
      <c r="D16" s="1909" t="s">
        <v>1814</v>
      </c>
      <c r="E16" s="628"/>
      <c r="F16" s="628"/>
      <c r="G16" s="628"/>
      <c r="H16" s="1913">
        <f>IF(SUM(H17:H18)=0,"NO",SUM(H17:H18))</f>
        <v>5638.016552313793</v>
      </c>
      <c r="I16" s="1913">
        <f>IF(SUM(I17:I19)=0,"NO",SUM(I17:I19))</f>
        <v>3.2358646167084879E-2</v>
      </c>
      <c r="J16" s="3085">
        <f>IF(SUM(J17:J19)=0,"NO",SUM(J17:J19))</f>
        <v>4.7695134931703111E-2</v>
      </c>
    </row>
    <row r="17" spans="2:10" ht="18" customHeight="1" x14ac:dyDescent="0.2">
      <c r="B17" s="282" t="s">
        <v>177</v>
      </c>
      <c r="C17" s="691">
        <v>2964.2752919162299</v>
      </c>
      <c r="D17" s="1909" t="s">
        <v>1814</v>
      </c>
      <c r="E17" s="1913">
        <f t="shared" ref="E17:E19" si="2">IFERROR(H17*1000/$C17,"NA")</f>
        <v>67</v>
      </c>
      <c r="F17" s="1913">
        <f t="shared" ref="F17:G19" si="3">IFERROR(I17*1000000/$C17,"NA")</f>
        <v>0.50000000000000011</v>
      </c>
      <c r="G17" s="1913">
        <f t="shared" si="3"/>
        <v>2.0000000000000004</v>
      </c>
      <c r="H17" s="691">
        <v>198.60644455838741</v>
      </c>
      <c r="I17" s="691">
        <v>1.4821376459581152E-3</v>
      </c>
      <c r="J17" s="2911">
        <v>5.928550583832461E-3</v>
      </c>
    </row>
    <row r="18" spans="2:10" ht="18" customHeight="1" x14ac:dyDescent="0.2">
      <c r="B18" s="282" t="s">
        <v>178</v>
      </c>
      <c r="C18" s="691">
        <v>78152.444076945496</v>
      </c>
      <c r="D18" s="1909" t="s">
        <v>1814</v>
      </c>
      <c r="E18" s="1913">
        <f t="shared" si="2"/>
        <v>69.599999999999994</v>
      </c>
      <c r="F18" s="1913">
        <f t="shared" si="3"/>
        <v>0.39508052353074324</v>
      </c>
      <c r="G18" s="1913">
        <f t="shared" si="3"/>
        <v>0.53442454476214574</v>
      </c>
      <c r="H18" s="691">
        <v>5439.410107755406</v>
      </c>
      <c r="I18" s="691">
        <v>3.087650852112676E-2</v>
      </c>
      <c r="J18" s="2911">
        <v>4.1766584347870651E-2</v>
      </c>
    </row>
    <row r="19" spans="2:10" ht="18" customHeight="1" x14ac:dyDescent="0.2">
      <c r="B19" s="282" t="s">
        <v>179</v>
      </c>
      <c r="C19" s="691" t="s">
        <v>2146</v>
      </c>
      <c r="D19" s="1909" t="s">
        <v>1814</v>
      </c>
      <c r="E19" s="1913" t="str">
        <f t="shared" si="2"/>
        <v>NA</v>
      </c>
      <c r="F19" s="1913" t="str">
        <f t="shared" si="3"/>
        <v>NA</v>
      </c>
      <c r="G19" s="1913" t="str">
        <f t="shared" si="3"/>
        <v>NA</v>
      </c>
      <c r="H19" s="691" t="s">
        <v>2146</v>
      </c>
      <c r="I19" s="691" t="s">
        <v>2146</v>
      </c>
      <c r="J19" s="2911" t="s">
        <v>2146</v>
      </c>
    </row>
    <row r="20" spans="2:10" ht="18" customHeight="1" x14ac:dyDescent="0.2">
      <c r="B20" s="1245" t="s">
        <v>180</v>
      </c>
      <c r="C20" s="1913">
        <f>IF(SUM(C21:C24,C26:C28)=0,"NO",SUM(C21:C24,C26:C28))</f>
        <v>1040761.9379246458</v>
      </c>
      <c r="D20" s="1909" t="s">
        <v>1814</v>
      </c>
      <c r="E20" s="628"/>
      <c r="F20" s="628"/>
      <c r="G20" s="628"/>
      <c r="H20" s="1913">
        <f>IF(SUM(H21:H24,H26,H28)=0,"NO",SUM(H21:H24,H26,H28))</f>
        <v>70485.813822353695</v>
      </c>
      <c r="I20" s="1913">
        <f>IF(SUM(I21:I24,I26:I28)=0,"NO",SUM(I21:I24,I26:I28))</f>
        <v>16.82119034833638</v>
      </c>
      <c r="J20" s="3085">
        <f>IF(SUM(J21:J24,J26:J28)=0,"NO",SUM(J21:J24,J26:J28))</f>
        <v>5.9631773387719598</v>
      </c>
    </row>
    <row r="21" spans="2:10" ht="18" customHeight="1" x14ac:dyDescent="0.2">
      <c r="B21" s="282" t="s">
        <v>167</v>
      </c>
      <c r="C21" s="1913">
        <f>IF(SUM(C31,C41,C51,C61,C72)=0,"NO",SUM(C31,C41,C51,C61,C72))</f>
        <v>627300.36698213255</v>
      </c>
      <c r="D21" s="1909" t="s">
        <v>1814</v>
      </c>
      <c r="E21" s="1913">
        <f t="shared" ref="E21:E23" si="4">IFERROR(H21*1000/$C21,"NA")</f>
        <v>67.399999999999963</v>
      </c>
      <c r="F21" s="1913">
        <f t="shared" ref="F21:G23" si="5">IFERROR(I21*1000000/$C21,"NA")</f>
        <v>17.736242453233849</v>
      </c>
      <c r="G21" s="1913">
        <f t="shared" si="5"/>
        <v>8.4412664584781734</v>
      </c>
      <c r="H21" s="1913">
        <f>IF(SUM(H31,H41,H51,H61,H72)=0,"NO",SUM(H31,H41,H51,H61,H72))</f>
        <v>42280.044734595707</v>
      </c>
      <c r="I21" s="1913">
        <f>IF(SUM(I31,I41,I51,I61,I72)=0,"NO",SUM(I31,I41,I51,I61,I72))</f>
        <v>11.125951399797673</v>
      </c>
      <c r="J21" s="3085">
        <f>IF(SUM(J31,J41,J51,J61,J72)=0,"NO",SUM(J31,J41,J51,J61,J72))</f>
        <v>5.2952095471973246</v>
      </c>
    </row>
    <row r="22" spans="2:10" ht="18" customHeight="1" x14ac:dyDescent="0.2">
      <c r="B22" s="282" t="s">
        <v>168</v>
      </c>
      <c r="C22" s="1913">
        <f t="shared" ref="C22:C29" si="6">IF(SUM(C32,C42,C52,C62,C73)=0,"NO",SUM(C32,C42,C52,C62,C73))</f>
        <v>343430.50623770698</v>
      </c>
      <c r="D22" s="1909" t="s">
        <v>1814</v>
      </c>
      <c r="E22" s="1913">
        <f t="shared" si="4"/>
        <v>69.899999999999963</v>
      </c>
      <c r="F22" s="1913">
        <f t="shared" si="5"/>
        <v>9.3686186717579876</v>
      </c>
      <c r="G22" s="1913">
        <f t="shared" si="5"/>
        <v>1.5623948228438025</v>
      </c>
      <c r="H22" s="1913">
        <f t="shared" ref="H22:J29" si="7">IF(SUM(H32,H42,H52,H62,H73)=0,"NO",SUM(H32,H42,H52,H62,H73))</f>
        <v>24005.792386015706</v>
      </c>
      <c r="I22" s="1913">
        <f t="shared" si="7"/>
        <v>3.2174694531898798</v>
      </c>
      <c r="J22" s="3085">
        <f t="shared" si="7"/>
        <v>0.53657404495241956</v>
      </c>
    </row>
    <row r="23" spans="2:10" ht="18" customHeight="1" x14ac:dyDescent="0.2">
      <c r="B23" s="282" t="s">
        <v>169</v>
      </c>
      <c r="C23" s="1913">
        <f t="shared" si="6"/>
        <v>68389.999999999985</v>
      </c>
      <c r="D23" s="1909" t="s">
        <v>1814</v>
      </c>
      <c r="E23" s="1913">
        <f t="shared" si="4"/>
        <v>60.2</v>
      </c>
      <c r="F23" s="1913">
        <f t="shared" si="5"/>
        <v>33.64413669218893</v>
      </c>
      <c r="G23" s="1913">
        <f t="shared" si="5"/>
        <v>1.894116517434256</v>
      </c>
      <c r="H23" s="1913">
        <f t="shared" si="7"/>
        <v>4117.0779999999995</v>
      </c>
      <c r="I23" s="1913">
        <f t="shared" si="7"/>
        <v>2.3009225083788003</v>
      </c>
      <c r="J23" s="3085">
        <f t="shared" si="7"/>
        <v>0.12953862862732873</v>
      </c>
    </row>
    <row r="24" spans="2:10" ht="18" customHeight="1" x14ac:dyDescent="0.2">
      <c r="B24" s="282" t="s">
        <v>170</v>
      </c>
      <c r="C24" s="1913" t="str">
        <f>C25</f>
        <v>NO</v>
      </c>
      <c r="D24" s="1909" t="s">
        <v>1814</v>
      </c>
      <c r="E24" s="628"/>
      <c r="F24" s="628"/>
      <c r="G24" s="628"/>
      <c r="H24" s="1913" t="str">
        <f>H25</f>
        <v>NO</v>
      </c>
      <c r="I24" s="1913" t="str">
        <f>I25</f>
        <v>NO</v>
      </c>
      <c r="J24" s="3085" t="str">
        <f>J25</f>
        <v>NO</v>
      </c>
    </row>
    <row r="25" spans="2:10" ht="18" customHeight="1" x14ac:dyDescent="0.2">
      <c r="B25" s="3105" t="s">
        <v>2147</v>
      </c>
      <c r="C25" s="1913" t="str">
        <f>IF(SUM(C35,C45,C55,C65,C76)=0,"NO",SUM(C35,C45,C55,C65,C76))</f>
        <v>NO</v>
      </c>
      <c r="D25" s="1909" t="s">
        <v>1814</v>
      </c>
      <c r="E25" s="1913" t="str">
        <f t="shared" ref="E25:E27" si="8">IFERROR(H25*1000/$C25,"NA")</f>
        <v>NA</v>
      </c>
      <c r="F25" s="1913" t="str">
        <f t="shared" ref="F25:G27" si="9">IFERROR(I25*1000000/$C25,"NA")</f>
        <v>NA</v>
      </c>
      <c r="G25" s="1913" t="str">
        <f t="shared" si="9"/>
        <v>NA</v>
      </c>
      <c r="H25" s="1913" t="str">
        <f>IF(SUM(H35,H45,H55,H65,H76)=0,"NO",SUM(H35,H45,H55,H65,H76))</f>
        <v>NO</v>
      </c>
      <c r="I25" s="1913" t="str">
        <f>IF(SUM(I35,I45,I55,I65,I76)=0,"NO",SUM(I35,I45,I55,I65,I76))</f>
        <v>NO</v>
      </c>
      <c r="J25" s="3085" t="str">
        <f>IF(SUM(J35,J45,J55,J65,J76)=0,"NO",SUM(J35,J45,J55,J65,J76))</f>
        <v>NO</v>
      </c>
    </row>
    <row r="26" spans="2:10" ht="18" customHeight="1" x14ac:dyDescent="0.2">
      <c r="B26" s="282" t="s">
        <v>134</v>
      </c>
      <c r="C26" s="1913">
        <f t="shared" si="6"/>
        <v>1606.3089920727243</v>
      </c>
      <c r="D26" s="1909" t="s">
        <v>1814</v>
      </c>
      <c r="E26" s="1913">
        <f t="shared" si="8"/>
        <v>51.411918339264972</v>
      </c>
      <c r="F26" s="1913">
        <f t="shared" si="9"/>
        <v>109.00465695583485</v>
      </c>
      <c r="G26" s="1913">
        <f t="shared" si="9"/>
        <v>0.99999999999999944</v>
      </c>
      <c r="H26" s="1913">
        <f t="shared" si="7"/>
        <v>82.583426728069924</v>
      </c>
      <c r="I26" s="1913">
        <f t="shared" si="7"/>
        <v>0.17509516064596017</v>
      </c>
      <c r="J26" s="3085">
        <f t="shared" si="7"/>
        <v>1.6063089920727233E-3</v>
      </c>
    </row>
    <row r="27" spans="2:10" ht="18" customHeight="1" x14ac:dyDescent="0.2">
      <c r="B27" s="282" t="s">
        <v>137</v>
      </c>
      <c r="C27" s="1913">
        <f t="shared" si="6"/>
        <v>30.45455292169801</v>
      </c>
      <c r="D27" s="1909" t="s">
        <v>1814</v>
      </c>
      <c r="E27" s="1913">
        <f t="shared" si="8"/>
        <v>67.259999999999977</v>
      </c>
      <c r="F27" s="1913">
        <f t="shared" si="9"/>
        <v>57.522641313154274</v>
      </c>
      <c r="G27" s="1913">
        <f t="shared" si="9"/>
        <v>8.1698458504237248</v>
      </c>
      <c r="H27" s="1913">
        <f t="shared" si="7"/>
        <v>2.0483732295134072</v>
      </c>
      <c r="I27" s="1913">
        <f t="shared" si="7"/>
        <v>1.7518263240673092E-3</v>
      </c>
      <c r="J27" s="3085">
        <f t="shared" si="7"/>
        <v>2.4880900281384422E-4</v>
      </c>
    </row>
    <row r="28" spans="2:10" ht="18" customHeight="1" x14ac:dyDescent="0.2">
      <c r="B28" s="282" t="s">
        <v>181</v>
      </c>
      <c r="C28" s="1913">
        <f>C29</f>
        <v>4.3011598119494501</v>
      </c>
      <c r="D28" s="1909" t="s">
        <v>1814</v>
      </c>
      <c r="E28" s="628"/>
      <c r="F28" s="628"/>
      <c r="G28" s="628"/>
      <c r="H28" s="1913">
        <f>H29</f>
        <v>0.3152750142158946</v>
      </c>
      <c r="I28" s="1913" t="str">
        <f>I29</f>
        <v>NE</v>
      </c>
      <c r="J28" s="3085" t="str">
        <f>J29</f>
        <v>NE</v>
      </c>
    </row>
    <row r="29" spans="2:10" ht="18" customHeight="1" x14ac:dyDescent="0.2">
      <c r="B29" s="3105" t="s">
        <v>252</v>
      </c>
      <c r="C29" s="1913">
        <f t="shared" si="6"/>
        <v>4.3011598119494501</v>
      </c>
      <c r="D29" s="1909" t="s">
        <v>1814</v>
      </c>
      <c r="E29" s="3103">
        <f t="shared" ref="E29" si="10">IFERROR(H29*1000/$C29,"NA")</f>
        <v>73.299999999999983</v>
      </c>
      <c r="F29" s="3103" t="str">
        <f>IFERROR(I29*1000000/$C29,"NA")</f>
        <v>NA</v>
      </c>
      <c r="G29" s="3103" t="str">
        <f>IFERROR(J29*1000000/$C29,"NA")</f>
        <v>NA</v>
      </c>
      <c r="H29" s="1913">
        <f t="shared" si="7"/>
        <v>0.3152750142158946</v>
      </c>
      <c r="I29" s="1913" t="str">
        <f>IF(SUM(I39,I49,I59,I69,I80)=0,"NE",SUM(I39,I49,I59,I69,I80))</f>
        <v>NE</v>
      </c>
      <c r="J29" s="3085" t="str">
        <f>IF(SUM(J39,J49,J59,J69,J80)=0,"NE",SUM(J39,J49,J59,J69,J80))</f>
        <v>NE</v>
      </c>
    </row>
    <row r="30" spans="2:10" ht="18" customHeight="1" x14ac:dyDescent="0.2">
      <c r="B30" s="1242" t="s">
        <v>182</v>
      </c>
      <c r="C30" s="1913">
        <f>IF(SUM(C31:C34,C36:C38)=0,"NO",SUM(C31:C34,C36:C38))</f>
        <v>624626.95050558378</v>
      </c>
      <c r="D30" s="1909" t="s">
        <v>1814</v>
      </c>
      <c r="E30" s="628"/>
      <c r="F30" s="628"/>
      <c r="G30" s="628"/>
      <c r="H30" s="1913">
        <f>IF(SUM(H31:H34,H36,H38)=0,"NO",SUM(H31:H34,H36,H38))</f>
        <v>41846.108037695281</v>
      </c>
      <c r="I30" s="1913">
        <f>IF(SUM(I31:I34,I36:I38)=0,"NO",SUM(I31:I34,I36:I38))</f>
        <v>11.557396308483616</v>
      </c>
      <c r="J30" s="3085">
        <f>IF(SUM(J31:J34,J36:J38)=0,"NO",SUM(J31:J34,J36:J38))</f>
        <v>5.0437045190675605</v>
      </c>
    </row>
    <row r="31" spans="2:10" ht="18" customHeight="1" x14ac:dyDescent="0.2">
      <c r="B31" s="282" t="s">
        <v>167</v>
      </c>
      <c r="C31" s="691">
        <v>531698.00710261904</v>
      </c>
      <c r="D31" s="1909" t="s">
        <v>1814</v>
      </c>
      <c r="E31" s="1913">
        <f t="shared" ref="E31:E33" si="11">IFERROR(H31*1000/$C31,"NA")</f>
        <v>67.399999999999963</v>
      </c>
      <c r="F31" s="1913">
        <f t="shared" ref="F31:G33" si="12">IFERROR(I31*1000000/$C31,"NA")</f>
        <v>17.729456386390243</v>
      </c>
      <c r="G31" s="1913">
        <f t="shared" si="12"/>
        <v>9.2540687842628326</v>
      </c>
      <c r="H31" s="691">
        <v>35836.445678716504</v>
      </c>
      <c r="I31" s="691">
        <v>9.4267166276564929</v>
      </c>
      <c r="J31" s="2911">
        <v>4.9203699301831048</v>
      </c>
    </row>
    <row r="32" spans="2:10" ht="18" customHeight="1" x14ac:dyDescent="0.2">
      <c r="B32" s="282" t="s">
        <v>168</v>
      </c>
      <c r="C32" s="691">
        <v>43048.281220194898</v>
      </c>
      <c r="D32" s="1909" t="s">
        <v>1814</v>
      </c>
      <c r="E32" s="1913">
        <f t="shared" si="11"/>
        <v>69.900000000000048</v>
      </c>
      <c r="F32" s="1913">
        <f t="shared" si="12"/>
        <v>8.2053524339150563</v>
      </c>
      <c r="G32" s="1913">
        <f t="shared" si="12"/>
        <v>0.66233783957731041</v>
      </c>
      <c r="H32" s="691">
        <v>3009.0748572916254</v>
      </c>
      <c r="I32" s="691">
        <v>0.35322631908598601</v>
      </c>
      <c r="J32" s="2911">
        <v>2.8512505580900394E-2</v>
      </c>
    </row>
    <row r="33" spans="2:10" ht="18" customHeight="1" x14ac:dyDescent="0.2">
      <c r="B33" s="282" t="s">
        <v>169</v>
      </c>
      <c r="C33" s="691">
        <v>49776.422347514097</v>
      </c>
      <c r="D33" s="1909" t="s">
        <v>1814</v>
      </c>
      <c r="E33" s="1913">
        <f t="shared" si="11"/>
        <v>60.199999999999996</v>
      </c>
      <c r="F33" s="1913">
        <f t="shared" si="12"/>
        <v>35.27020744370931</v>
      </c>
      <c r="G33" s="1913">
        <f t="shared" si="12"/>
        <v>1.9000463473058393</v>
      </c>
      <c r="H33" s="691">
        <v>2996.5406253203482</v>
      </c>
      <c r="I33" s="691">
        <v>1.7556247420025102</v>
      </c>
      <c r="J33" s="2911">
        <v>9.4577509463346907E-2</v>
      </c>
    </row>
    <row r="34" spans="2:10" ht="18" customHeight="1" x14ac:dyDescent="0.2">
      <c r="B34" s="282" t="s">
        <v>170</v>
      </c>
      <c r="C34" s="1913" t="str">
        <f>C35</f>
        <v>NO</v>
      </c>
      <c r="D34" s="1909" t="s">
        <v>1814</v>
      </c>
      <c r="E34" s="628"/>
      <c r="F34" s="628"/>
      <c r="G34" s="628"/>
      <c r="H34" s="1913" t="str">
        <f>H35</f>
        <v>NO</v>
      </c>
      <c r="I34" s="1913" t="str">
        <f>I35</f>
        <v>NO</v>
      </c>
      <c r="J34" s="3085" t="str">
        <f>J35</f>
        <v>NO</v>
      </c>
    </row>
    <row r="35" spans="2:10" ht="18" customHeight="1" x14ac:dyDescent="0.2">
      <c r="B35" s="3105" t="s">
        <v>2147</v>
      </c>
      <c r="C35" s="691" t="s">
        <v>2146</v>
      </c>
      <c r="D35" s="1909" t="s">
        <v>1814</v>
      </c>
      <c r="E35" s="1913" t="str">
        <f t="shared" ref="E35:E37" si="13">IFERROR(H35*1000/$C35,"NA")</f>
        <v>NA</v>
      </c>
      <c r="F35" s="1913" t="str">
        <f t="shared" ref="F35:G37" si="14">IFERROR(I35*1000000/$C35,"NA")</f>
        <v>NA</v>
      </c>
      <c r="G35" s="1913" t="str">
        <f t="shared" si="14"/>
        <v>NA</v>
      </c>
      <c r="H35" s="691" t="s">
        <v>2146</v>
      </c>
      <c r="I35" s="691" t="s">
        <v>2146</v>
      </c>
      <c r="J35" s="2911" t="s">
        <v>2146</v>
      </c>
    </row>
    <row r="36" spans="2:10" ht="18" customHeight="1" x14ac:dyDescent="0.2">
      <c r="B36" s="282" t="s">
        <v>134</v>
      </c>
      <c r="C36" s="691">
        <v>78.714751316930602</v>
      </c>
      <c r="D36" s="1909" t="s">
        <v>1814</v>
      </c>
      <c r="E36" s="1913">
        <f t="shared" si="13"/>
        <v>51.411918339264979</v>
      </c>
      <c r="F36" s="1913">
        <f t="shared" si="14"/>
        <v>260.99999999999994</v>
      </c>
      <c r="G36" s="1913">
        <f t="shared" si="14"/>
        <v>0.99999999999999967</v>
      </c>
      <c r="H36" s="691">
        <v>4.0468763668015866</v>
      </c>
      <c r="I36" s="691">
        <v>2.0544550093718882E-2</v>
      </c>
      <c r="J36" s="2911">
        <v>7.8714751316930577E-5</v>
      </c>
    </row>
    <row r="37" spans="2:10" ht="18" customHeight="1" x14ac:dyDescent="0.2">
      <c r="B37" s="282" t="s">
        <v>137</v>
      </c>
      <c r="C37" s="691">
        <v>25.525083938809999</v>
      </c>
      <c r="D37" s="1909" t="s">
        <v>1814</v>
      </c>
      <c r="E37" s="1913">
        <f t="shared" si="13"/>
        <v>67.259999999999962</v>
      </c>
      <c r="F37" s="1913">
        <f t="shared" si="14"/>
        <v>50.306186964432619</v>
      </c>
      <c r="G37" s="1913">
        <f t="shared" si="14"/>
        <v>6.4978861298952486</v>
      </c>
      <c r="H37" s="691">
        <v>1.7168171457243595</v>
      </c>
      <c r="I37" s="691">
        <v>1.2840696449086119E-3</v>
      </c>
      <c r="J37" s="2911">
        <v>1.6585908889040548E-4</v>
      </c>
    </row>
    <row r="38" spans="2:10" ht="18" customHeight="1" x14ac:dyDescent="0.2">
      <c r="B38" s="282" t="s">
        <v>183</v>
      </c>
      <c r="C38" s="1913" t="str">
        <f>C39</f>
        <v>NO</v>
      </c>
      <c r="D38" s="1909" t="s">
        <v>1814</v>
      </c>
      <c r="E38" s="628"/>
      <c r="F38" s="628"/>
      <c r="G38" s="628"/>
      <c r="H38" s="1913" t="str">
        <f>H39</f>
        <v>NO</v>
      </c>
      <c r="I38" s="1913" t="str">
        <f>I39</f>
        <v>NO</v>
      </c>
      <c r="J38" s="3085" t="str">
        <f>J39</f>
        <v>NO</v>
      </c>
    </row>
    <row r="39" spans="2:10" ht="18" customHeight="1" x14ac:dyDescent="0.2">
      <c r="B39" s="3105" t="s">
        <v>252</v>
      </c>
      <c r="C39" s="691" t="s">
        <v>2146</v>
      </c>
      <c r="D39" s="1909" t="s">
        <v>1814</v>
      </c>
      <c r="E39" s="3103" t="str">
        <f t="shared" ref="E39" si="15">IFERROR(H39*1000/$C39,"NA")</f>
        <v>NA</v>
      </c>
      <c r="F39" s="3103" t="str">
        <f>IFERROR(I39*1000000/$C39,"NA")</f>
        <v>NA</v>
      </c>
      <c r="G39" s="3103" t="str">
        <f>IFERROR(J39*1000000/$C39,"NA")</f>
        <v>NA</v>
      </c>
      <c r="H39" s="691" t="s">
        <v>2146</v>
      </c>
      <c r="I39" s="691" t="s">
        <v>2146</v>
      </c>
      <c r="J39" s="2911" t="s">
        <v>2146</v>
      </c>
    </row>
    <row r="40" spans="2:10" ht="18" customHeight="1" x14ac:dyDescent="0.2">
      <c r="B40" s="1242" t="s">
        <v>184</v>
      </c>
      <c r="C40" s="1913">
        <f>IF(SUM(C41:C44,C46:C48)=0,"NO",SUM(C41:C44,C46:C48))</f>
        <v>162038.92201057842</v>
      </c>
      <c r="D40" s="1909" t="s">
        <v>1814</v>
      </c>
      <c r="E40" s="628"/>
      <c r="F40" s="628"/>
      <c r="G40" s="628"/>
      <c r="H40" s="1913">
        <f>IF(SUM(H41:H44,H46,H48)=0,"NO",SUM(H41:H44,H46,H48))</f>
        <v>10974.674115104059</v>
      </c>
      <c r="I40" s="1913">
        <f>IF(SUM(I41:I44,I46:I48)=0,"NO",SUM(I41:I44,I46:I48))</f>
        <v>3.280551888070276</v>
      </c>
      <c r="J40" s="3085">
        <f>IF(SUM(J41:J44,J46:J48)=0,"NO",SUM(J41:J44,J46:J48))</f>
        <v>0.43323926434422877</v>
      </c>
    </row>
    <row r="41" spans="2:10" ht="18" customHeight="1" x14ac:dyDescent="0.2">
      <c r="B41" s="282" t="s">
        <v>167</v>
      </c>
      <c r="C41" s="691">
        <v>90505.355775098898</v>
      </c>
      <c r="D41" s="1909" t="s">
        <v>1814</v>
      </c>
      <c r="E41" s="1913">
        <f t="shared" ref="E41:E43" si="16">IFERROR(H41*1000/$C41,"NA")</f>
        <v>67.399999999999991</v>
      </c>
      <c r="F41" s="1913">
        <f t="shared" ref="F41:G43" si="17">IFERROR(I41*1000000/$C41,"NA")</f>
        <v>16.178883339105084</v>
      </c>
      <c r="G41" s="1913">
        <f t="shared" si="17"/>
        <v>4.0895393741073205</v>
      </c>
      <c r="H41" s="691">
        <v>6100.0609792416644</v>
      </c>
      <c r="I41" s="691">
        <v>1.4642755926495257</v>
      </c>
      <c r="J41" s="2911">
        <v>0.37012521600985832</v>
      </c>
    </row>
    <row r="42" spans="2:10" ht="18" customHeight="1" x14ac:dyDescent="0.2">
      <c r="B42" s="282" t="s">
        <v>168</v>
      </c>
      <c r="C42" s="691">
        <v>58618.936129627102</v>
      </c>
      <c r="D42" s="1909" t="s">
        <v>1814</v>
      </c>
      <c r="E42" s="1913">
        <f t="shared" si="16"/>
        <v>69.900000000000048</v>
      </c>
      <c r="F42" s="1913">
        <f t="shared" si="17"/>
        <v>22.690764917575297</v>
      </c>
      <c r="G42" s="1913">
        <f t="shared" si="17"/>
        <v>0.63181296279386367</v>
      </c>
      <c r="H42" s="691">
        <v>4097.4636354609374</v>
      </c>
      <c r="I42" s="691">
        <v>1.3301084994357297</v>
      </c>
      <c r="J42" s="2911">
        <v>3.7036203711883958E-2</v>
      </c>
    </row>
    <row r="43" spans="2:10" ht="18" customHeight="1" x14ac:dyDescent="0.2">
      <c r="B43" s="282" t="s">
        <v>169</v>
      </c>
      <c r="C43" s="691">
        <v>12908.053185395102</v>
      </c>
      <c r="D43" s="1909" t="s">
        <v>1814</v>
      </c>
      <c r="E43" s="1913">
        <f t="shared" si="16"/>
        <v>60.200000000000109</v>
      </c>
      <c r="F43" s="1913">
        <f t="shared" si="17"/>
        <v>37.594364347685023</v>
      </c>
      <c r="G43" s="1913">
        <f t="shared" si="17"/>
        <v>2.0137232845072948</v>
      </c>
      <c r="H43" s="691">
        <v>777.06480176078651</v>
      </c>
      <c r="I43" s="691">
        <v>0.48527005447103966</v>
      </c>
      <c r="J43" s="2911">
        <v>2.599324725708867E-2</v>
      </c>
    </row>
    <row r="44" spans="2:10" ht="18" customHeight="1" x14ac:dyDescent="0.2">
      <c r="B44" s="282" t="s">
        <v>170</v>
      </c>
      <c r="C44" s="1913" t="str">
        <f>C45</f>
        <v>NO</v>
      </c>
      <c r="D44" s="1909" t="s">
        <v>1814</v>
      </c>
      <c r="E44" s="628"/>
      <c r="F44" s="628"/>
      <c r="G44" s="628"/>
      <c r="H44" s="1913" t="str">
        <f>H45</f>
        <v>NO</v>
      </c>
      <c r="I44" s="1913" t="str">
        <f>I45</f>
        <v>NO</v>
      </c>
      <c r="J44" s="3085" t="str">
        <f>J45</f>
        <v>NO</v>
      </c>
    </row>
    <row r="45" spans="2:10" ht="18" customHeight="1" x14ac:dyDescent="0.2">
      <c r="B45" s="3105" t="s">
        <v>2147</v>
      </c>
      <c r="C45" s="691" t="s">
        <v>2146</v>
      </c>
      <c r="D45" s="1909" t="s">
        <v>1814</v>
      </c>
      <c r="E45" s="1913" t="str">
        <f t="shared" ref="E45:E47" si="18">IFERROR(H45*1000/$C45,"NA")</f>
        <v>NA</v>
      </c>
      <c r="F45" s="1913" t="str">
        <f t="shared" ref="F45:G47" si="19">IFERROR(I45*1000000/$C45,"NA")</f>
        <v>NA</v>
      </c>
      <c r="G45" s="1913" t="str">
        <f t="shared" si="19"/>
        <v>NA</v>
      </c>
      <c r="H45" s="691" t="s">
        <v>2146</v>
      </c>
      <c r="I45" s="691" t="s">
        <v>2146</v>
      </c>
      <c r="J45" s="2911" t="s">
        <v>2146</v>
      </c>
    </row>
    <row r="46" spans="2:10" ht="18" customHeight="1" x14ac:dyDescent="0.2">
      <c r="B46" s="282" t="s">
        <v>134</v>
      </c>
      <c r="C46" s="691">
        <v>1.6474514744136299</v>
      </c>
      <c r="D46" s="1909" t="s">
        <v>1814</v>
      </c>
      <c r="E46" s="1913">
        <f t="shared" si="18"/>
        <v>51.411918339264901</v>
      </c>
      <c r="F46" s="1913">
        <f t="shared" si="19"/>
        <v>260.99999999999949</v>
      </c>
      <c r="G46" s="1913">
        <f t="shared" si="19"/>
        <v>0.999999999999998</v>
      </c>
      <c r="H46" s="691">
        <v>8.46986406704551E-2</v>
      </c>
      <c r="I46" s="691">
        <v>4.2998483482195653E-4</v>
      </c>
      <c r="J46" s="2911">
        <v>1.6474514744136266E-6</v>
      </c>
    </row>
    <row r="47" spans="2:10" ht="18" customHeight="1" x14ac:dyDescent="0.2">
      <c r="B47" s="282" t="s">
        <v>137</v>
      </c>
      <c r="C47" s="691">
        <v>4.9294689828880101</v>
      </c>
      <c r="D47" s="1909" t="s">
        <v>1814</v>
      </c>
      <c r="E47" s="1913">
        <f t="shared" si="18"/>
        <v>67.260000000000048</v>
      </c>
      <c r="F47" s="1913">
        <f t="shared" si="19"/>
        <v>94.889871664159358</v>
      </c>
      <c r="G47" s="1913">
        <f t="shared" si="19"/>
        <v>16.827352847008115</v>
      </c>
      <c r="H47" s="691">
        <v>0.33155608378904777</v>
      </c>
      <c r="I47" s="691">
        <v>4.6775667915869743E-4</v>
      </c>
      <c r="J47" s="2911">
        <v>8.2949913923438754E-5</v>
      </c>
    </row>
    <row r="48" spans="2:10" ht="18" customHeight="1" x14ac:dyDescent="0.2">
      <c r="B48" s="282" t="s">
        <v>183</v>
      </c>
      <c r="C48" s="1913" t="str">
        <f>C49</f>
        <v>NO</v>
      </c>
      <c r="D48" s="1909" t="s">
        <v>1814</v>
      </c>
      <c r="E48" s="628"/>
      <c r="F48" s="628"/>
      <c r="G48" s="628"/>
      <c r="H48" s="1913" t="str">
        <f>H49</f>
        <v>NO</v>
      </c>
      <c r="I48" s="1913" t="str">
        <f>I49</f>
        <v>NO</v>
      </c>
      <c r="J48" s="3085" t="str">
        <f>J49</f>
        <v>NO</v>
      </c>
    </row>
    <row r="49" spans="2:10" ht="18" customHeight="1" x14ac:dyDescent="0.2">
      <c r="B49" s="3105" t="s">
        <v>252</v>
      </c>
      <c r="C49" s="691" t="s">
        <v>2146</v>
      </c>
      <c r="D49" s="1909" t="s">
        <v>1814</v>
      </c>
      <c r="E49" s="3103" t="str">
        <f t="shared" ref="E49" si="20">IFERROR(H49*1000/$C49,"NA")</f>
        <v>NA</v>
      </c>
      <c r="F49" s="3103" t="str">
        <f>IFERROR(I49*1000000/$C49,"NA")</f>
        <v>NA</v>
      </c>
      <c r="G49" s="3103" t="str">
        <f>IFERROR(J49*1000000/$C49,"NA")</f>
        <v>NA</v>
      </c>
      <c r="H49" s="691" t="s">
        <v>2146</v>
      </c>
      <c r="I49" s="691" t="s">
        <v>2146</v>
      </c>
      <c r="J49" s="2911" t="s">
        <v>2146</v>
      </c>
    </row>
    <row r="50" spans="2:10" ht="18" customHeight="1" x14ac:dyDescent="0.2">
      <c r="B50" s="1242" t="s">
        <v>185</v>
      </c>
      <c r="C50" s="1913">
        <f>IF(SUM(C51:C54,C56:C58)=0,"NO",SUM(C51:C54,C56:C58))</f>
        <v>251308.53174428752</v>
      </c>
      <c r="D50" s="1909" t="s">
        <v>1814</v>
      </c>
      <c r="E50" s="628"/>
      <c r="F50" s="628"/>
      <c r="G50" s="628"/>
      <c r="H50" s="1913">
        <f>IF(SUM(H51:H54,H56,H58)=0,"NO",SUM(H51:H54,H56,H58))</f>
        <v>17477.12652374465</v>
      </c>
      <c r="I50" s="1913">
        <f>IF(SUM(I51:I54,I56:I58)=0,"NO",SUM(I51:I54,I56:I58))</f>
        <v>1.792505275111417</v>
      </c>
      <c r="J50" s="3085">
        <f>IF(SUM(J51:J54,J56:J58)=0,"NO",SUM(J51:J54,J56:J58))</f>
        <v>0.48369039700455635</v>
      </c>
    </row>
    <row r="51" spans="2:10" ht="18" customHeight="1" x14ac:dyDescent="0.2">
      <c r="B51" s="282" t="s">
        <v>167</v>
      </c>
      <c r="C51" s="691">
        <v>2313.7716000303203</v>
      </c>
      <c r="D51" s="1909" t="s">
        <v>1814</v>
      </c>
      <c r="E51" s="1913">
        <f t="shared" ref="E51:E53" si="21">IFERROR(H51*1000/$C51,"NA")</f>
        <v>67.399999999999878</v>
      </c>
      <c r="F51" s="1913">
        <f t="shared" ref="F51:G53" si="22">IFERROR(I51*1000000/$C51,"NA")</f>
        <v>19.112648292512244</v>
      </c>
      <c r="G51" s="1913">
        <f t="shared" si="22"/>
        <v>0.93839973172727953</v>
      </c>
      <c r="H51" s="691">
        <v>155.94820584204331</v>
      </c>
      <c r="I51" s="691">
        <v>4.4222302820582822E-2</v>
      </c>
      <c r="J51" s="2911">
        <v>2.1712426487466509E-3</v>
      </c>
    </row>
    <row r="52" spans="2:10" ht="18" customHeight="1" x14ac:dyDescent="0.2">
      <c r="B52" s="282" t="s">
        <v>168</v>
      </c>
      <c r="C52" s="691">
        <v>241763.28888788502</v>
      </c>
      <c r="D52" s="1909" t="s">
        <v>1814</v>
      </c>
      <c r="E52" s="1913">
        <f t="shared" si="21"/>
        <v>69.89999999999992</v>
      </c>
      <c r="F52" s="1913">
        <f t="shared" si="22"/>
        <v>6.3456062404065063</v>
      </c>
      <c r="G52" s="1913">
        <f t="shared" si="22"/>
        <v>1.9482913962097357</v>
      </c>
      <c r="H52" s="691">
        <v>16899.253893263143</v>
      </c>
      <c r="I52" s="691">
        <v>1.5341346346681641</v>
      </c>
      <c r="J52" s="2911">
        <v>0.47102533565963517</v>
      </c>
    </row>
    <row r="53" spans="2:10" ht="18" customHeight="1" x14ac:dyDescent="0.2">
      <c r="B53" s="282" t="s">
        <v>169</v>
      </c>
      <c r="C53" s="691">
        <v>5705.5244670907796</v>
      </c>
      <c r="D53" s="1909" t="s">
        <v>1814</v>
      </c>
      <c r="E53" s="1913">
        <f t="shared" si="21"/>
        <v>60.200000000000038</v>
      </c>
      <c r="F53" s="1913">
        <f t="shared" si="22"/>
        <v>10.520980542891017</v>
      </c>
      <c r="G53" s="1913">
        <f t="shared" si="22"/>
        <v>1.5717874769654328</v>
      </c>
      <c r="H53" s="691">
        <v>343.47257291886513</v>
      </c>
      <c r="I53" s="691">
        <v>6.0027711905250733E-2</v>
      </c>
      <c r="J53" s="2911">
        <v>8.9678719068931618E-3</v>
      </c>
    </row>
    <row r="54" spans="2:10" ht="18" customHeight="1" x14ac:dyDescent="0.2">
      <c r="B54" s="282" t="s">
        <v>170</v>
      </c>
      <c r="C54" s="1913" t="str">
        <f>C55</f>
        <v>NO</v>
      </c>
      <c r="D54" s="1909" t="s">
        <v>1814</v>
      </c>
      <c r="E54" s="628"/>
      <c r="F54" s="628"/>
      <c r="G54" s="628"/>
      <c r="H54" s="1913" t="str">
        <f>H55</f>
        <v>NO</v>
      </c>
      <c r="I54" s="1913" t="str">
        <f>I55</f>
        <v>NO</v>
      </c>
      <c r="J54" s="3085" t="str">
        <f>J55</f>
        <v>NO</v>
      </c>
    </row>
    <row r="55" spans="2:10" ht="18" customHeight="1" x14ac:dyDescent="0.2">
      <c r="B55" s="3105" t="s">
        <v>2147</v>
      </c>
      <c r="C55" s="691" t="s">
        <v>2146</v>
      </c>
      <c r="D55" s="1909" t="s">
        <v>1814</v>
      </c>
      <c r="E55" s="1913" t="str">
        <f t="shared" ref="E55:E57" si="23">IFERROR(H55*1000/$C55,"NA")</f>
        <v>NA</v>
      </c>
      <c r="F55" s="1913" t="str">
        <f t="shared" ref="F55:G57" si="24">IFERROR(I55*1000000/$C55,"NA")</f>
        <v>NA</v>
      </c>
      <c r="G55" s="1913" t="str">
        <f t="shared" si="24"/>
        <v>NA</v>
      </c>
      <c r="H55" s="691" t="s">
        <v>2146</v>
      </c>
      <c r="I55" s="691" t="s">
        <v>2146</v>
      </c>
      <c r="J55" s="2911" t="s">
        <v>2146</v>
      </c>
    </row>
    <row r="56" spans="2:10" ht="18" customHeight="1" x14ac:dyDescent="0.2">
      <c r="B56" s="282" t="s">
        <v>134</v>
      </c>
      <c r="C56" s="691">
        <v>1525.94678928138</v>
      </c>
      <c r="D56" s="1909" t="s">
        <v>1814</v>
      </c>
      <c r="E56" s="1913">
        <f t="shared" si="23"/>
        <v>51.411918339264972</v>
      </c>
      <c r="F56" s="1913">
        <f t="shared" si="24"/>
        <v>100.99999999999996</v>
      </c>
      <c r="G56" s="1913">
        <f t="shared" si="24"/>
        <v>0.99999999999999956</v>
      </c>
      <c r="H56" s="691">
        <v>78.451851720597887</v>
      </c>
      <c r="I56" s="691">
        <v>0.15412062571741933</v>
      </c>
      <c r="J56" s="2911">
        <v>1.5259467892813792E-3</v>
      </c>
    </row>
    <row r="57" spans="2:10" ht="18" customHeight="1" x14ac:dyDescent="0.2">
      <c r="B57" s="282" t="s">
        <v>137</v>
      </c>
      <c r="C57" s="691" t="s">
        <v>2146</v>
      </c>
      <c r="D57" s="1909" t="s">
        <v>1814</v>
      </c>
      <c r="E57" s="1913" t="str">
        <f t="shared" si="23"/>
        <v>NA</v>
      </c>
      <c r="F57" s="1913" t="str">
        <f t="shared" si="24"/>
        <v>NA</v>
      </c>
      <c r="G57" s="1913" t="str">
        <f t="shared" si="24"/>
        <v>NA</v>
      </c>
      <c r="H57" s="691" t="s">
        <v>2146</v>
      </c>
      <c r="I57" s="691" t="s">
        <v>2146</v>
      </c>
      <c r="J57" s="2911" t="s">
        <v>2146</v>
      </c>
    </row>
    <row r="58" spans="2:10" ht="18" customHeight="1" x14ac:dyDescent="0.2">
      <c r="B58" s="282" t="s">
        <v>183</v>
      </c>
      <c r="C58" s="1913" t="str">
        <f>C59</f>
        <v>NO</v>
      </c>
      <c r="D58" s="1909" t="s">
        <v>1814</v>
      </c>
      <c r="E58" s="628"/>
      <c r="F58" s="628"/>
      <c r="G58" s="628"/>
      <c r="H58" s="1913" t="str">
        <f>H59</f>
        <v>NO</v>
      </c>
      <c r="I58" s="1913" t="str">
        <f>I59</f>
        <v>NO</v>
      </c>
      <c r="J58" s="3085" t="str">
        <f>J59</f>
        <v>NO</v>
      </c>
    </row>
    <row r="59" spans="2:10" ht="18" customHeight="1" x14ac:dyDescent="0.2">
      <c r="B59" s="3105" t="s">
        <v>252</v>
      </c>
      <c r="C59" s="691" t="s">
        <v>2146</v>
      </c>
      <c r="D59" s="1909" t="s">
        <v>1814</v>
      </c>
      <c r="E59" s="3103" t="str">
        <f t="shared" ref="E59" si="25">IFERROR(H59*1000/$C59,"NA")</f>
        <v>NA</v>
      </c>
      <c r="F59" s="3103" t="str">
        <f>IFERROR(I59*1000000/$C59,"NA")</f>
        <v>NA</v>
      </c>
      <c r="G59" s="3103" t="str">
        <f>IFERROR(J59*1000000/$C59,"NA")</f>
        <v>NA</v>
      </c>
      <c r="H59" s="691" t="s">
        <v>2146</v>
      </c>
      <c r="I59" s="691" t="s">
        <v>2146</v>
      </c>
      <c r="J59" s="2911" t="s">
        <v>2146</v>
      </c>
    </row>
    <row r="60" spans="2:10" ht="18" customHeight="1" x14ac:dyDescent="0.2">
      <c r="B60" s="1242" t="s">
        <v>186</v>
      </c>
      <c r="C60" s="1913">
        <f>IF(SUM(C61:C64,C66:C68)=0,"NO",SUM(C61:C64,C66:C68))</f>
        <v>2787.5336641962394</v>
      </c>
      <c r="D60" s="1909" t="s">
        <v>1814</v>
      </c>
      <c r="E60" s="628"/>
      <c r="F60" s="628"/>
      <c r="G60" s="628"/>
      <c r="H60" s="1913">
        <f>IF(SUM(H61:H64,H66,H68)=0,"NO",SUM(H61:H64,H66,H68))</f>
        <v>187.90514580971728</v>
      </c>
      <c r="I60" s="1913">
        <f>IF(SUM(I61:I64,I66:I68)=0,"NO",SUM(I61:I64,I66:I68))</f>
        <v>0.19073687667107267</v>
      </c>
      <c r="J60" s="3085">
        <f>IF(SUM(J61:J64,J66:J68)=0,"NO",SUM(J61:J64,J66:J68))</f>
        <v>2.5431583556143026E-3</v>
      </c>
    </row>
    <row r="61" spans="2:10" ht="18" customHeight="1" x14ac:dyDescent="0.2">
      <c r="B61" s="282" t="s">
        <v>167</v>
      </c>
      <c r="C61" s="691">
        <v>2783.2325043842898</v>
      </c>
      <c r="D61" s="1909" t="s">
        <v>1814</v>
      </c>
      <c r="E61" s="1913">
        <f t="shared" ref="E61:E63" si="26">IFERROR(H61*1000/$C61,"NA")</f>
        <v>67.400000000000091</v>
      </c>
      <c r="F61" s="1913">
        <f t="shared" ref="F61:G63" si="27">IFERROR(I61*1000000/$C61,"NA")</f>
        <v>68.53070175438603</v>
      </c>
      <c r="G61" s="1913">
        <f t="shared" si="27"/>
        <v>0.91374269005848052</v>
      </c>
      <c r="H61" s="691">
        <v>187.58987079550138</v>
      </c>
      <c r="I61" s="691">
        <v>0.19073687667107267</v>
      </c>
      <c r="J61" s="2911">
        <v>2.5431583556143026E-3</v>
      </c>
    </row>
    <row r="62" spans="2:10" ht="18" customHeight="1" x14ac:dyDescent="0.2">
      <c r="B62" s="282" t="s">
        <v>168</v>
      </c>
      <c r="C62" s="691" t="s">
        <v>2146</v>
      </c>
      <c r="D62" s="1909" t="s">
        <v>1814</v>
      </c>
      <c r="E62" s="1913" t="str">
        <f t="shared" si="26"/>
        <v>NA</v>
      </c>
      <c r="F62" s="1913" t="str">
        <f t="shared" si="27"/>
        <v>NA</v>
      </c>
      <c r="G62" s="1913" t="str">
        <f t="shared" si="27"/>
        <v>NA</v>
      </c>
      <c r="H62" s="691" t="s">
        <v>2146</v>
      </c>
      <c r="I62" s="691" t="s">
        <v>2146</v>
      </c>
      <c r="J62" s="2911" t="s">
        <v>2146</v>
      </c>
    </row>
    <row r="63" spans="2:10" ht="18" customHeight="1" x14ac:dyDescent="0.2">
      <c r="B63" s="282" t="s">
        <v>169</v>
      </c>
      <c r="C63" s="691" t="s">
        <v>2146</v>
      </c>
      <c r="D63" s="1909" t="s">
        <v>1814</v>
      </c>
      <c r="E63" s="1913" t="str">
        <f t="shared" si="26"/>
        <v>NA</v>
      </c>
      <c r="F63" s="1913" t="str">
        <f t="shared" si="27"/>
        <v>NA</v>
      </c>
      <c r="G63" s="1913" t="str">
        <f t="shared" si="27"/>
        <v>NA</v>
      </c>
      <c r="H63" s="691" t="s">
        <v>2146</v>
      </c>
      <c r="I63" s="691" t="s">
        <v>2146</v>
      </c>
      <c r="J63" s="2911" t="s">
        <v>2146</v>
      </c>
    </row>
    <row r="64" spans="2:10" ht="18" customHeight="1" x14ac:dyDescent="0.2">
      <c r="B64" s="282" t="s">
        <v>170</v>
      </c>
      <c r="C64" s="1913" t="str">
        <f>C65</f>
        <v>NO</v>
      </c>
      <c r="D64" s="1909" t="s">
        <v>1814</v>
      </c>
      <c r="E64" s="628"/>
      <c r="F64" s="628"/>
      <c r="G64" s="628"/>
      <c r="H64" s="1913" t="str">
        <f>H65</f>
        <v>NO</v>
      </c>
      <c r="I64" s="1913" t="str">
        <f>I65</f>
        <v>NO</v>
      </c>
      <c r="J64" s="3085" t="str">
        <f>J65</f>
        <v>NO</v>
      </c>
    </row>
    <row r="65" spans="2:10" ht="18" customHeight="1" x14ac:dyDescent="0.2">
      <c r="B65" s="3105" t="s">
        <v>2147</v>
      </c>
      <c r="C65" s="691" t="s">
        <v>2146</v>
      </c>
      <c r="D65" s="1909" t="s">
        <v>1814</v>
      </c>
      <c r="E65" s="1913" t="str">
        <f t="shared" ref="E65:E67" si="28">IFERROR(H65*1000/$C65,"NA")</f>
        <v>NA</v>
      </c>
      <c r="F65" s="1913" t="str">
        <f t="shared" ref="F65:G67" si="29">IFERROR(I65*1000000/$C65,"NA")</f>
        <v>NA</v>
      </c>
      <c r="G65" s="1913" t="str">
        <f t="shared" si="29"/>
        <v>NA</v>
      </c>
      <c r="H65" s="691" t="s">
        <v>2146</v>
      </c>
      <c r="I65" s="691" t="s">
        <v>2146</v>
      </c>
      <c r="J65" s="2911" t="s">
        <v>2146</v>
      </c>
    </row>
    <row r="66" spans="2:10" ht="18" customHeight="1" x14ac:dyDescent="0.2">
      <c r="B66" s="282" t="s">
        <v>134</v>
      </c>
      <c r="C66" s="691" t="s">
        <v>2146</v>
      </c>
      <c r="D66" s="1909" t="s">
        <v>1814</v>
      </c>
      <c r="E66" s="1913" t="str">
        <f t="shared" si="28"/>
        <v>NA</v>
      </c>
      <c r="F66" s="1913" t="str">
        <f t="shared" si="29"/>
        <v>NA</v>
      </c>
      <c r="G66" s="1913" t="str">
        <f t="shared" si="29"/>
        <v>NA</v>
      </c>
      <c r="H66" s="691" t="s">
        <v>2146</v>
      </c>
      <c r="I66" s="691" t="s">
        <v>2146</v>
      </c>
      <c r="J66" s="2911" t="s">
        <v>2146</v>
      </c>
    </row>
    <row r="67" spans="2:10" ht="18" customHeight="1" x14ac:dyDescent="0.2">
      <c r="B67" s="282" t="s">
        <v>137</v>
      </c>
      <c r="C67" s="691" t="s">
        <v>2146</v>
      </c>
      <c r="D67" s="1909" t="s">
        <v>1814</v>
      </c>
      <c r="E67" s="1913" t="str">
        <f t="shared" si="28"/>
        <v>NA</v>
      </c>
      <c r="F67" s="1913" t="str">
        <f t="shared" si="29"/>
        <v>NA</v>
      </c>
      <c r="G67" s="1913" t="str">
        <f t="shared" si="29"/>
        <v>NA</v>
      </c>
      <c r="H67" s="691" t="s">
        <v>2146</v>
      </c>
      <c r="I67" s="691" t="s">
        <v>2146</v>
      </c>
      <c r="J67" s="2911" t="s">
        <v>2146</v>
      </c>
    </row>
    <row r="68" spans="2:10" ht="18" customHeight="1" x14ac:dyDescent="0.2">
      <c r="B68" s="282" t="s">
        <v>183</v>
      </c>
      <c r="C68" s="1913">
        <f>C69</f>
        <v>4.3011598119494501</v>
      </c>
      <c r="D68" s="1909" t="s">
        <v>1814</v>
      </c>
      <c r="E68" s="628"/>
      <c r="F68" s="628"/>
      <c r="G68" s="628"/>
      <c r="H68" s="1913">
        <f>H69</f>
        <v>0.3152750142158946</v>
      </c>
      <c r="I68" s="1913" t="str">
        <f>I69</f>
        <v>NE</v>
      </c>
      <c r="J68" s="3085" t="str">
        <f>J69</f>
        <v>NE</v>
      </c>
    </row>
    <row r="69" spans="2:10" ht="18" customHeight="1" x14ac:dyDescent="0.2">
      <c r="B69" s="3105" t="s">
        <v>252</v>
      </c>
      <c r="C69" s="691">
        <v>4.3011598119494501</v>
      </c>
      <c r="D69" s="1909" t="s">
        <v>1814</v>
      </c>
      <c r="E69" s="3103">
        <f t="shared" ref="E69" si="30">IFERROR(H69*1000/$C69,"NA")</f>
        <v>73.299999999999983</v>
      </c>
      <c r="F69" s="3103" t="str">
        <f>IFERROR(I69*1000000/$C69,"NA")</f>
        <v>NA</v>
      </c>
      <c r="G69" s="3103" t="str">
        <f>IFERROR(J69*1000000/$C69,"NA")</f>
        <v>NA</v>
      </c>
      <c r="H69" s="691">
        <v>0.3152750142158946</v>
      </c>
      <c r="I69" s="691" t="s">
        <v>2154</v>
      </c>
      <c r="J69" s="2911" t="s">
        <v>2154</v>
      </c>
    </row>
    <row r="70" spans="2:10" ht="18" customHeight="1" x14ac:dyDescent="0.2">
      <c r="B70" s="1242" t="s">
        <v>187</v>
      </c>
      <c r="C70" s="1913" t="str">
        <f>C71</f>
        <v>NO</v>
      </c>
      <c r="D70" s="1909" t="s">
        <v>1814</v>
      </c>
      <c r="E70" s="628"/>
      <c r="F70" s="628"/>
      <c r="G70" s="628"/>
      <c r="H70" s="1913" t="str">
        <f>H71</f>
        <v>NO</v>
      </c>
      <c r="I70" s="1913" t="str">
        <f>I71</f>
        <v>NO</v>
      </c>
      <c r="J70" s="3085" t="str">
        <f>J71</f>
        <v>NO</v>
      </c>
    </row>
    <row r="71" spans="2:10" ht="18" customHeight="1" x14ac:dyDescent="0.2">
      <c r="B71" s="3106" t="s">
        <v>2147</v>
      </c>
      <c r="C71" s="3099" t="str">
        <f>IF(SUM(C72:C75,C77:C79)=0,"NO",SUM(C72:C75,C77:C79))</f>
        <v>NO</v>
      </c>
      <c r="D71" s="3099" t="s">
        <v>1814</v>
      </c>
      <c r="E71" s="628"/>
      <c r="F71" s="628"/>
      <c r="G71" s="628"/>
      <c r="H71" s="3099" t="str">
        <f>IF(SUM(H72:H75,H77,H79)=0,"NO",SUM(H72:H75,H77,H79))</f>
        <v>NO</v>
      </c>
      <c r="I71" s="3099" t="str">
        <f>IF(SUM(I72:I75,I77:I79)=0,"NO",SUM(I72:I75,I77:I79))</f>
        <v>NO</v>
      </c>
      <c r="J71" s="3100" t="str">
        <f>IF(SUM(J72:J75,J77:J79)=0,"NO",SUM(J72:J75,J77:J79))</f>
        <v>NO</v>
      </c>
    </row>
    <row r="72" spans="2:10" ht="18" customHeight="1" x14ac:dyDescent="0.2">
      <c r="B72" s="282" t="s">
        <v>167</v>
      </c>
      <c r="C72" s="691" t="s">
        <v>2146</v>
      </c>
      <c r="D72" s="1909" t="s">
        <v>1814</v>
      </c>
      <c r="E72" s="1913" t="str">
        <f t="shared" ref="E72:E74" si="31">IFERROR(H72*1000/$C72,"NA")</f>
        <v>NA</v>
      </c>
      <c r="F72" s="1913" t="str">
        <f t="shared" ref="F72:G74" si="32">IFERROR(I72*1000000/$C72,"NA")</f>
        <v>NA</v>
      </c>
      <c r="G72" s="1913" t="str">
        <f t="shared" si="32"/>
        <v>NA</v>
      </c>
      <c r="H72" s="691" t="s">
        <v>2146</v>
      </c>
      <c r="I72" s="691" t="s">
        <v>2146</v>
      </c>
      <c r="J72" s="2911" t="s">
        <v>2146</v>
      </c>
    </row>
    <row r="73" spans="2:10" ht="18" customHeight="1" x14ac:dyDescent="0.2">
      <c r="B73" s="282" t="s">
        <v>168</v>
      </c>
      <c r="C73" s="691" t="s">
        <v>2146</v>
      </c>
      <c r="D73" s="1909" t="s">
        <v>1814</v>
      </c>
      <c r="E73" s="1913" t="str">
        <f t="shared" si="31"/>
        <v>NA</v>
      </c>
      <c r="F73" s="1913" t="str">
        <f t="shared" si="32"/>
        <v>NA</v>
      </c>
      <c r="G73" s="1913" t="str">
        <f t="shared" si="32"/>
        <v>NA</v>
      </c>
      <c r="H73" s="691" t="s">
        <v>2146</v>
      </c>
      <c r="I73" s="691" t="s">
        <v>2146</v>
      </c>
      <c r="J73" s="2911" t="s">
        <v>2146</v>
      </c>
    </row>
    <row r="74" spans="2:10" ht="18" customHeight="1" x14ac:dyDescent="0.2">
      <c r="B74" s="282" t="s">
        <v>169</v>
      </c>
      <c r="C74" s="691" t="s">
        <v>2146</v>
      </c>
      <c r="D74" s="1909" t="s">
        <v>1814</v>
      </c>
      <c r="E74" s="1913" t="str">
        <f t="shared" si="31"/>
        <v>NA</v>
      </c>
      <c r="F74" s="1913" t="str">
        <f t="shared" si="32"/>
        <v>NA</v>
      </c>
      <c r="G74" s="1913" t="str">
        <f t="shared" si="32"/>
        <v>NA</v>
      </c>
      <c r="H74" s="691" t="s">
        <v>2146</v>
      </c>
      <c r="I74" s="691" t="s">
        <v>2146</v>
      </c>
      <c r="J74" s="2911" t="s">
        <v>2146</v>
      </c>
    </row>
    <row r="75" spans="2:10" ht="18" customHeight="1" x14ac:dyDescent="0.2">
      <c r="B75" s="282" t="s">
        <v>170</v>
      </c>
      <c r="C75" s="1913" t="str">
        <f>C76</f>
        <v>NO</v>
      </c>
      <c r="D75" s="1909" t="s">
        <v>1814</v>
      </c>
      <c r="E75" s="628"/>
      <c r="F75" s="628"/>
      <c r="G75" s="628"/>
      <c r="H75" s="1913" t="str">
        <f>H76</f>
        <v>NO</v>
      </c>
      <c r="I75" s="1913" t="str">
        <f>I76</f>
        <v>NO</v>
      </c>
      <c r="J75" s="3085" t="str">
        <f>J76</f>
        <v>NO</v>
      </c>
    </row>
    <row r="76" spans="2:10" ht="18" customHeight="1" x14ac:dyDescent="0.2">
      <c r="B76" s="3105" t="s">
        <v>2147</v>
      </c>
      <c r="C76" s="691" t="s">
        <v>2146</v>
      </c>
      <c r="D76" s="1909" t="s">
        <v>1814</v>
      </c>
      <c r="E76" s="1913" t="str">
        <f t="shared" ref="E76:E78" si="33">IFERROR(H76*1000/$C76,"NA")</f>
        <v>NA</v>
      </c>
      <c r="F76" s="1913" t="str">
        <f t="shared" ref="F76:G78" si="34">IFERROR(I76*1000000/$C76,"NA")</f>
        <v>NA</v>
      </c>
      <c r="G76" s="1913" t="str">
        <f t="shared" si="34"/>
        <v>NA</v>
      </c>
      <c r="H76" s="691" t="s">
        <v>2146</v>
      </c>
      <c r="I76" s="691" t="s">
        <v>2146</v>
      </c>
      <c r="J76" s="2911" t="s">
        <v>2146</v>
      </c>
    </row>
    <row r="77" spans="2:10" ht="18" customHeight="1" x14ac:dyDescent="0.2">
      <c r="B77" s="282" t="s">
        <v>134</v>
      </c>
      <c r="C77" s="691" t="s">
        <v>2146</v>
      </c>
      <c r="D77" s="1909" t="s">
        <v>1814</v>
      </c>
      <c r="E77" s="1913" t="str">
        <f t="shared" si="33"/>
        <v>NA</v>
      </c>
      <c r="F77" s="1913" t="str">
        <f t="shared" si="34"/>
        <v>NA</v>
      </c>
      <c r="G77" s="1913" t="str">
        <f t="shared" si="34"/>
        <v>NA</v>
      </c>
      <c r="H77" s="691" t="s">
        <v>2146</v>
      </c>
      <c r="I77" s="691" t="s">
        <v>2146</v>
      </c>
      <c r="J77" s="2911" t="s">
        <v>2146</v>
      </c>
    </row>
    <row r="78" spans="2:10" ht="18" customHeight="1" x14ac:dyDescent="0.2">
      <c r="B78" s="282" t="s">
        <v>137</v>
      </c>
      <c r="C78" s="691" t="s">
        <v>2146</v>
      </c>
      <c r="D78" s="1909" t="s">
        <v>1814</v>
      </c>
      <c r="E78" s="1913" t="str">
        <f t="shared" si="33"/>
        <v>NA</v>
      </c>
      <c r="F78" s="1913" t="str">
        <f t="shared" si="34"/>
        <v>NA</v>
      </c>
      <c r="G78" s="1913" t="str">
        <f t="shared" si="34"/>
        <v>NA</v>
      </c>
      <c r="H78" s="691" t="s">
        <v>2146</v>
      </c>
      <c r="I78" s="691" t="s">
        <v>2146</v>
      </c>
      <c r="J78" s="2911" t="s">
        <v>2146</v>
      </c>
    </row>
    <row r="79" spans="2:10" ht="18" customHeight="1" x14ac:dyDescent="0.2">
      <c r="B79" s="282" t="s">
        <v>183</v>
      </c>
      <c r="C79" s="1913" t="str">
        <f>C80</f>
        <v>NO</v>
      </c>
      <c r="D79" s="1909" t="s">
        <v>1814</v>
      </c>
      <c r="E79" s="628"/>
      <c r="F79" s="628"/>
      <c r="G79" s="628"/>
      <c r="H79" s="1913" t="str">
        <f>H80</f>
        <v>NO</v>
      </c>
      <c r="I79" s="1913" t="str">
        <f>I80</f>
        <v>NO</v>
      </c>
      <c r="J79" s="3085" t="str">
        <f>J80</f>
        <v>NO</v>
      </c>
    </row>
    <row r="80" spans="2:10" ht="18" customHeight="1" x14ac:dyDescent="0.2">
      <c r="B80" s="3105" t="s">
        <v>252</v>
      </c>
      <c r="C80" s="691" t="s">
        <v>2146</v>
      </c>
      <c r="D80" s="1909" t="s">
        <v>1814</v>
      </c>
      <c r="E80" s="3103" t="str">
        <f t="shared" ref="E80" si="35">IFERROR(H80*1000/$C80,"NA")</f>
        <v>NA</v>
      </c>
      <c r="F80" s="3103" t="str">
        <f>IFERROR(I80*1000000/$C80,"NA")</f>
        <v>NA</v>
      </c>
      <c r="G80" s="3103" t="str">
        <f>IFERROR(J80*1000000/$C80,"NA")</f>
        <v>NA</v>
      </c>
      <c r="H80" s="691" t="s">
        <v>2146</v>
      </c>
      <c r="I80" s="691" t="s">
        <v>2146</v>
      </c>
      <c r="J80" s="2911" t="s">
        <v>2146</v>
      </c>
    </row>
    <row r="81" spans="2:10" ht="18" customHeight="1" x14ac:dyDescent="0.2">
      <c r="B81" s="1241" t="s">
        <v>188</v>
      </c>
      <c r="C81" s="1913">
        <f>IF(SUM(C82:C86)=0,"NO",SUM(C82:C86))</f>
        <v>27200</v>
      </c>
      <c r="D81" s="1909" t="s">
        <v>1814</v>
      </c>
      <c r="E81" s="628"/>
      <c r="F81" s="628"/>
      <c r="G81" s="628"/>
      <c r="H81" s="1913">
        <f>IF(SUM(H82:H84,H86)=0,"NO",SUM(H82:H84,H86))</f>
        <v>1901.2799999999997</v>
      </c>
      <c r="I81" s="1913">
        <f>IF(SUM(I82:I86)=0,"NO",SUM(I82:I86))</f>
        <v>0.10879999999999999</v>
      </c>
      <c r="J81" s="3085">
        <f>IF(SUM(J82:J86)=0,"NO",SUM(J82:J86))</f>
        <v>0.81599999999999995</v>
      </c>
    </row>
    <row r="82" spans="2:10" ht="18" customHeight="1" x14ac:dyDescent="0.2">
      <c r="B82" s="282" t="s">
        <v>132</v>
      </c>
      <c r="C82" s="691">
        <v>27200</v>
      </c>
      <c r="D82" s="1909" t="s">
        <v>1814</v>
      </c>
      <c r="E82" s="1913">
        <f t="shared" ref="E82:E85" si="36">IFERROR(H82*1000/$C82,"NA")</f>
        <v>69.899999999999991</v>
      </c>
      <c r="F82" s="1913">
        <f t="shared" ref="F82:G85" si="37">IFERROR(I82*1000000/$C82,"NA")</f>
        <v>4</v>
      </c>
      <c r="G82" s="1913">
        <f t="shared" si="37"/>
        <v>30</v>
      </c>
      <c r="H82" s="691">
        <v>1901.2799999999997</v>
      </c>
      <c r="I82" s="691">
        <v>0.10879999999999999</v>
      </c>
      <c r="J82" s="2911">
        <v>0.81599999999999995</v>
      </c>
    </row>
    <row r="83" spans="2:10" ht="18" customHeight="1" x14ac:dyDescent="0.2">
      <c r="B83" s="282" t="s">
        <v>133</v>
      </c>
      <c r="C83" s="691" t="s">
        <v>2154</v>
      </c>
      <c r="D83" s="1909" t="s">
        <v>1814</v>
      </c>
      <c r="E83" s="1913" t="str">
        <f t="shared" si="36"/>
        <v>NA</v>
      </c>
      <c r="F83" s="1913" t="str">
        <f t="shared" si="37"/>
        <v>NA</v>
      </c>
      <c r="G83" s="1913" t="str">
        <f t="shared" si="37"/>
        <v>NA</v>
      </c>
      <c r="H83" s="691" t="s">
        <v>2154</v>
      </c>
      <c r="I83" s="691" t="s">
        <v>2154</v>
      </c>
      <c r="J83" s="2911" t="s">
        <v>2154</v>
      </c>
    </row>
    <row r="84" spans="2:10" ht="18" customHeight="1" x14ac:dyDescent="0.2">
      <c r="B84" s="282" t="s">
        <v>134</v>
      </c>
      <c r="C84" s="691" t="s">
        <v>2146</v>
      </c>
      <c r="D84" s="1909" t="s">
        <v>1814</v>
      </c>
      <c r="E84" s="1913" t="str">
        <f t="shared" si="36"/>
        <v>NA</v>
      </c>
      <c r="F84" s="1913" t="str">
        <f t="shared" si="37"/>
        <v>NA</v>
      </c>
      <c r="G84" s="1913" t="str">
        <f t="shared" si="37"/>
        <v>NA</v>
      </c>
      <c r="H84" s="691" t="s">
        <v>2146</v>
      </c>
      <c r="I84" s="691" t="s">
        <v>2146</v>
      </c>
      <c r="J84" s="2911" t="s">
        <v>2146</v>
      </c>
    </row>
    <row r="85" spans="2:10" ht="18" customHeight="1" x14ac:dyDescent="0.2">
      <c r="B85" s="282" t="s">
        <v>137</v>
      </c>
      <c r="C85" s="691" t="s">
        <v>2146</v>
      </c>
      <c r="D85" s="1909" t="s">
        <v>1814</v>
      </c>
      <c r="E85" s="1913" t="str">
        <f t="shared" si="36"/>
        <v>NA</v>
      </c>
      <c r="F85" s="1913" t="str">
        <f t="shared" si="37"/>
        <v>NA</v>
      </c>
      <c r="G85" s="1913" t="str">
        <f t="shared" si="37"/>
        <v>NA</v>
      </c>
      <c r="H85" s="691" t="s">
        <v>2146</v>
      </c>
      <c r="I85" s="691" t="s">
        <v>2146</v>
      </c>
      <c r="J85" s="2911" t="s">
        <v>2146</v>
      </c>
    </row>
    <row r="86" spans="2:10" ht="18" customHeight="1" x14ac:dyDescent="0.2">
      <c r="B86" s="282" t="s">
        <v>183</v>
      </c>
      <c r="C86" s="1913" t="str">
        <f>C87</f>
        <v>NO</v>
      </c>
      <c r="D86" s="1909" t="s">
        <v>1814</v>
      </c>
      <c r="E86" s="628"/>
      <c r="F86" s="628"/>
      <c r="G86" s="628"/>
      <c r="H86" s="1913" t="str">
        <f>H87</f>
        <v>NO</v>
      </c>
      <c r="I86" s="1913" t="str">
        <f>I87</f>
        <v>NO</v>
      </c>
      <c r="J86" s="3085" t="str">
        <f>J87</f>
        <v>NO</v>
      </c>
    </row>
    <row r="87" spans="2:10" ht="18" customHeight="1" x14ac:dyDescent="0.2">
      <c r="B87" s="3105" t="s">
        <v>252</v>
      </c>
      <c r="C87" s="691" t="s">
        <v>2146</v>
      </c>
      <c r="D87" s="1909" t="s">
        <v>1814</v>
      </c>
      <c r="E87" s="3103" t="str">
        <f t="shared" ref="E87" si="38">IFERROR(H87*1000/$C87,"NA")</f>
        <v>NA</v>
      </c>
      <c r="F87" s="3103" t="str">
        <f>IFERROR(I87*1000000/$C87,"NA")</f>
        <v>NA</v>
      </c>
      <c r="G87" s="3103" t="str">
        <f>IFERROR(J87*1000000/$C87,"NA")</f>
        <v>NA</v>
      </c>
      <c r="H87" s="691" t="s">
        <v>2146</v>
      </c>
      <c r="I87" s="691" t="s">
        <v>2146</v>
      </c>
      <c r="J87" s="2911" t="s">
        <v>2146</v>
      </c>
    </row>
    <row r="88" spans="2:10" ht="18" customHeight="1" x14ac:dyDescent="0.2">
      <c r="B88" s="1241" t="s">
        <v>189</v>
      </c>
      <c r="C88" s="1913">
        <f>IF(SUM(C89:C92,C94:C96)=0,"NO",SUM(C89:C92,C94:C96))</f>
        <v>26924.148907866951</v>
      </c>
      <c r="D88" s="1909" t="s">
        <v>1814</v>
      </c>
      <c r="E88" s="628"/>
      <c r="F88" s="628"/>
      <c r="G88" s="628"/>
      <c r="H88" s="1913">
        <f>IF(SUM(H89:H92,H94,H96)=0,"NO",SUM(H89:H92,H94,H96))</f>
        <v>2016.8068345483523</v>
      </c>
      <c r="I88" s="3334">
        <f>IF(SUM(I89:I92,I94:I96)=0,"NE",SUM(I89:I92,I94:I96))</f>
        <v>4.143551198009563</v>
      </c>
      <c r="J88" s="3335">
        <f>IF(SUM(J89:J92,J94:J96)=0,"NE",SUM(J89:J92,J94:J96))</f>
        <v>3.5140204569451786E-2</v>
      </c>
    </row>
    <row r="89" spans="2:10" ht="18" customHeight="1" x14ac:dyDescent="0.2">
      <c r="B89" s="282" t="s">
        <v>190</v>
      </c>
      <c r="C89" s="691">
        <v>6499.5357142857101</v>
      </c>
      <c r="D89" s="1909" t="s">
        <v>1814</v>
      </c>
      <c r="E89" s="1913">
        <f t="shared" ref="E89:E91" si="39">IFERROR(H89*1000/$C89,"NA")</f>
        <v>73.600000000000037</v>
      </c>
      <c r="F89" s="1913">
        <f t="shared" ref="F89:G91" si="40">IFERROR(I89*1000000/$C89,"NA")</f>
        <v>7.0000000000000053</v>
      </c>
      <c r="G89" s="1913">
        <f t="shared" si="40"/>
        <v>2.0000000000000013</v>
      </c>
      <c r="H89" s="691">
        <v>478.36582857142855</v>
      </c>
      <c r="I89" s="3336">
        <v>4.5496750000000009E-2</v>
      </c>
      <c r="J89" s="3337">
        <v>1.2999071428571429E-2</v>
      </c>
    </row>
    <row r="90" spans="2:10" ht="18" customHeight="1" x14ac:dyDescent="0.2">
      <c r="B90" s="282" t="s">
        <v>191</v>
      </c>
      <c r="C90" s="691">
        <v>2784.9983983121901</v>
      </c>
      <c r="D90" s="1909" t="s">
        <v>1814</v>
      </c>
      <c r="E90" s="1913">
        <f t="shared" si="39"/>
        <v>69.900000000000063</v>
      </c>
      <c r="F90" s="1913">
        <f t="shared" si="40"/>
        <v>7.0000000000000071</v>
      </c>
      <c r="G90" s="1913">
        <f t="shared" si="40"/>
        <v>2.0000000000000018</v>
      </c>
      <c r="H90" s="691">
        <v>194.67138804202227</v>
      </c>
      <c r="I90" s="3336">
        <v>1.9494988788185352E-2</v>
      </c>
      <c r="J90" s="3337">
        <v>5.569996796624386E-3</v>
      </c>
    </row>
    <row r="91" spans="2:10" ht="18" customHeight="1" x14ac:dyDescent="0.2">
      <c r="B91" s="282" t="s">
        <v>167</v>
      </c>
      <c r="C91" s="691">
        <v>10670.0164725207</v>
      </c>
      <c r="D91" s="1909" t="s">
        <v>1814</v>
      </c>
      <c r="E91" s="1913">
        <f t="shared" si="39"/>
        <v>67.400000000000034</v>
      </c>
      <c r="F91" s="1913">
        <f t="shared" si="40"/>
        <v>360.00000000000011</v>
      </c>
      <c r="G91" s="1913">
        <f t="shared" si="40"/>
        <v>0.90000000000000024</v>
      </c>
      <c r="H91" s="691">
        <v>719.15911024789557</v>
      </c>
      <c r="I91" s="3336">
        <v>3.8412059301074533</v>
      </c>
      <c r="J91" s="3337">
        <v>9.6030148252686329E-3</v>
      </c>
    </row>
    <row r="92" spans="2:10" ht="18" customHeight="1" x14ac:dyDescent="0.2">
      <c r="B92" s="282" t="s">
        <v>192</v>
      </c>
      <c r="C92" s="1913" t="str">
        <f>C93</f>
        <v>NO</v>
      </c>
      <c r="D92" s="1909" t="s">
        <v>1814</v>
      </c>
      <c r="E92" s="628"/>
      <c r="F92" s="628"/>
      <c r="G92" s="628"/>
      <c r="H92" s="1913" t="str">
        <f>H93</f>
        <v>NO</v>
      </c>
      <c r="I92" s="3334" t="str">
        <f>I93</f>
        <v>NO</v>
      </c>
      <c r="J92" s="3335" t="str">
        <f>J93</f>
        <v>NO</v>
      </c>
    </row>
    <row r="93" spans="2:10" ht="18" customHeight="1" x14ac:dyDescent="0.2">
      <c r="B93" s="3105" t="s">
        <v>2147</v>
      </c>
      <c r="C93" s="691" t="s">
        <v>2146</v>
      </c>
      <c r="D93" s="1909" t="s">
        <v>1814</v>
      </c>
      <c r="E93" s="3103" t="str">
        <f t="shared" ref="E93" si="41">IFERROR(H93*1000/$C93,"NA")</f>
        <v>NA</v>
      </c>
      <c r="F93" s="3103" t="str">
        <f t="shared" ref="F93:G95" si="42">IFERROR(I93*1000000/$C93,"NA")</f>
        <v>NA</v>
      </c>
      <c r="G93" s="3103" t="str">
        <f t="shared" si="42"/>
        <v>NA</v>
      </c>
      <c r="H93" s="691" t="s">
        <v>2146</v>
      </c>
      <c r="I93" s="3336" t="s">
        <v>2146</v>
      </c>
      <c r="J93" s="3337" t="s">
        <v>2146</v>
      </c>
    </row>
    <row r="94" spans="2:10" ht="18" customHeight="1" x14ac:dyDescent="0.2">
      <c r="B94" s="282" t="s">
        <v>134</v>
      </c>
      <c r="C94" s="691">
        <v>68.121518987341801</v>
      </c>
      <c r="D94" s="1909" t="s">
        <v>1814</v>
      </c>
      <c r="E94" s="1913">
        <f t="shared" ref="E94:E95" si="43">IFERROR(H94*1000/$C94,"NA")</f>
        <v>51.411918339264986</v>
      </c>
      <c r="F94" s="1913">
        <f t="shared" si="42"/>
        <v>242.99999999999989</v>
      </c>
      <c r="G94" s="1913">
        <f t="shared" si="42"/>
        <v>0.99999999999999978</v>
      </c>
      <c r="H94" s="691">
        <v>3.5022579713239059</v>
      </c>
      <c r="I94" s="3336">
        <v>1.6553529113924052E-2</v>
      </c>
      <c r="J94" s="3337">
        <v>6.8121518987341784E-5</v>
      </c>
    </row>
    <row r="95" spans="2:10" ht="18" customHeight="1" x14ac:dyDescent="0.2">
      <c r="B95" s="282" t="s">
        <v>137</v>
      </c>
      <c r="C95" s="691" t="s">
        <v>2146</v>
      </c>
      <c r="D95" s="1909" t="s">
        <v>1814</v>
      </c>
      <c r="E95" s="1913" t="str">
        <f t="shared" si="43"/>
        <v>NA</v>
      </c>
      <c r="F95" s="1913" t="str">
        <f t="shared" si="42"/>
        <v>NA</v>
      </c>
      <c r="G95" s="1913" t="str">
        <f t="shared" si="42"/>
        <v>NA</v>
      </c>
      <c r="H95" s="691" t="s">
        <v>2146</v>
      </c>
      <c r="I95" s="3336" t="s">
        <v>2146</v>
      </c>
      <c r="J95" s="3337" t="s">
        <v>2146</v>
      </c>
    </row>
    <row r="96" spans="2:10" ht="18" customHeight="1" x14ac:dyDescent="0.2">
      <c r="B96" s="282" t="s">
        <v>183</v>
      </c>
      <c r="C96" s="1913">
        <f>IF(SUM(C97:C98)=0,"NO",SUM(C97:C98))</f>
        <v>6901.4768037610111</v>
      </c>
      <c r="D96" s="1909" t="s">
        <v>1814</v>
      </c>
      <c r="E96" s="628"/>
      <c r="F96" s="628"/>
      <c r="G96" s="628"/>
      <c r="H96" s="1913">
        <f>IF(SUM(H97:H98)=0,"NO",SUM(H97:H98))</f>
        <v>621.10824971568218</v>
      </c>
      <c r="I96" s="3334">
        <f>IF(SUM(I97:I98)=0,"NE",SUM(I97:I98))</f>
        <v>0.22080000000000005</v>
      </c>
      <c r="J96" s="3335">
        <f>IF(SUM(J97:J98)=0,"NE",SUM(J97:J98))</f>
        <v>6.9000000000000016E-3</v>
      </c>
    </row>
    <row r="97" spans="2:10" ht="18" customHeight="1" x14ac:dyDescent="0.2">
      <c r="B97" s="2572" t="s">
        <v>2260</v>
      </c>
      <c r="C97" s="691">
        <v>6900</v>
      </c>
      <c r="D97" s="1909" t="s">
        <v>1814</v>
      </c>
      <c r="E97" s="3103">
        <f t="shared" ref="E97" si="44">IFERROR(H97*1000/$C97,"NA")</f>
        <v>90.000000000000014</v>
      </c>
      <c r="F97" s="3103">
        <f>IFERROR(I97*1000000/$C97,"NA")</f>
        <v>32.000000000000007</v>
      </c>
      <c r="G97" s="3103">
        <f>IFERROR(J97*1000000/$C97,"NA")</f>
        <v>1.0000000000000002</v>
      </c>
      <c r="H97" s="691">
        <v>621.00000000000011</v>
      </c>
      <c r="I97" s="3336">
        <v>0.22080000000000005</v>
      </c>
      <c r="J97" s="3337">
        <v>6.9000000000000016E-3</v>
      </c>
    </row>
    <row r="98" spans="2:10" ht="18" customHeight="1" x14ac:dyDescent="0.2">
      <c r="B98" s="2572" t="s">
        <v>252</v>
      </c>
      <c r="C98" s="691">
        <v>1.4768037610110301</v>
      </c>
      <c r="D98" s="1909" t="s">
        <v>1814</v>
      </c>
      <c r="E98" s="3103">
        <f t="shared" ref="E98" si="45">IFERROR(H98*1000/$C98,"NA")</f>
        <v>73.300000000000111</v>
      </c>
      <c r="F98" s="3103" t="str">
        <f>IFERROR(I98*1000000/$C98,"NA")</f>
        <v>NA</v>
      </c>
      <c r="G98" s="3103" t="str">
        <f>IFERROR(J98*1000000/$C98,"NA")</f>
        <v>NA</v>
      </c>
      <c r="H98" s="691">
        <v>0.10824971568210866</v>
      </c>
      <c r="I98" s="3336" t="s">
        <v>2154</v>
      </c>
      <c r="J98" s="3337" t="s">
        <v>2154</v>
      </c>
    </row>
    <row r="99" spans="2:10" ht="18" customHeight="1" x14ac:dyDescent="0.2">
      <c r="B99" s="1241" t="s">
        <v>193</v>
      </c>
      <c r="C99" s="1913">
        <f>IF(SUM(C100:C104)=0,"NO",SUM(C100:C104))</f>
        <v>17003.063319212706</v>
      </c>
      <c r="D99" s="1909" t="s">
        <v>1814</v>
      </c>
      <c r="E99" s="628"/>
      <c r="F99" s="628"/>
      <c r="G99" s="628"/>
      <c r="H99" s="1913">
        <f>IF(SUM(H100:H103)=0,"NO",SUM(H100:H103))</f>
        <v>884.19574553870223</v>
      </c>
      <c r="I99" s="1913">
        <f>IF(SUM(I100:I104)=0,"NO",SUM(I100:I104))</f>
        <v>0.16067655513203979</v>
      </c>
      <c r="J99" s="3085">
        <f>IF(SUM(J100:J104)=0,"NO",SUM(J100:J104))</f>
        <v>1.7629798513740602E-3</v>
      </c>
    </row>
    <row r="100" spans="2:10" ht="18" customHeight="1" x14ac:dyDescent="0.2">
      <c r="B100" s="282" t="s">
        <v>132</v>
      </c>
      <c r="C100" s="1913">
        <f>IF(SUM(C106,C113:C116)=0,"NO",SUM(C106,C113:C116))</f>
        <v>664.52820431047667</v>
      </c>
      <c r="D100" s="1909" t="s">
        <v>1814</v>
      </c>
      <c r="E100" s="3103">
        <f t="shared" ref="E100:E104" si="46">IFERROR(H100*1000/$C100,"NA")</f>
        <v>66.091260192818211</v>
      </c>
      <c r="F100" s="3103">
        <f t="shared" ref="F100:G104" si="47">IFERROR(I100*1000000/$C100,"NA")</f>
        <v>49.029124772120319</v>
      </c>
      <c r="G100" s="3103">
        <f t="shared" si="47"/>
        <v>0.19611649908848128</v>
      </c>
      <c r="H100" s="1913">
        <f>IF(SUM(H106,H113:H116)=0,"NO",SUM(H106,H113:H116))</f>
        <v>43.919506456549968</v>
      </c>
      <c r="I100" s="1913">
        <f>IF(SUM(I106,I113:I116)=0,"NO",SUM(I106,I113:I116))</f>
        <v>3.2581236243731423E-2</v>
      </c>
      <c r="J100" s="3085">
        <f>IF(SUM(J106,J113:J116)=0,"NO",SUM(J106,J113:J116))</f>
        <v>1.303249449749257E-4</v>
      </c>
    </row>
    <row r="101" spans="2:10" ht="18" customHeight="1" x14ac:dyDescent="0.2">
      <c r="B101" s="282" t="s">
        <v>133</v>
      </c>
      <c r="C101" s="1913" t="str">
        <f>IF(SUM(C107,C118)=0,"NO",SUM(C107,C118))</f>
        <v>NO</v>
      </c>
      <c r="D101" s="1909" t="s">
        <v>1814</v>
      </c>
      <c r="E101" s="3103" t="str">
        <f t="shared" si="46"/>
        <v>NA</v>
      </c>
      <c r="F101" s="3103" t="str">
        <f t="shared" si="47"/>
        <v>NA</v>
      </c>
      <c r="G101" s="3103" t="str">
        <f t="shared" si="47"/>
        <v>NA</v>
      </c>
      <c r="H101" s="1913" t="str">
        <f t="shared" ref="H101:J104" si="48">IF(SUM(H107,H118)=0,"NO",SUM(H107,H118))</f>
        <v>NO</v>
      </c>
      <c r="I101" s="1913" t="str">
        <f t="shared" si="48"/>
        <v>NO</v>
      </c>
      <c r="J101" s="3085" t="str">
        <f t="shared" si="48"/>
        <v>NO</v>
      </c>
    </row>
    <row r="102" spans="2:10" ht="18" customHeight="1" x14ac:dyDescent="0.2">
      <c r="B102" s="282" t="s">
        <v>134</v>
      </c>
      <c r="C102" s="1913">
        <f>IF(SUM(C108,C119)=0,"NO",SUM(C108,C119))</f>
        <v>16325.600000000002</v>
      </c>
      <c r="D102" s="1909" t="s">
        <v>1814</v>
      </c>
      <c r="E102" s="3103">
        <f t="shared" si="46"/>
        <v>51.411918339264986</v>
      </c>
      <c r="F102" s="3103">
        <f t="shared" si="47"/>
        <v>7.8447488584474883</v>
      </c>
      <c r="G102" s="3103">
        <f t="shared" si="47"/>
        <v>9.9999999999999964E-2</v>
      </c>
      <c r="H102" s="1913">
        <f t="shared" si="48"/>
        <v>839.3304140395046</v>
      </c>
      <c r="I102" s="1913">
        <f t="shared" si="48"/>
        <v>0.12807023196347034</v>
      </c>
      <c r="J102" s="3085">
        <f t="shared" si="48"/>
        <v>1.6325599999999997E-3</v>
      </c>
    </row>
    <row r="103" spans="2:10" ht="18" customHeight="1" x14ac:dyDescent="0.2">
      <c r="B103" s="282" t="s">
        <v>175</v>
      </c>
      <c r="C103" s="1913">
        <f>IF(SUM(C109,C120)=0,"NO",SUM(C109,C120))</f>
        <v>12.9034794358483</v>
      </c>
      <c r="D103" s="1909" t="s">
        <v>1814</v>
      </c>
      <c r="E103" s="3103">
        <f t="shared" si="46"/>
        <v>73.300000000000253</v>
      </c>
      <c r="F103" s="3103" t="str">
        <f t="shared" si="47"/>
        <v>NA</v>
      </c>
      <c r="G103" s="3103" t="str">
        <f t="shared" si="47"/>
        <v>NA</v>
      </c>
      <c r="H103" s="1913">
        <f t="shared" si="48"/>
        <v>0.94582504264768374</v>
      </c>
      <c r="I103" s="1913" t="str">
        <f t="shared" si="48"/>
        <v>NO</v>
      </c>
      <c r="J103" s="3085" t="str">
        <f t="shared" si="48"/>
        <v>NO</v>
      </c>
    </row>
    <row r="104" spans="2:10" ht="18" customHeight="1" x14ac:dyDescent="0.2">
      <c r="B104" s="282" t="s">
        <v>137</v>
      </c>
      <c r="C104" s="1913">
        <f>IF(SUM(C110,C121)=0,"NO",SUM(C110,C121))</f>
        <v>3.1635466378336301E-2</v>
      </c>
      <c r="D104" s="1909" t="s">
        <v>1814</v>
      </c>
      <c r="E104" s="3103">
        <f t="shared" si="46"/>
        <v>67.260000000000034</v>
      </c>
      <c r="F104" s="3103">
        <f t="shared" si="47"/>
        <v>793.00000000000045</v>
      </c>
      <c r="G104" s="3103">
        <f t="shared" si="47"/>
        <v>3.0000000000000013</v>
      </c>
      <c r="H104" s="1913">
        <f t="shared" si="48"/>
        <v>2.1278014686069006E-3</v>
      </c>
      <c r="I104" s="1913">
        <f t="shared" si="48"/>
        <v>2.5086924838020701E-5</v>
      </c>
      <c r="J104" s="3085">
        <f t="shared" si="48"/>
        <v>9.4906399135008947E-8</v>
      </c>
    </row>
    <row r="105" spans="2:10" ht="18" customHeight="1" x14ac:dyDescent="0.2">
      <c r="B105" s="1244" t="s">
        <v>194</v>
      </c>
      <c r="C105" s="1913">
        <f>IF(SUM(C106:C110)=0,"NO",SUM(C106:C110))</f>
        <v>16325.600000000002</v>
      </c>
      <c r="D105" s="1909" t="s">
        <v>1814</v>
      </c>
      <c r="E105" s="628"/>
      <c r="F105" s="628"/>
      <c r="G105" s="628"/>
      <c r="H105" s="1913">
        <f>IF(SUM(H106:H109)=0,"NO",SUM(H106:H109))</f>
        <v>839.3304140395046</v>
      </c>
      <c r="I105" s="1913">
        <f>IF(SUM(I106:I110)=0,"NO",SUM(I106:I110))</f>
        <v>0.12807023196347034</v>
      </c>
      <c r="J105" s="3085">
        <f>IF(SUM(J106:J110)=0,"NO",SUM(J106:J110))</f>
        <v>1.6325599999999997E-3</v>
      </c>
    </row>
    <row r="106" spans="2:10" ht="18" customHeight="1" x14ac:dyDescent="0.2">
      <c r="B106" s="282" t="s">
        <v>132</v>
      </c>
      <c r="C106" s="691" t="s">
        <v>2146</v>
      </c>
      <c r="D106" s="1909" t="s">
        <v>1814</v>
      </c>
      <c r="E106" s="3103" t="str">
        <f t="shared" ref="E106:E110" si="49">IFERROR(H106*1000/$C106,"NA")</f>
        <v>NA</v>
      </c>
      <c r="F106" s="3103" t="str">
        <f t="shared" ref="F106:G110" si="50">IFERROR(I106*1000000/$C106,"NA")</f>
        <v>NA</v>
      </c>
      <c r="G106" s="3103" t="str">
        <f t="shared" si="50"/>
        <v>NA</v>
      </c>
      <c r="H106" s="691" t="s">
        <v>2146</v>
      </c>
      <c r="I106" s="691" t="s">
        <v>2146</v>
      </c>
      <c r="J106" s="2911" t="s">
        <v>2146</v>
      </c>
    </row>
    <row r="107" spans="2:10" ht="18" customHeight="1" x14ac:dyDescent="0.2">
      <c r="B107" s="282" t="s">
        <v>133</v>
      </c>
      <c r="C107" s="691" t="s">
        <v>2146</v>
      </c>
      <c r="D107" s="1909" t="s">
        <v>1814</v>
      </c>
      <c r="E107" s="3103" t="str">
        <f t="shared" si="49"/>
        <v>NA</v>
      </c>
      <c r="F107" s="3103" t="str">
        <f t="shared" si="50"/>
        <v>NA</v>
      </c>
      <c r="G107" s="3103" t="str">
        <f t="shared" si="50"/>
        <v>NA</v>
      </c>
      <c r="H107" s="691" t="s">
        <v>2146</v>
      </c>
      <c r="I107" s="691" t="s">
        <v>2146</v>
      </c>
      <c r="J107" s="2911" t="s">
        <v>2146</v>
      </c>
    </row>
    <row r="108" spans="2:10" ht="18" customHeight="1" x14ac:dyDescent="0.2">
      <c r="B108" s="282" t="s">
        <v>134</v>
      </c>
      <c r="C108" s="691">
        <v>16325.600000000002</v>
      </c>
      <c r="D108" s="1909" t="s">
        <v>1814</v>
      </c>
      <c r="E108" s="3103">
        <f t="shared" si="49"/>
        <v>51.411918339264986</v>
      </c>
      <c r="F108" s="3103">
        <f t="shared" si="50"/>
        <v>7.8447488584474883</v>
      </c>
      <c r="G108" s="3103">
        <f t="shared" si="50"/>
        <v>9.9999999999999964E-2</v>
      </c>
      <c r="H108" s="691">
        <v>839.3304140395046</v>
      </c>
      <c r="I108" s="691">
        <v>0.12807023196347034</v>
      </c>
      <c r="J108" s="2911">
        <v>1.6325599999999997E-3</v>
      </c>
    </row>
    <row r="109" spans="2:10" ht="18" customHeight="1" x14ac:dyDescent="0.2">
      <c r="B109" s="282" t="s">
        <v>175</v>
      </c>
      <c r="C109" s="691" t="s">
        <v>2146</v>
      </c>
      <c r="D109" s="1909" t="s">
        <v>1814</v>
      </c>
      <c r="E109" s="3103" t="str">
        <f t="shared" si="49"/>
        <v>NA</v>
      </c>
      <c r="F109" s="3103" t="str">
        <f t="shared" si="50"/>
        <v>NA</v>
      </c>
      <c r="G109" s="3103" t="str">
        <f t="shared" si="50"/>
        <v>NA</v>
      </c>
      <c r="H109" s="691" t="s">
        <v>2146</v>
      </c>
      <c r="I109" s="691" t="s">
        <v>2146</v>
      </c>
      <c r="J109" s="2911" t="s">
        <v>2146</v>
      </c>
    </row>
    <row r="110" spans="2:10" ht="18" customHeight="1" x14ac:dyDescent="0.2">
      <c r="B110" s="282" t="s">
        <v>137</v>
      </c>
      <c r="C110" s="691" t="s">
        <v>2146</v>
      </c>
      <c r="D110" s="1909" t="s">
        <v>1814</v>
      </c>
      <c r="E110" s="3103" t="str">
        <f t="shared" si="49"/>
        <v>NA</v>
      </c>
      <c r="F110" s="3103" t="str">
        <f t="shared" si="50"/>
        <v>NA</v>
      </c>
      <c r="G110" s="3103" t="str">
        <f t="shared" si="50"/>
        <v>NA</v>
      </c>
      <c r="H110" s="691" t="s">
        <v>2146</v>
      </c>
      <c r="I110" s="691" t="s">
        <v>2146</v>
      </c>
      <c r="J110" s="2911" t="s">
        <v>2146</v>
      </c>
    </row>
    <row r="111" spans="2:10" ht="18" customHeight="1" x14ac:dyDescent="0.2">
      <c r="B111" s="1244" t="s">
        <v>195</v>
      </c>
      <c r="C111" s="1913">
        <f>C112</f>
        <v>677.46331921270337</v>
      </c>
      <c r="D111" s="1909" t="s">
        <v>1814</v>
      </c>
      <c r="E111" s="628"/>
      <c r="F111" s="628"/>
      <c r="G111" s="628"/>
      <c r="H111" s="1913">
        <f>H112</f>
        <v>44.865331499197652</v>
      </c>
      <c r="I111" s="1913">
        <f>I112</f>
        <v>3.2606323168569443E-2</v>
      </c>
      <c r="J111" s="3085">
        <f>J112</f>
        <v>1.3041985137406071E-4</v>
      </c>
    </row>
    <row r="112" spans="2:10" ht="18" customHeight="1" x14ac:dyDescent="0.2">
      <c r="B112" s="3089" t="s">
        <v>2148</v>
      </c>
      <c r="C112" s="3099">
        <f>IF(SUM(C113:C116,C118:C121)=0,"NO",SUM(C113:C116,C118:C121))</f>
        <v>677.46331921270337</v>
      </c>
      <c r="D112" s="3099" t="s">
        <v>1814</v>
      </c>
      <c r="E112" s="628"/>
      <c r="F112" s="628"/>
      <c r="G112" s="628"/>
      <c r="H112" s="3099">
        <f>IF(SUM(H113:H116,H118:H120)=0,"NO",SUM(H113:H116,H118:H120))</f>
        <v>44.865331499197652</v>
      </c>
      <c r="I112" s="3099">
        <f>IF(SUM(I113:I116,I118:I121)=0,"NO",SUM(I113:I116,I118:I121))</f>
        <v>3.2606323168569443E-2</v>
      </c>
      <c r="J112" s="3100">
        <f>IF(SUM(J113:J116,J118:J121)=0,"NO",SUM(J113:J116,J118:J121))</f>
        <v>1.3041985137406071E-4</v>
      </c>
    </row>
    <row r="113" spans="2:10" ht="18" customHeight="1" x14ac:dyDescent="0.2">
      <c r="B113" s="282" t="s">
        <v>167</v>
      </c>
      <c r="C113" s="691">
        <v>664.52820431047667</v>
      </c>
      <c r="D113" s="1913" t="s">
        <v>1814</v>
      </c>
      <c r="E113" s="1913">
        <f t="shared" ref="E113:E115" si="51">IFERROR(H113*1000/$C113,"NA")</f>
        <v>66.091260192818211</v>
      </c>
      <c r="F113" s="1913">
        <f t="shared" ref="F113:G115" si="52">IFERROR(I113*1000000/$C113,"NA")</f>
        <v>49.029124772120319</v>
      </c>
      <c r="G113" s="1913">
        <f t="shared" si="52"/>
        <v>0.19611649908848128</v>
      </c>
      <c r="H113" s="691">
        <v>43.919506456549968</v>
      </c>
      <c r="I113" s="691">
        <v>3.2581236243731423E-2</v>
      </c>
      <c r="J113" s="2911">
        <v>1.303249449749257E-4</v>
      </c>
    </row>
    <row r="114" spans="2:10" ht="18" customHeight="1" x14ac:dyDescent="0.2">
      <c r="B114" s="282" t="s">
        <v>168</v>
      </c>
      <c r="C114" s="691" t="s">
        <v>2146</v>
      </c>
      <c r="D114" s="1913" t="s">
        <v>1814</v>
      </c>
      <c r="E114" s="1913" t="str">
        <f t="shared" si="51"/>
        <v>NA</v>
      </c>
      <c r="F114" s="1913" t="str">
        <f t="shared" si="52"/>
        <v>NA</v>
      </c>
      <c r="G114" s="1913" t="str">
        <f t="shared" si="52"/>
        <v>NA</v>
      </c>
      <c r="H114" s="691" t="s">
        <v>2146</v>
      </c>
      <c r="I114" s="691" t="s">
        <v>2146</v>
      </c>
      <c r="J114" s="2911" t="s">
        <v>2146</v>
      </c>
    </row>
    <row r="115" spans="2:10" ht="18" customHeight="1" x14ac:dyDescent="0.2">
      <c r="B115" s="282" t="s">
        <v>169</v>
      </c>
      <c r="C115" s="691" t="s">
        <v>2146</v>
      </c>
      <c r="D115" s="1913" t="s">
        <v>1814</v>
      </c>
      <c r="E115" s="1913" t="str">
        <f t="shared" si="51"/>
        <v>NA</v>
      </c>
      <c r="F115" s="1913" t="str">
        <f t="shared" si="52"/>
        <v>NA</v>
      </c>
      <c r="G115" s="1913" t="str">
        <f t="shared" si="52"/>
        <v>NA</v>
      </c>
      <c r="H115" s="691" t="s">
        <v>2146</v>
      </c>
      <c r="I115" s="691" t="s">
        <v>2146</v>
      </c>
      <c r="J115" s="2911" t="s">
        <v>2146</v>
      </c>
    </row>
    <row r="116" spans="2:10" ht="18" customHeight="1" x14ac:dyDescent="0.2">
      <c r="B116" s="282" t="s">
        <v>170</v>
      </c>
      <c r="C116" s="1913" t="str">
        <f>C117</f>
        <v>NO</v>
      </c>
      <c r="D116" s="1909" t="s">
        <v>1814</v>
      </c>
      <c r="E116" s="628"/>
      <c r="F116" s="628"/>
      <c r="G116" s="628"/>
      <c r="H116" s="1913" t="str">
        <f>H117</f>
        <v>NO</v>
      </c>
      <c r="I116" s="1913" t="str">
        <f>I117</f>
        <v>NO</v>
      </c>
      <c r="J116" s="3085" t="str">
        <f>J117</f>
        <v>NO</v>
      </c>
    </row>
    <row r="117" spans="2:10" ht="18" customHeight="1" x14ac:dyDescent="0.2">
      <c r="B117" s="3105" t="s">
        <v>2147</v>
      </c>
      <c r="C117" s="691" t="s">
        <v>2146</v>
      </c>
      <c r="D117" s="1909" t="s">
        <v>1814</v>
      </c>
      <c r="E117" s="3103" t="str">
        <f t="shared" ref="E117:E121" si="53">IFERROR(H117*1000/$C117,"NA")</f>
        <v>NA</v>
      </c>
      <c r="F117" s="3103" t="str">
        <f t="shared" ref="F117:G121" si="54">IFERROR(I117*1000000/$C117,"NA")</f>
        <v>NA</v>
      </c>
      <c r="G117" s="3103" t="str">
        <f t="shared" si="54"/>
        <v>NA</v>
      </c>
      <c r="H117" s="691" t="s">
        <v>2146</v>
      </c>
      <c r="I117" s="691" t="s">
        <v>2146</v>
      </c>
      <c r="J117" s="2911" t="s">
        <v>2146</v>
      </c>
    </row>
    <row r="118" spans="2:10" ht="18" customHeight="1" x14ac:dyDescent="0.2">
      <c r="B118" s="282" t="s">
        <v>133</v>
      </c>
      <c r="C118" s="691" t="s">
        <v>2146</v>
      </c>
      <c r="D118" s="1909" t="s">
        <v>1814</v>
      </c>
      <c r="E118" s="3103" t="str">
        <f t="shared" si="53"/>
        <v>NA</v>
      </c>
      <c r="F118" s="3103" t="str">
        <f t="shared" si="54"/>
        <v>NA</v>
      </c>
      <c r="G118" s="3103" t="str">
        <f t="shared" si="54"/>
        <v>NA</v>
      </c>
      <c r="H118" s="691" t="s">
        <v>2146</v>
      </c>
      <c r="I118" s="691" t="s">
        <v>2146</v>
      </c>
      <c r="J118" s="2911" t="s">
        <v>2146</v>
      </c>
    </row>
    <row r="119" spans="2:10" ht="18" customHeight="1" x14ac:dyDescent="0.2">
      <c r="B119" s="282" t="s">
        <v>134</v>
      </c>
      <c r="C119" s="691" t="s">
        <v>2146</v>
      </c>
      <c r="D119" s="1909" t="s">
        <v>1814</v>
      </c>
      <c r="E119" s="3103" t="str">
        <f t="shared" si="53"/>
        <v>NA</v>
      </c>
      <c r="F119" s="3103" t="str">
        <f t="shared" si="54"/>
        <v>NA</v>
      </c>
      <c r="G119" s="3103" t="str">
        <f t="shared" si="54"/>
        <v>NA</v>
      </c>
      <c r="H119" s="691" t="s">
        <v>2146</v>
      </c>
      <c r="I119" s="691" t="s">
        <v>2146</v>
      </c>
      <c r="J119" s="2911" t="s">
        <v>2146</v>
      </c>
    </row>
    <row r="120" spans="2:10" ht="18" customHeight="1" x14ac:dyDescent="0.2">
      <c r="B120" s="282" t="s">
        <v>175</v>
      </c>
      <c r="C120" s="691">
        <v>12.9034794358483</v>
      </c>
      <c r="D120" s="1909" t="s">
        <v>1814</v>
      </c>
      <c r="E120" s="3103">
        <f t="shared" si="53"/>
        <v>73.300000000000253</v>
      </c>
      <c r="F120" s="3103" t="str">
        <f t="shared" si="54"/>
        <v>NA</v>
      </c>
      <c r="G120" s="3103" t="str">
        <f t="shared" si="54"/>
        <v>NA</v>
      </c>
      <c r="H120" s="691">
        <v>0.94582504264768374</v>
      </c>
      <c r="I120" s="691" t="s">
        <v>2154</v>
      </c>
      <c r="J120" s="2911" t="s">
        <v>2154</v>
      </c>
    </row>
    <row r="121" spans="2:10" ht="18" customHeight="1" thickBot="1" x14ac:dyDescent="0.25">
      <c r="B121" s="2185" t="s">
        <v>137</v>
      </c>
      <c r="C121" s="1559">
        <v>3.1635466378336301E-2</v>
      </c>
      <c r="D121" s="2880" t="s">
        <v>1814</v>
      </c>
      <c r="E121" s="3104">
        <f t="shared" si="53"/>
        <v>67.260000000000034</v>
      </c>
      <c r="F121" s="3104">
        <f t="shared" si="54"/>
        <v>793.00000000000045</v>
      </c>
      <c r="G121" s="3104">
        <f t="shared" si="54"/>
        <v>3.0000000000000013</v>
      </c>
      <c r="H121" s="1559">
        <v>2.1278014686069006E-3</v>
      </c>
      <c r="I121" s="1559">
        <v>2.5086924838020701E-5</v>
      </c>
      <c r="J121" s="1561">
        <v>9.4906399135008947E-8</v>
      </c>
    </row>
    <row r="122" spans="2:10" ht="12" customHeight="1" x14ac:dyDescent="0.2">
      <c r="B122" s="2015"/>
      <c r="C122" s="2015"/>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ignoredErrors>
    <ignoredError sqref="C24 H24:J24 C28 H28" formula="1"/>
  </ignoredError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L5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 customHeight="1" x14ac:dyDescent="0.2"/>
  <cols>
    <col min="1" max="1" width="1.85546875" customWidth="1"/>
    <col min="2" max="2" width="44.42578125" customWidth="1"/>
    <col min="3" max="3" width="12.28515625" customWidth="1"/>
    <col min="4" max="36" width="10.140625" customWidth="1"/>
    <col min="37" max="37" width="11.42578125" customWidth="1"/>
    <col min="38" max="38" width="1.140625" customWidth="1"/>
    <col min="39" max="39" width="15.5703125" customWidth="1"/>
    <col min="40" max="40" width="9" customWidth="1"/>
    <col min="41" max="42" width="9.140625" customWidth="1"/>
    <col min="43" max="43" width="9.5703125" customWidth="1"/>
    <col min="44" max="46" width="8.85546875" customWidth="1"/>
    <col min="47" max="47" width="8.5703125" customWidth="1"/>
    <col min="48" max="48" width="8.85546875" customWidth="1"/>
    <col min="49" max="49" width="8.5703125" customWidth="1"/>
    <col min="50" max="50" width="9.5703125" customWidth="1"/>
    <col min="51" max="51" width="8.85546875" customWidth="1"/>
    <col min="52" max="52" width="9.140625" customWidth="1"/>
    <col min="53" max="53" width="8.85546875" customWidth="1"/>
    <col min="54" max="54" width="9.85546875" customWidth="1"/>
    <col min="55" max="55" width="8.85546875" customWidth="1"/>
    <col min="56" max="56" width="9.85546875" customWidth="1"/>
    <col min="57" max="57" width="9" customWidth="1"/>
    <col min="58" max="58" width="9.140625" customWidth="1"/>
    <col min="59" max="59" width="8.5703125" customWidth="1"/>
  </cols>
  <sheetData>
    <row r="1" spans="2:38" ht="17.25" customHeight="1" x14ac:dyDescent="0.2">
      <c r="B1" s="753" t="s">
        <v>1706</v>
      </c>
      <c r="AK1" s="14" t="s">
        <v>2521</v>
      </c>
    </row>
    <row r="2" spans="2:38" ht="17.25" x14ac:dyDescent="0.2">
      <c r="B2" s="753" t="s">
        <v>1736</v>
      </c>
      <c r="AK2" s="14" t="s">
        <v>2522</v>
      </c>
    </row>
    <row r="3" spans="2:38" ht="15.75" x14ac:dyDescent="0.2">
      <c r="B3" s="753" t="s">
        <v>1737</v>
      </c>
      <c r="AK3" s="14" t="s">
        <v>2144</v>
      </c>
    </row>
    <row r="4" spans="2:38" ht="15.75" hidden="1" x14ac:dyDescent="0.2">
      <c r="B4" s="753"/>
      <c r="AK4" s="226"/>
    </row>
    <row r="5" spans="2:38" ht="15.75" hidden="1" x14ac:dyDescent="0.2">
      <c r="B5" s="753"/>
      <c r="AK5" s="226"/>
    </row>
    <row r="6" spans="2:38" ht="15.75" hidden="1" x14ac:dyDescent="0.2">
      <c r="B6" s="753"/>
      <c r="AK6" s="226"/>
    </row>
    <row r="7" spans="2:38" ht="13.5" thickBot="1" x14ac:dyDescent="0.25">
      <c r="B7" s="2446" t="s">
        <v>64</v>
      </c>
      <c r="AK7" s="1978"/>
    </row>
    <row r="8" spans="2:38" ht="60" customHeight="1" x14ac:dyDescent="0.2">
      <c r="B8" s="1979"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80"/>
      <c r="C9" s="758" t="s">
        <v>73</v>
      </c>
      <c r="D9" s="759"/>
      <c r="E9" s="1981"/>
      <c r="F9" s="1982"/>
      <c r="G9" s="1981"/>
      <c r="H9" s="1981"/>
      <c r="I9" s="1981"/>
      <c r="J9" s="1981"/>
      <c r="K9" s="1981"/>
      <c r="L9" s="1981"/>
      <c r="M9" s="1981"/>
      <c r="N9" s="1981"/>
      <c r="O9" s="1981"/>
      <c r="P9" s="1981"/>
      <c r="Q9" s="1981"/>
      <c r="R9" s="1981"/>
      <c r="S9" s="1981"/>
      <c r="T9" s="1981"/>
      <c r="U9" s="1981"/>
      <c r="V9" s="1981"/>
      <c r="W9" s="1981"/>
      <c r="X9" s="1981"/>
      <c r="Y9" s="1981"/>
      <c r="Z9" s="1981"/>
      <c r="AA9" s="1981"/>
      <c r="AB9" s="1981"/>
      <c r="AC9" s="1981"/>
      <c r="AD9" s="1981"/>
      <c r="AE9" s="1981"/>
      <c r="AF9" s="1981"/>
      <c r="AG9" s="1981"/>
      <c r="AH9" s="1981"/>
      <c r="AI9" s="1981"/>
      <c r="AJ9" s="1981"/>
      <c r="AK9" s="1983" t="s">
        <v>665</v>
      </c>
      <c r="AL9" s="19"/>
    </row>
    <row r="10" spans="2:38" ht="18" customHeight="1" thickTop="1" x14ac:dyDescent="0.2">
      <c r="B10" s="2536" t="s">
        <v>1738</v>
      </c>
      <c r="C10" s="2537"/>
      <c r="D10" s="2538"/>
      <c r="E10" s="4052">
        <f>IF(SUM(E11:E30)=0,"NO",SUM(E11:E30))</f>
        <v>1193.6537599999999</v>
      </c>
      <c r="F10" s="4052">
        <f t="shared" ref="F10:AJ10" si="0">IF(SUM(F11:F30)=0,"NO",SUM(F11:F30))</f>
        <v>1193.6537599999999</v>
      </c>
      <c r="G10" s="4052">
        <f t="shared" si="0"/>
        <v>1116.992</v>
      </c>
      <c r="H10" s="4052">
        <f t="shared" si="0"/>
        <v>1533.136</v>
      </c>
      <c r="I10" s="4052">
        <f t="shared" si="0"/>
        <v>861.51013286795262</v>
      </c>
      <c r="J10" s="4052">
        <f t="shared" si="0"/>
        <v>862.28099757385166</v>
      </c>
      <c r="K10" s="4052">
        <f t="shared" si="0"/>
        <v>255.3631786309484</v>
      </c>
      <c r="L10" s="4052">
        <f t="shared" si="0"/>
        <v>426.82299941723312</v>
      </c>
      <c r="M10" s="4052">
        <f t="shared" si="0"/>
        <v>607.0172347661329</v>
      </c>
      <c r="N10" s="4052">
        <f t="shared" si="0"/>
        <v>904.91759376843322</v>
      </c>
      <c r="O10" s="4052">
        <f t="shared" si="0"/>
        <v>1150.4928811431278</v>
      </c>
      <c r="P10" s="4052">
        <f t="shared" si="0"/>
        <v>1547.7184967079177</v>
      </c>
      <c r="Q10" s="4052">
        <f t="shared" si="0"/>
        <v>1939.8840539305438</v>
      </c>
      <c r="R10" s="4052">
        <f t="shared" si="0"/>
        <v>2431.4413681307883</v>
      </c>
      <c r="S10" s="4052">
        <f t="shared" si="0"/>
        <v>2925.3286647757277</v>
      </c>
      <c r="T10" s="4052">
        <f t="shared" si="0"/>
        <v>3699.5141646572242</v>
      </c>
      <c r="U10" s="4052">
        <f t="shared" si="0"/>
        <v>4108.7147366727795</v>
      </c>
      <c r="V10" s="4052">
        <f t="shared" si="0"/>
        <v>4706.3765189513442</v>
      </c>
      <c r="W10" s="4052">
        <f t="shared" si="0"/>
        <v>5286.3167534213235</v>
      </c>
      <c r="X10" s="4052">
        <f t="shared" si="0"/>
        <v>6141.5462216641918</v>
      </c>
      <c r="Y10" s="4052">
        <f t="shared" si="0"/>
        <v>6735.332259575277</v>
      </c>
      <c r="Z10" s="4052">
        <f t="shared" si="0"/>
        <v>7409.828679370049</v>
      </c>
      <c r="AA10" s="4052">
        <f t="shared" si="0"/>
        <v>7816.4186628708085</v>
      </c>
      <c r="AB10" s="4052">
        <f t="shared" si="0"/>
        <v>8187.2588327414178</v>
      </c>
      <c r="AC10" s="4052">
        <f t="shared" si="0"/>
        <v>8837.371668775806</v>
      </c>
      <c r="AD10" s="4052">
        <f t="shared" si="0"/>
        <v>9343.4630293335176</v>
      </c>
      <c r="AE10" s="4052">
        <f t="shared" si="0"/>
        <v>9705.2434129086032</v>
      </c>
      <c r="AF10" s="4052">
        <f t="shared" si="0"/>
        <v>9922.2936700768205</v>
      </c>
      <c r="AG10" s="4052">
        <f t="shared" si="0"/>
        <v>9891.6117285115215</v>
      </c>
      <c r="AH10" s="4052">
        <f t="shared" si="0"/>
        <v>10688.479613937492</v>
      </c>
      <c r="AI10" s="4052">
        <f t="shared" si="0"/>
        <v>10949.191718307842</v>
      </c>
      <c r="AJ10" s="4052">
        <f t="shared" si="0"/>
        <v>11405.410872526387</v>
      </c>
      <c r="AK10" s="4058">
        <f>IF(AJ10="NO",IF(E10="NO","NA",-100),IF(E10="NO",100,AJ10/E10*100))</f>
        <v>955.50412144023971</v>
      </c>
      <c r="AL10" s="19"/>
    </row>
    <row r="11" spans="2:38" ht="18" customHeight="1" x14ac:dyDescent="0.2">
      <c r="B11" s="780" t="s">
        <v>559</v>
      </c>
      <c r="C11" s="2230"/>
      <c r="D11" s="2230"/>
      <c r="E11" s="4053">
        <v>1193.6537599999999</v>
      </c>
      <c r="F11" s="4053">
        <v>1193.6537599999999</v>
      </c>
      <c r="G11" s="4053">
        <v>1116.992</v>
      </c>
      <c r="H11" s="4053">
        <v>1533.136</v>
      </c>
      <c r="I11" s="4053">
        <v>860.26312880181251</v>
      </c>
      <c r="J11" s="4053">
        <v>761.91465832512847</v>
      </c>
      <c r="K11" s="4053">
        <v>0.14915784635119564</v>
      </c>
      <c r="L11" s="4053">
        <v>0.24930767116679534</v>
      </c>
      <c r="M11" s="4053">
        <v>0.35455927483823002</v>
      </c>
      <c r="N11" s="4053">
        <v>0.52856312384360105</v>
      </c>
      <c r="O11" s="4053">
        <v>0.67200385472055513</v>
      </c>
      <c r="P11" s="4053">
        <v>0.90402366920915567</v>
      </c>
      <c r="Q11" s="4053">
        <v>1.133087899385347</v>
      </c>
      <c r="R11" s="4053">
        <v>1.4202069379928994</v>
      </c>
      <c r="S11" s="4053">
        <v>1.708686921296354</v>
      </c>
      <c r="T11" s="4053" t="s">
        <v>2146</v>
      </c>
      <c r="U11" s="4053" t="s">
        <v>2146</v>
      </c>
      <c r="V11" s="4053">
        <v>423.94819334680994</v>
      </c>
      <c r="W11" s="4053">
        <v>477.50485258584433</v>
      </c>
      <c r="X11" s="4053">
        <v>475.68545438258434</v>
      </c>
      <c r="Y11" s="4053">
        <v>467.16196871434829</v>
      </c>
      <c r="Z11" s="4053">
        <v>517.98236288593125</v>
      </c>
      <c r="AA11" s="4053">
        <v>564.129622141396</v>
      </c>
      <c r="AB11" s="4053">
        <v>597.6844968575607</v>
      </c>
      <c r="AC11" s="4053">
        <v>440.8262817019924</v>
      </c>
      <c r="AD11" s="4053">
        <v>467.03155048367813</v>
      </c>
      <c r="AE11" s="4053">
        <v>475.99131790253966</v>
      </c>
      <c r="AF11" s="4053">
        <v>609.25969149957803</v>
      </c>
      <c r="AG11" s="4053">
        <v>607.37572486099134</v>
      </c>
      <c r="AH11" s="4053">
        <v>656.30589143172017</v>
      </c>
      <c r="AI11" s="4053">
        <v>672.31442550261875</v>
      </c>
      <c r="AJ11" s="4053">
        <v>700.32770049705232</v>
      </c>
      <c r="AK11" s="4059">
        <f t="shared" ref="AK11:AK42" si="1">IF(AJ11="NO",IF(E11="NO","NA",-100),IF(E11="NO",100,AJ11/E11*100))</f>
        <v>58.670924849853648</v>
      </c>
      <c r="AL11" s="19"/>
    </row>
    <row r="12" spans="2:38" ht="18" customHeight="1" x14ac:dyDescent="0.2">
      <c r="B12" s="780" t="s">
        <v>560</v>
      </c>
      <c r="C12" s="2230"/>
      <c r="D12" s="2230"/>
      <c r="E12" s="4053" t="s">
        <v>2146</v>
      </c>
      <c r="F12" s="4053" t="s">
        <v>2146</v>
      </c>
      <c r="G12" s="4053" t="s">
        <v>2146</v>
      </c>
      <c r="H12" s="4053" t="s">
        <v>2146</v>
      </c>
      <c r="I12" s="4053">
        <v>6.219145773520179E-3</v>
      </c>
      <c r="J12" s="4053">
        <v>0.50055401701652236</v>
      </c>
      <c r="K12" s="4053">
        <v>1.2728211894436872</v>
      </c>
      <c r="L12" s="4053">
        <v>2.1274381087858374</v>
      </c>
      <c r="M12" s="4053">
        <v>3.0255904665270714</v>
      </c>
      <c r="N12" s="4053">
        <v>4.5104321391356059</v>
      </c>
      <c r="O12" s="4053">
        <v>5.7344669864851774</v>
      </c>
      <c r="P12" s="4053">
        <v>7.7143811745497253</v>
      </c>
      <c r="Q12" s="4053">
        <v>9.669074226535626</v>
      </c>
      <c r="R12" s="4053">
        <v>12.119171255772219</v>
      </c>
      <c r="S12" s="4053">
        <v>14.580881748792185</v>
      </c>
      <c r="T12" s="4053">
        <v>14.773242596106497</v>
      </c>
      <c r="U12" s="4053">
        <v>27.887166999665439</v>
      </c>
      <c r="V12" s="4053">
        <v>51.644826147638263</v>
      </c>
      <c r="W12" s="4053">
        <v>60.711045294795056</v>
      </c>
      <c r="X12" s="4053">
        <v>77.51677180766707</v>
      </c>
      <c r="Y12" s="4053">
        <v>100.29260537205082</v>
      </c>
      <c r="Z12" s="4053">
        <v>125.587638948068</v>
      </c>
      <c r="AA12" s="4053">
        <v>137.30632168218619</v>
      </c>
      <c r="AB12" s="4053">
        <v>135.62309814198377</v>
      </c>
      <c r="AC12" s="4053">
        <v>228.14224727734265</v>
      </c>
      <c r="AD12" s="4053">
        <v>245.68479074274552</v>
      </c>
      <c r="AE12" s="4053">
        <v>267.61094642216466</v>
      </c>
      <c r="AF12" s="4053">
        <v>256.60502075854345</v>
      </c>
      <c r="AG12" s="4053">
        <v>255.81154089248992</v>
      </c>
      <c r="AH12" s="4053">
        <v>276.41970943503259</v>
      </c>
      <c r="AI12" s="4053">
        <v>283.16210561664457</v>
      </c>
      <c r="AJ12" s="4053">
        <v>294.96059993976087</v>
      </c>
      <c r="AK12" s="4059">
        <f t="shared" si="1"/>
        <v>100</v>
      </c>
      <c r="AL12" s="19"/>
    </row>
    <row r="13" spans="2:38" ht="18" customHeight="1" x14ac:dyDescent="0.2">
      <c r="B13" s="780" t="s">
        <v>561</v>
      </c>
      <c r="C13" s="2230"/>
      <c r="D13" s="2230"/>
      <c r="E13" s="4053" t="s">
        <v>2146</v>
      </c>
      <c r="F13" s="4053" t="s">
        <v>2146</v>
      </c>
      <c r="G13" s="4053" t="s">
        <v>2146</v>
      </c>
      <c r="H13" s="4053" t="s">
        <v>2146</v>
      </c>
      <c r="I13" s="4053" t="s">
        <v>2146</v>
      </c>
      <c r="J13" s="4053" t="s">
        <v>2146</v>
      </c>
      <c r="K13" s="4053" t="s">
        <v>2146</v>
      </c>
      <c r="L13" s="4053" t="s">
        <v>2146</v>
      </c>
      <c r="M13" s="4053" t="s">
        <v>2146</v>
      </c>
      <c r="N13" s="4053" t="s">
        <v>2146</v>
      </c>
      <c r="O13" s="4053" t="s">
        <v>2146</v>
      </c>
      <c r="P13" s="4053" t="s">
        <v>2146</v>
      </c>
      <c r="Q13" s="4053" t="s">
        <v>2146</v>
      </c>
      <c r="R13" s="4053" t="s">
        <v>2146</v>
      </c>
      <c r="S13" s="4053" t="s">
        <v>2146</v>
      </c>
      <c r="T13" s="4053" t="s">
        <v>2146</v>
      </c>
      <c r="U13" s="4053" t="s">
        <v>2146</v>
      </c>
      <c r="V13" s="4053" t="s">
        <v>2146</v>
      </c>
      <c r="W13" s="4053" t="s">
        <v>2146</v>
      </c>
      <c r="X13" s="4053" t="s">
        <v>2146</v>
      </c>
      <c r="Y13" s="4053" t="s">
        <v>2146</v>
      </c>
      <c r="Z13" s="4053" t="s">
        <v>2146</v>
      </c>
      <c r="AA13" s="4053" t="s">
        <v>2146</v>
      </c>
      <c r="AB13" s="4053" t="s">
        <v>2146</v>
      </c>
      <c r="AC13" s="4053" t="s">
        <v>2146</v>
      </c>
      <c r="AD13" s="4053" t="s">
        <v>2146</v>
      </c>
      <c r="AE13" s="4053" t="s">
        <v>2146</v>
      </c>
      <c r="AF13" s="4053" t="s">
        <v>2146</v>
      </c>
      <c r="AG13" s="4053" t="s">
        <v>2146</v>
      </c>
      <c r="AH13" s="4053" t="s">
        <v>2146</v>
      </c>
      <c r="AI13" s="4053" t="s">
        <v>2146</v>
      </c>
      <c r="AJ13" s="4053" t="s">
        <v>2146</v>
      </c>
      <c r="AK13" s="4059" t="str">
        <f t="shared" si="1"/>
        <v>NA</v>
      </c>
      <c r="AL13" s="19"/>
    </row>
    <row r="14" spans="2:38" ht="18" customHeight="1" x14ac:dyDescent="0.2">
      <c r="B14" s="780" t="s">
        <v>562</v>
      </c>
      <c r="C14" s="2230"/>
      <c r="D14" s="2230"/>
      <c r="E14" s="4053" t="s">
        <v>2146</v>
      </c>
      <c r="F14" s="4053" t="s">
        <v>2146</v>
      </c>
      <c r="G14" s="4053" t="s">
        <v>2146</v>
      </c>
      <c r="H14" s="4053" t="s">
        <v>2146</v>
      </c>
      <c r="I14" s="4053">
        <v>2.2502087056192863E-4</v>
      </c>
      <c r="J14" s="4053">
        <v>1.8111024371209466E-2</v>
      </c>
      <c r="K14" s="4053">
        <v>4.6053162692819886E-2</v>
      </c>
      <c r="L14" s="4053">
        <v>7.6974876090522448E-2</v>
      </c>
      <c r="M14" s="4053">
        <v>0.1094717868876119</v>
      </c>
      <c r="N14" s="4053">
        <v>0.16319626577659646</v>
      </c>
      <c r="O14" s="4053">
        <v>0.20748424309359001</v>
      </c>
      <c r="P14" s="4053">
        <v>0.2791214148950838</v>
      </c>
      <c r="Q14" s="4053">
        <v>0.34984603661274732</v>
      </c>
      <c r="R14" s="4053">
        <v>0.43849534417962105</v>
      </c>
      <c r="S14" s="4053">
        <v>0.52756484960419758</v>
      </c>
      <c r="T14" s="4053" t="s">
        <v>2146</v>
      </c>
      <c r="U14" s="4053" t="s">
        <v>2146</v>
      </c>
      <c r="V14" s="4053" t="s">
        <v>2146</v>
      </c>
      <c r="W14" s="4053" t="s">
        <v>2146</v>
      </c>
      <c r="X14" s="4053" t="s">
        <v>2146</v>
      </c>
      <c r="Y14" s="4053" t="s">
        <v>2146</v>
      </c>
      <c r="Z14" s="4053" t="s">
        <v>2146</v>
      </c>
      <c r="AA14" s="4053" t="s">
        <v>2146</v>
      </c>
      <c r="AB14" s="4053" t="s">
        <v>2146</v>
      </c>
      <c r="AC14" s="4053" t="s">
        <v>2146</v>
      </c>
      <c r="AD14" s="4053" t="s">
        <v>2146</v>
      </c>
      <c r="AE14" s="4053" t="s">
        <v>2146</v>
      </c>
      <c r="AF14" s="4053" t="s">
        <v>2146</v>
      </c>
      <c r="AG14" s="4053" t="s">
        <v>2146</v>
      </c>
      <c r="AH14" s="4053" t="s">
        <v>2146</v>
      </c>
      <c r="AI14" s="4053" t="s">
        <v>2146</v>
      </c>
      <c r="AJ14" s="4053" t="s">
        <v>2146</v>
      </c>
      <c r="AK14" s="4059" t="str">
        <f t="shared" si="1"/>
        <v>NA</v>
      </c>
      <c r="AL14" s="19"/>
    </row>
    <row r="15" spans="2:38" ht="18" customHeight="1" x14ac:dyDescent="0.2">
      <c r="B15" s="780" t="s">
        <v>563</v>
      </c>
      <c r="C15" s="2230"/>
      <c r="D15" s="2230"/>
      <c r="E15" s="4053" t="s">
        <v>2146</v>
      </c>
      <c r="F15" s="4053" t="s">
        <v>2146</v>
      </c>
      <c r="G15" s="4053" t="s">
        <v>2146</v>
      </c>
      <c r="H15" s="4053" t="s">
        <v>2146</v>
      </c>
      <c r="I15" s="4053">
        <v>0.52703168385083365</v>
      </c>
      <c r="J15" s="4053">
        <v>42.418659419394068</v>
      </c>
      <c r="K15" s="4053">
        <v>107.86322095386893</v>
      </c>
      <c r="L15" s="4053">
        <v>180.28638169823643</v>
      </c>
      <c r="M15" s="4053">
        <v>256.39888439441125</v>
      </c>
      <c r="N15" s="4053">
        <v>382.22944625368359</v>
      </c>
      <c r="O15" s="4053">
        <v>485.95834571725072</v>
      </c>
      <c r="P15" s="4053">
        <v>653.74304580560101</v>
      </c>
      <c r="Q15" s="4053">
        <v>819.39042056018013</v>
      </c>
      <c r="R15" s="4053">
        <v>1027.0200227499988</v>
      </c>
      <c r="S15" s="4053">
        <v>1235.6337895817128</v>
      </c>
      <c r="T15" s="4053">
        <v>812.31878139680521</v>
      </c>
      <c r="U15" s="4053">
        <v>905.1818010710964</v>
      </c>
      <c r="V15" s="4053">
        <v>1052.6801861843544</v>
      </c>
      <c r="W15" s="4053">
        <v>1260.0083437967812</v>
      </c>
      <c r="X15" s="4053">
        <v>1489.0582283874314</v>
      </c>
      <c r="Y15" s="4053">
        <v>1653.3616568084744</v>
      </c>
      <c r="Z15" s="4053">
        <v>1887.1945099186505</v>
      </c>
      <c r="AA15" s="4053">
        <v>1913.5473271860019</v>
      </c>
      <c r="AB15" s="4053">
        <v>2050.1330268409474</v>
      </c>
      <c r="AC15" s="4053">
        <v>2532.0978316024411</v>
      </c>
      <c r="AD15" s="4053">
        <v>2687.1370093349778</v>
      </c>
      <c r="AE15" s="4053">
        <v>2813.3354250450761</v>
      </c>
      <c r="AF15" s="4053">
        <v>2742.3880716372564</v>
      </c>
      <c r="AG15" s="4053">
        <v>2733.9079970334278</v>
      </c>
      <c r="AH15" s="4053">
        <v>2954.1515270403424</v>
      </c>
      <c r="AI15" s="4053">
        <v>3026.2088344462786</v>
      </c>
      <c r="AJ15" s="4053">
        <v>3152.301652113475</v>
      </c>
      <c r="AK15" s="4059">
        <f t="shared" si="1"/>
        <v>100</v>
      </c>
      <c r="AL15" s="19"/>
    </row>
    <row r="16" spans="2:38" ht="18" customHeight="1" x14ac:dyDescent="0.2">
      <c r="B16" s="780" t="s">
        <v>564</v>
      </c>
      <c r="C16" s="2230"/>
      <c r="D16" s="2230"/>
      <c r="E16" s="4053" t="s">
        <v>2146</v>
      </c>
      <c r="F16" s="4053" t="s">
        <v>2146</v>
      </c>
      <c r="G16" s="4053" t="s">
        <v>2146</v>
      </c>
      <c r="H16" s="4053" t="s">
        <v>2146</v>
      </c>
      <c r="I16" s="4053">
        <v>2.0847773957222086E-4</v>
      </c>
      <c r="J16" s="4053">
        <v>1.6779534328608056E-2</v>
      </c>
      <c r="K16" s="4053">
        <v>4.2667416735055641E-2</v>
      </c>
      <c r="L16" s="4053">
        <v>7.1315821199738089E-2</v>
      </c>
      <c r="M16" s="4053">
        <v>0.10142361737499453</v>
      </c>
      <c r="N16" s="4053">
        <v>0.15119836889249216</v>
      </c>
      <c r="O16" s="4053">
        <v>0.19223037351595465</v>
      </c>
      <c r="P16" s="4053">
        <v>0.25860090887663811</v>
      </c>
      <c r="Q16" s="4053">
        <v>0.32412598319964858</v>
      </c>
      <c r="R16" s="4053">
        <v>0.40625795260334036</v>
      </c>
      <c r="S16" s="4053">
        <v>0.48877922767156096</v>
      </c>
      <c r="T16" s="4053">
        <v>0.50143339733775916</v>
      </c>
      <c r="U16" s="4053">
        <v>0.68294511004909153</v>
      </c>
      <c r="V16" s="4053">
        <v>0.69175915588827352</v>
      </c>
      <c r="W16" s="4053">
        <v>0.88126388345842921</v>
      </c>
      <c r="X16" s="4053">
        <v>0.94759092118055221</v>
      </c>
      <c r="Y16" s="4053">
        <v>1.4220383205440534</v>
      </c>
      <c r="Z16" s="4053">
        <v>1.6426172028996102</v>
      </c>
      <c r="AA16" s="4053">
        <v>1.8001777846447551</v>
      </c>
      <c r="AB16" s="4053">
        <v>1.9374454901955709</v>
      </c>
      <c r="AC16" s="4053">
        <v>1.908092610482522</v>
      </c>
      <c r="AD16" s="4053">
        <v>2.092492046312076</v>
      </c>
      <c r="AE16" s="4053">
        <v>2.5360904178591279</v>
      </c>
      <c r="AF16" s="4053">
        <v>5.0760608133110434</v>
      </c>
      <c r="AG16" s="4053">
        <v>5.0603645029180528</v>
      </c>
      <c r="AH16" s="4053">
        <v>5.4680272854453804</v>
      </c>
      <c r="AI16" s="4053">
        <v>5.6014027468612451</v>
      </c>
      <c r="AJ16" s="4053">
        <v>5.8347959770973672</v>
      </c>
      <c r="AK16" s="4059">
        <f t="shared" si="1"/>
        <v>100</v>
      </c>
      <c r="AL16" s="19"/>
    </row>
    <row r="17" spans="2:38" ht="18" customHeight="1" x14ac:dyDescent="0.2">
      <c r="B17" s="780" t="s">
        <v>565</v>
      </c>
      <c r="C17" s="2230"/>
      <c r="D17" s="2230"/>
      <c r="E17" s="4053" t="s">
        <v>2146</v>
      </c>
      <c r="F17" s="4053" t="s">
        <v>2146</v>
      </c>
      <c r="G17" s="4053" t="s">
        <v>2146</v>
      </c>
      <c r="H17" s="4053" t="s">
        <v>2146</v>
      </c>
      <c r="I17" s="4053">
        <v>0.6180150944693622</v>
      </c>
      <c r="J17" s="4053">
        <v>49.741548016229501</v>
      </c>
      <c r="K17" s="4053">
        <v>126.48404399619012</v>
      </c>
      <c r="L17" s="4053">
        <v>211.40988033711901</v>
      </c>
      <c r="M17" s="4053">
        <v>300.66196324868355</v>
      </c>
      <c r="N17" s="4053">
        <v>448.21511604281642</v>
      </c>
      <c r="O17" s="4053">
        <v>569.85111548174837</v>
      </c>
      <c r="P17" s="4053">
        <v>766.60110310671246</v>
      </c>
      <c r="Q17" s="4053">
        <v>960.84479109441168</v>
      </c>
      <c r="R17" s="4053">
        <v>1204.3182522616817</v>
      </c>
      <c r="S17" s="4053">
        <v>1448.9457780189407</v>
      </c>
      <c r="T17" s="4053">
        <v>1369.2712643163204</v>
      </c>
      <c r="U17" s="4053">
        <v>1586.0976609274944</v>
      </c>
      <c r="V17" s="4053">
        <v>1547.3940906495202</v>
      </c>
      <c r="W17" s="4053">
        <v>1663.0105748655285</v>
      </c>
      <c r="X17" s="4053">
        <v>1889.7394281660718</v>
      </c>
      <c r="Y17" s="4053">
        <v>2108.9059365157755</v>
      </c>
      <c r="Z17" s="4053">
        <v>2465.9686663499924</v>
      </c>
      <c r="AA17" s="4053">
        <v>2434.2781600764383</v>
      </c>
      <c r="AB17" s="4053">
        <v>2329.7188006560455</v>
      </c>
      <c r="AC17" s="4053">
        <v>2744.2244507214332</v>
      </c>
      <c r="AD17" s="4053">
        <v>2994.2318323797381</v>
      </c>
      <c r="AE17" s="4053">
        <v>3225.3359738621216</v>
      </c>
      <c r="AF17" s="4053">
        <v>3230.1994242869332</v>
      </c>
      <c r="AG17" s="4053">
        <v>3220.2109283528603</v>
      </c>
      <c r="AH17" s="4053">
        <v>3479.6310050331535</v>
      </c>
      <c r="AI17" s="4053">
        <v>3564.5057444274798</v>
      </c>
      <c r="AJ17" s="4053">
        <v>3713.0277392712387</v>
      </c>
      <c r="AK17" s="4059">
        <f t="shared" si="1"/>
        <v>100</v>
      </c>
      <c r="AL17" s="19"/>
    </row>
    <row r="18" spans="2:38" ht="18" customHeight="1" x14ac:dyDescent="0.2">
      <c r="B18" s="780" t="s">
        <v>566</v>
      </c>
      <c r="C18" s="2230"/>
      <c r="D18" s="2230"/>
      <c r="E18" s="4053" t="s">
        <v>2146</v>
      </c>
      <c r="F18" s="4053" t="s">
        <v>2146</v>
      </c>
      <c r="G18" s="4053" t="s">
        <v>2146</v>
      </c>
      <c r="H18" s="4053" t="s">
        <v>2146</v>
      </c>
      <c r="I18" s="4053" t="s">
        <v>2146</v>
      </c>
      <c r="J18" s="4053" t="s">
        <v>2146</v>
      </c>
      <c r="K18" s="4053" t="s">
        <v>2146</v>
      </c>
      <c r="L18" s="4053" t="s">
        <v>2146</v>
      </c>
      <c r="M18" s="4053" t="s">
        <v>2146</v>
      </c>
      <c r="N18" s="4053" t="s">
        <v>2146</v>
      </c>
      <c r="O18" s="4053" t="s">
        <v>2146</v>
      </c>
      <c r="P18" s="4053" t="s">
        <v>2146</v>
      </c>
      <c r="Q18" s="4053" t="s">
        <v>2146</v>
      </c>
      <c r="R18" s="4053" t="s">
        <v>2146</v>
      </c>
      <c r="S18" s="4053" t="s">
        <v>2146</v>
      </c>
      <c r="T18" s="4053" t="s">
        <v>2146</v>
      </c>
      <c r="U18" s="4053" t="s">
        <v>2146</v>
      </c>
      <c r="V18" s="4053" t="s">
        <v>2146</v>
      </c>
      <c r="W18" s="4053" t="s">
        <v>2146</v>
      </c>
      <c r="X18" s="4053" t="s">
        <v>2146</v>
      </c>
      <c r="Y18" s="4053" t="s">
        <v>2146</v>
      </c>
      <c r="Z18" s="4053" t="s">
        <v>2146</v>
      </c>
      <c r="AA18" s="4053" t="s">
        <v>2146</v>
      </c>
      <c r="AB18" s="4053" t="s">
        <v>2146</v>
      </c>
      <c r="AC18" s="4053" t="s">
        <v>2146</v>
      </c>
      <c r="AD18" s="4053" t="s">
        <v>2146</v>
      </c>
      <c r="AE18" s="4053" t="s">
        <v>2146</v>
      </c>
      <c r="AF18" s="4053" t="s">
        <v>2146</v>
      </c>
      <c r="AG18" s="4053" t="s">
        <v>2146</v>
      </c>
      <c r="AH18" s="4053" t="s">
        <v>2146</v>
      </c>
      <c r="AI18" s="4053" t="s">
        <v>2146</v>
      </c>
      <c r="AJ18" s="4053" t="s">
        <v>2146</v>
      </c>
      <c r="AK18" s="4059" t="str">
        <f t="shared" si="1"/>
        <v>NA</v>
      </c>
      <c r="AL18" s="19"/>
    </row>
    <row r="19" spans="2:38" ht="18" customHeight="1" x14ac:dyDescent="0.2">
      <c r="B19" s="780" t="s">
        <v>567</v>
      </c>
      <c r="C19" s="2230"/>
      <c r="D19" s="2230"/>
      <c r="E19" s="4053" t="s">
        <v>2146</v>
      </c>
      <c r="F19" s="4053" t="s">
        <v>2146</v>
      </c>
      <c r="G19" s="4053" t="s">
        <v>2146</v>
      </c>
      <c r="H19" s="4053" t="s">
        <v>2146</v>
      </c>
      <c r="I19" s="4053">
        <v>7.6385669257768199E-2</v>
      </c>
      <c r="J19" s="4053">
        <v>6.1479751370788938</v>
      </c>
      <c r="K19" s="4053">
        <v>15.633223909156396</v>
      </c>
      <c r="L19" s="4053">
        <v>26.129920355943813</v>
      </c>
      <c r="M19" s="4053">
        <v>37.161333903704097</v>
      </c>
      <c r="N19" s="4053">
        <v>55.398665690803881</v>
      </c>
      <c r="O19" s="4053">
        <v>70.432679109129765</v>
      </c>
      <c r="P19" s="4053">
        <v>94.750660361828025</v>
      </c>
      <c r="Q19" s="4053">
        <v>118.7588670202385</v>
      </c>
      <c r="R19" s="4053">
        <v>148.85179427104549</v>
      </c>
      <c r="S19" s="4053">
        <v>179.08736204449011</v>
      </c>
      <c r="T19" s="4053">
        <v>1317.6153091308965</v>
      </c>
      <c r="U19" s="4053">
        <v>1468.6136899700532</v>
      </c>
      <c r="V19" s="4053">
        <v>1509.7337173247049</v>
      </c>
      <c r="W19" s="4053">
        <v>1678.5459476322731</v>
      </c>
      <c r="X19" s="4053">
        <v>2019.0846843791464</v>
      </c>
      <c r="Y19" s="4053">
        <v>2164.5195883235751</v>
      </c>
      <c r="Z19" s="4053">
        <v>2165.0325239219169</v>
      </c>
      <c r="AA19" s="4053">
        <v>2540.6801933513448</v>
      </c>
      <c r="AB19" s="4053">
        <v>2788.7189483509346</v>
      </c>
      <c r="AC19" s="4053">
        <v>2623.2305734584606</v>
      </c>
      <c r="AD19" s="4053">
        <v>2660.4211737169958</v>
      </c>
      <c r="AE19" s="4053">
        <v>2645.8366557643308</v>
      </c>
      <c r="AF19" s="4053">
        <v>2779.5718644450799</v>
      </c>
      <c r="AG19" s="4053">
        <v>2770.9768092736467</v>
      </c>
      <c r="AH19" s="4053">
        <v>2994.2066014626866</v>
      </c>
      <c r="AI19" s="4053">
        <v>3067.240927408262</v>
      </c>
      <c r="AJ19" s="4053">
        <v>3195.0434262307917</v>
      </c>
      <c r="AK19" s="4059">
        <f t="shared" si="1"/>
        <v>100</v>
      </c>
      <c r="AL19" s="19"/>
    </row>
    <row r="20" spans="2:38" ht="18" customHeight="1" x14ac:dyDescent="0.2">
      <c r="B20" s="780" t="s">
        <v>568</v>
      </c>
      <c r="C20" s="2230"/>
      <c r="D20" s="2230"/>
      <c r="E20" s="4053" t="s">
        <v>2146</v>
      </c>
      <c r="F20" s="4053" t="s">
        <v>2146</v>
      </c>
      <c r="G20" s="4053" t="s">
        <v>2146</v>
      </c>
      <c r="H20" s="4053" t="s">
        <v>2146</v>
      </c>
      <c r="I20" s="4053" t="s">
        <v>2146</v>
      </c>
      <c r="J20" s="4053" t="s">
        <v>2146</v>
      </c>
      <c r="K20" s="4053" t="s">
        <v>2146</v>
      </c>
      <c r="L20" s="4053" t="s">
        <v>2146</v>
      </c>
      <c r="M20" s="4053" t="s">
        <v>2146</v>
      </c>
      <c r="N20" s="4053" t="s">
        <v>2146</v>
      </c>
      <c r="O20" s="4053" t="s">
        <v>2146</v>
      </c>
      <c r="P20" s="4053" t="s">
        <v>2146</v>
      </c>
      <c r="Q20" s="4053" t="s">
        <v>2146</v>
      </c>
      <c r="R20" s="4053" t="s">
        <v>2146</v>
      </c>
      <c r="S20" s="4053" t="s">
        <v>2146</v>
      </c>
      <c r="T20" s="4053" t="s">
        <v>2146</v>
      </c>
      <c r="U20" s="4053" t="s">
        <v>2146</v>
      </c>
      <c r="V20" s="4053" t="s">
        <v>2146</v>
      </c>
      <c r="W20" s="4053" t="s">
        <v>2146</v>
      </c>
      <c r="X20" s="4053" t="s">
        <v>2146</v>
      </c>
      <c r="Y20" s="4053" t="s">
        <v>2146</v>
      </c>
      <c r="Z20" s="4053" t="s">
        <v>2146</v>
      </c>
      <c r="AA20" s="4053" t="s">
        <v>2146</v>
      </c>
      <c r="AB20" s="4053" t="s">
        <v>2146</v>
      </c>
      <c r="AC20" s="4053" t="s">
        <v>2146</v>
      </c>
      <c r="AD20" s="4053" t="s">
        <v>2146</v>
      </c>
      <c r="AE20" s="4053" t="s">
        <v>2146</v>
      </c>
      <c r="AF20" s="4053" t="s">
        <v>2146</v>
      </c>
      <c r="AG20" s="4053" t="s">
        <v>2146</v>
      </c>
      <c r="AH20" s="4053" t="s">
        <v>2146</v>
      </c>
      <c r="AI20" s="4053" t="s">
        <v>2146</v>
      </c>
      <c r="AJ20" s="4053" t="s">
        <v>2146</v>
      </c>
      <c r="AK20" s="4059" t="str">
        <f t="shared" si="1"/>
        <v>NA</v>
      </c>
      <c r="AL20" s="19"/>
    </row>
    <row r="21" spans="2:38" ht="18" customHeight="1" x14ac:dyDescent="0.2">
      <c r="B21" s="780" t="s">
        <v>569</v>
      </c>
      <c r="C21" s="2230"/>
      <c r="D21" s="2230"/>
      <c r="E21" s="4053" t="s">
        <v>2146</v>
      </c>
      <c r="F21" s="4053" t="s">
        <v>2146</v>
      </c>
      <c r="G21" s="4053" t="s">
        <v>2146</v>
      </c>
      <c r="H21" s="4053" t="s">
        <v>2146</v>
      </c>
      <c r="I21" s="4053" t="s">
        <v>2146</v>
      </c>
      <c r="J21" s="4053" t="s">
        <v>2146</v>
      </c>
      <c r="K21" s="4053" t="s">
        <v>2146</v>
      </c>
      <c r="L21" s="4053" t="s">
        <v>2146</v>
      </c>
      <c r="M21" s="4053" t="s">
        <v>2146</v>
      </c>
      <c r="N21" s="4053" t="s">
        <v>2146</v>
      </c>
      <c r="O21" s="4053" t="s">
        <v>2146</v>
      </c>
      <c r="P21" s="4053" t="s">
        <v>2146</v>
      </c>
      <c r="Q21" s="4053" t="s">
        <v>2146</v>
      </c>
      <c r="R21" s="4053" t="s">
        <v>2146</v>
      </c>
      <c r="S21" s="4053" t="s">
        <v>2146</v>
      </c>
      <c r="T21" s="4053">
        <v>2.7656219964601858</v>
      </c>
      <c r="U21" s="4053">
        <v>3.6555826052440592</v>
      </c>
      <c r="V21" s="4053">
        <v>4.6150792970217793</v>
      </c>
      <c r="W21" s="4053">
        <v>4.6593125146521057</v>
      </c>
      <c r="X21" s="4053">
        <v>4.7770487540206057</v>
      </c>
      <c r="Y21" s="4053">
        <v>6.1609998103255315</v>
      </c>
      <c r="Z21" s="4053">
        <v>6.9731132420838433</v>
      </c>
      <c r="AA21" s="4053">
        <v>10.594258844392975</v>
      </c>
      <c r="AB21" s="4053">
        <v>10.453063321342979</v>
      </c>
      <c r="AC21" s="4053">
        <v>10.883320190216308</v>
      </c>
      <c r="AD21" s="4053">
        <v>11.492660130285158</v>
      </c>
      <c r="AE21" s="4053">
        <v>12.512003212490704</v>
      </c>
      <c r="AF21" s="4053">
        <v>14.52958020050837</v>
      </c>
      <c r="AG21" s="4053">
        <v>14.48465150302134</v>
      </c>
      <c r="AH21" s="4053">
        <v>15.651534507645865</v>
      </c>
      <c r="AI21" s="4053">
        <v>16.033304847815909</v>
      </c>
      <c r="AJ21" s="4053">
        <v>16.701363364388229</v>
      </c>
      <c r="AK21" s="4059">
        <f t="shared" si="1"/>
        <v>100</v>
      </c>
      <c r="AL21" s="19"/>
    </row>
    <row r="22" spans="2:38" ht="18" customHeight="1" x14ac:dyDescent="0.2">
      <c r="B22" s="780" t="s">
        <v>570</v>
      </c>
      <c r="C22" s="2230"/>
      <c r="D22" s="2230"/>
      <c r="E22" s="4053" t="s">
        <v>2146</v>
      </c>
      <c r="F22" s="4053" t="s">
        <v>2146</v>
      </c>
      <c r="G22" s="4053" t="s">
        <v>2146</v>
      </c>
      <c r="H22" s="4053" t="s">
        <v>2146</v>
      </c>
      <c r="I22" s="4053" t="s">
        <v>2146</v>
      </c>
      <c r="J22" s="4053" t="s">
        <v>2146</v>
      </c>
      <c r="K22" s="4053" t="s">
        <v>2146</v>
      </c>
      <c r="L22" s="4053" t="s">
        <v>2146</v>
      </c>
      <c r="M22" s="4053" t="s">
        <v>2146</v>
      </c>
      <c r="N22" s="4053" t="s">
        <v>2146</v>
      </c>
      <c r="O22" s="4053" t="s">
        <v>2146</v>
      </c>
      <c r="P22" s="4053" t="s">
        <v>2146</v>
      </c>
      <c r="Q22" s="4053" t="s">
        <v>2146</v>
      </c>
      <c r="R22" s="4053" t="s">
        <v>2146</v>
      </c>
      <c r="S22" s="4053" t="s">
        <v>2146</v>
      </c>
      <c r="T22" s="4053" t="s">
        <v>2146</v>
      </c>
      <c r="U22" s="4053" t="s">
        <v>2146</v>
      </c>
      <c r="V22" s="4053" t="s">
        <v>2146</v>
      </c>
      <c r="W22" s="4053" t="s">
        <v>2146</v>
      </c>
      <c r="X22" s="4053" t="s">
        <v>2146</v>
      </c>
      <c r="Y22" s="4053" t="s">
        <v>2146</v>
      </c>
      <c r="Z22" s="4053" t="s">
        <v>2146</v>
      </c>
      <c r="AA22" s="4053" t="s">
        <v>2146</v>
      </c>
      <c r="AB22" s="4053" t="s">
        <v>2146</v>
      </c>
      <c r="AC22" s="4053" t="s">
        <v>2146</v>
      </c>
      <c r="AD22" s="4053" t="s">
        <v>2146</v>
      </c>
      <c r="AE22" s="4053" t="s">
        <v>2146</v>
      </c>
      <c r="AF22" s="4053" t="s">
        <v>2146</v>
      </c>
      <c r="AG22" s="4053" t="s">
        <v>2146</v>
      </c>
      <c r="AH22" s="4053" t="s">
        <v>2146</v>
      </c>
      <c r="AI22" s="4053" t="s">
        <v>2146</v>
      </c>
      <c r="AJ22" s="4053" t="s">
        <v>2146</v>
      </c>
      <c r="AK22" s="4059" t="str">
        <f t="shared" si="1"/>
        <v>NA</v>
      </c>
      <c r="AL22" s="19"/>
    </row>
    <row r="23" spans="2:38" ht="18" customHeight="1" x14ac:dyDescent="0.2">
      <c r="B23" s="780" t="s">
        <v>571</v>
      </c>
      <c r="C23" s="2230"/>
      <c r="D23" s="2230"/>
      <c r="E23" s="4053" t="s">
        <v>2146</v>
      </c>
      <c r="F23" s="4053" t="s">
        <v>2146</v>
      </c>
      <c r="G23" s="4053" t="s">
        <v>2146</v>
      </c>
      <c r="H23" s="4053" t="s">
        <v>2146</v>
      </c>
      <c r="I23" s="4053">
        <v>1.8914099925244492E-2</v>
      </c>
      <c r="J23" s="4053">
        <v>1.5223197912716231</v>
      </c>
      <c r="K23" s="4053">
        <v>3.8709925833560037</v>
      </c>
      <c r="L23" s="4053">
        <v>6.4701131698304826</v>
      </c>
      <c r="M23" s="4053">
        <v>9.2016367682548683</v>
      </c>
      <c r="N23" s="4053">
        <v>13.717440833897239</v>
      </c>
      <c r="O23" s="4053">
        <v>17.440060990724159</v>
      </c>
      <c r="P23" s="4053">
        <v>23.461514122745797</v>
      </c>
      <c r="Q23" s="4053">
        <v>29.406262976496468</v>
      </c>
      <c r="R23" s="4053">
        <v>36.857668961356559</v>
      </c>
      <c r="S23" s="4053">
        <v>44.344394622338783</v>
      </c>
      <c r="T23" s="4053">
        <v>36.072141718029286</v>
      </c>
      <c r="U23" s="4053">
        <v>37.286907640381571</v>
      </c>
      <c r="V23" s="4053">
        <v>42.980577505418005</v>
      </c>
      <c r="W23" s="4053">
        <v>57.309552969016799</v>
      </c>
      <c r="X23" s="4053">
        <v>90.591372407670477</v>
      </c>
      <c r="Y23" s="4053">
        <v>101.86541654238039</v>
      </c>
      <c r="Z23" s="4053">
        <v>92.370983329952068</v>
      </c>
      <c r="AA23" s="4053">
        <v>66.972750440798904</v>
      </c>
      <c r="AB23" s="4053">
        <v>138.81939317597994</v>
      </c>
      <c r="AC23" s="4053">
        <v>110.16030581565153</v>
      </c>
      <c r="AD23" s="4053">
        <v>115.23567478166251</v>
      </c>
      <c r="AE23" s="4053">
        <v>88.636337513698805</v>
      </c>
      <c r="AF23" s="4053">
        <v>105.8132471123979</v>
      </c>
      <c r="AG23" s="4053">
        <v>105.48604898939455</v>
      </c>
      <c r="AH23" s="4053">
        <v>113.98400130568186</v>
      </c>
      <c r="AI23" s="4053">
        <v>116.76428530474632</v>
      </c>
      <c r="AJ23" s="4053">
        <v>121.62949406674039</v>
      </c>
      <c r="AK23" s="4059">
        <f t="shared" si="1"/>
        <v>100</v>
      </c>
      <c r="AL23" s="19"/>
    </row>
    <row r="24" spans="2:38" ht="18" customHeight="1" x14ac:dyDescent="0.2">
      <c r="B24" s="780" t="s">
        <v>572</v>
      </c>
      <c r="C24" s="2230"/>
      <c r="D24" s="2230"/>
      <c r="E24" s="4053" t="s">
        <v>2146</v>
      </c>
      <c r="F24" s="4053" t="s">
        <v>2146</v>
      </c>
      <c r="G24" s="4053" t="s">
        <v>2146</v>
      </c>
      <c r="H24" s="4053" t="s">
        <v>2146</v>
      </c>
      <c r="I24" s="4053" t="s">
        <v>2146</v>
      </c>
      <c r="J24" s="4053" t="s">
        <v>2146</v>
      </c>
      <c r="K24" s="4053" t="s">
        <v>2146</v>
      </c>
      <c r="L24" s="4053" t="s">
        <v>2146</v>
      </c>
      <c r="M24" s="4053" t="s">
        <v>2146</v>
      </c>
      <c r="N24" s="4053" t="s">
        <v>2146</v>
      </c>
      <c r="O24" s="4053" t="s">
        <v>2146</v>
      </c>
      <c r="P24" s="4053" t="s">
        <v>2146</v>
      </c>
      <c r="Q24" s="4053" t="s">
        <v>2146</v>
      </c>
      <c r="R24" s="4053" t="s">
        <v>2146</v>
      </c>
      <c r="S24" s="4053" t="s">
        <v>2146</v>
      </c>
      <c r="T24" s="4053" t="s">
        <v>2146</v>
      </c>
      <c r="U24" s="4053" t="s">
        <v>2146</v>
      </c>
      <c r="V24" s="4053" t="s">
        <v>2146</v>
      </c>
      <c r="W24" s="4053" t="s">
        <v>2146</v>
      </c>
      <c r="X24" s="4053" t="s">
        <v>2146</v>
      </c>
      <c r="Y24" s="4053" t="s">
        <v>2146</v>
      </c>
      <c r="Z24" s="4053" t="s">
        <v>2146</v>
      </c>
      <c r="AA24" s="4053" t="s">
        <v>2146</v>
      </c>
      <c r="AB24" s="4053" t="s">
        <v>2146</v>
      </c>
      <c r="AC24" s="4053" t="s">
        <v>2146</v>
      </c>
      <c r="AD24" s="4053" t="s">
        <v>2146</v>
      </c>
      <c r="AE24" s="4053" t="s">
        <v>2146</v>
      </c>
      <c r="AF24" s="4053" t="s">
        <v>2146</v>
      </c>
      <c r="AG24" s="4053" t="s">
        <v>2146</v>
      </c>
      <c r="AH24" s="4053" t="s">
        <v>2146</v>
      </c>
      <c r="AI24" s="4053" t="s">
        <v>2146</v>
      </c>
      <c r="AJ24" s="4053" t="s">
        <v>2146</v>
      </c>
      <c r="AK24" s="4059" t="str">
        <f t="shared" si="1"/>
        <v>NA</v>
      </c>
      <c r="AL24" s="19"/>
    </row>
    <row r="25" spans="2:38" ht="18" customHeight="1" x14ac:dyDescent="0.2">
      <c r="B25" s="780" t="s">
        <v>573</v>
      </c>
      <c r="C25" s="2230"/>
      <c r="D25" s="2230"/>
      <c r="E25" s="4053" t="s">
        <v>2146</v>
      </c>
      <c r="F25" s="4053" t="s">
        <v>2146</v>
      </c>
      <c r="G25" s="4053" t="s">
        <v>2146</v>
      </c>
      <c r="H25" s="4053" t="s">
        <v>2146</v>
      </c>
      <c r="I25" s="4053" t="s">
        <v>2146</v>
      </c>
      <c r="J25" s="4053" t="s">
        <v>2146</v>
      </c>
      <c r="K25" s="4053" t="s">
        <v>2146</v>
      </c>
      <c r="L25" s="4053" t="s">
        <v>2146</v>
      </c>
      <c r="M25" s="4053" t="s">
        <v>2146</v>
      </c>
      <c r="N25" s="4053" t="s">
        <v>2146</v>
      </c>
      <c r="O25" s="4053" t="s">
        <v>2146</v>
      </c>
      <c r="P25" s="4053" t="s">
        <v>2146</v>
      </c>
      <c r="Q25" s="4053" t="s">
        <v>2146</v>
      </c>
      <c r="R25" s="4053" t="s">
        <v>2146</v>
      </c>
      <c r="S25" s="4053" t="s">
        <v>2146</v>
      </c>
      <c r="T25" s="4053" t="s">
        <v>2146</v>
      </c>
      <c r="U25" s="4053" t="s">
        <v>2146</v>
      </c>
      <c r="V25" s="4053" t="s">
        <v>2146</v>
      </c>
      <c r="W25" s="4053" t="s">
        <v>2146</v>
      </c>
      <c r="X25" s="4053" t="s">
        <v>2146</v>
      </c>
      <c r="Y25" s="4053" t="s">
        <v>2146</v>
      </c>
      <c r="Z25" s="4053" t="s">
        <v>2146</v>
      </c>
      <c r="AA25" s="4053" t="s">
        <v>2146</v>
      </c>
      <c r="AB25" s="4053" t="s">
        <v>2146</v>
      </c>
      <c r="AC25" s="4053" t="s">
        <v>2146</v>
      </c>
      <c r="AD25" s="4053" t="s">
        <v>2146</v>
      </c>
      <c r="AE25" s="4053" t="s">
        <v>2146</v>
      </c>
      <c r="AF25" s="4053" t="s">
        <v>2146</v>
      </c>
      <c r="AG25" s="4053" t="s">
        <v>2146</v>
      </c>
      <c r="AH25" s="4053" t="s">
        <v>2146</v>
      </c>
      <c r="AI25" s="4053" t="s">
        <v>2146</v>
      </c>
      <c r="AJ25" s="4053" t="s">
        <v>2146</v>
      </c>
      <c r="AK25" s="4059" t="str">
        <f t="shared" si="1"/>
        <v>NA</v>
      </c>
      <c r="AL25" s="19"/>
    </row>
    <row r="26" spans="2:38" ht="18" customHeight="1" x14ac:dyDescent="0.2">
      <c r="B26" s="780" t="s">
        <v>574</v>
      </c>
      <c r="C26" s="2230"/>
      <c r="D26" s="2230"/>
      <c r="E26" s="4053" t="s">
        <v>2146</v>
      </c>
      <c r="F26" s="4053" t="s">
        <v>2146</v>
      </c>
      <c r="G26" s="4053" t="s">
        <v>2146</v>
      </c>
      <c r="H26" s="4053" t="s">
        <v>2146</v>
      </c>
      <c r="I26" s="4053">
        <v>4.8742532864339682E-6</v>
      </c>
      <c r="J26" s="4053">
        <v>3.9230903267596353E-4</v>
      </c>
      <c r="K26" s="4053">
        <v>9.9757315419494465E-4</v>
      </c>
      <c r="L26" s="4053">
        <v>1.6673788605480397E-3</v>
      </c>
      <c r="M26" s="4053">
        <v>2.3713054512509747E-3</v>
      </c>
      <c r="N26" s="4053">
        <v>3.5350495836625338E-3</v>
      </c>
      <c r="O26" s="4053">
        <v>4.4943864596055953E-3</v>
      </c>
      <c r="P26" s="4053">
        <v>6.0461434997960868E-3</v>
      </c>
      <c r="Q26" s="4053">
        <v>7.5781334835618198E-3</v>
      </c>
      <c r="R26" s="4053">
        <v>9.4983961581700874E-3</v>
      </c>
      <c r="S26" s="4053">
        <v>1.142776088088503E-2</v>
      </c>
      <c r="T26" s="4053">
        <v>121.28095184884702</v>
      </c>
      <c r="U26" s="4053">
        <v>37.91165496522494</v>
      </c>
      <c r="V26" s="4053">
        <v>33.005457074316439</v>
      </c>
      <c r="W26" s="4053">
        <v>34.910579852715273</v>
      </c>
      <c r="X26" s="4053">
        <v>37.305672344389208</v>
      </c>
      <c r="Y26" s="4053">
        <v>49.712098146741532</v>
      </c>
      <c r="Z26" s="4053">
        <v>46.727164718306945</v>
      </c>
      <c r="AA26" s="4053">
        <v>42.437660581763275</v>
      </c>
      <c r="AB26" s="4053">
        <v>30.179409736381032</v>
      </c>
      <c r="AC26" s="4053">
        <v>21.807687461625385</v>
      </c>
      <c r="AD26" s="4053">
        <v>22.861293000130189</v>
      </c>
      <c r="AE26" s="4053">
        <v>30.329792250831773</v>
      </c>
      <c r="AF26" s="4053">
        <v>42.430585658006322</v>
      </c>
      <c r="AG26" s="4053">
        <v>42.299380838533338</v>
      </c>
      <c r="AH26" s="4053">
        <v>45.707017438994811</v>
      </c>
      <c r="AI26" s="4053">
        <v>46.821897490360968</v>
      </c>
      <c r="AJ26" s="4053">
        <v>48.772821998901861</v>
      </c>
      <c r="AK26" s="4059">
        <f t="shared" si="1"/>
        <v>100</v>
      </c>
      <c r="AL26" s="19"/>
    </row>
    <row r="27" spans="2:38" ht="18" customHeight="1" x14ac:dyDescent="0.2">
      <c r="B27" s="780" t="s">
        <v>575</v>
      </c>
      <c r="C27" s="2230"/>
      <c r="D27" s="2230"/>
      <c r="E27" s="4053" t="s">
        <v>2146</v>
      </c>
      <c r="F27" s="4053" t="s">
        <v>2146</v>
      </c>
      <c r="G27" s="4053" t="s">
        <v>2146</v>
      </c>
      <c r="H27" s="4053" t="s">
        <v>2146</v>
      </c>
      <c r="I27" s="4053" t="s">
        <v>2146</v>
      </c>
      <c r="J27" s="4053" t="s">
        <v>2146</v>
      </c>
      <c r="K27" s="4053" t="s">
        <v>2146</v>
      </c>
      <c r="L27" s="4053" t="s">
        <v>2146</v>
      </c>
      <c r="M27" s="4053" t="s">
        <v>2146</v>
      </c>
      <c r="N27" s="4053" t="s">
        <v>2146</v>
      </c>
      <c r="O27" s="4053" t="s">
        <v>2146</v>
      </c>
      <c r="P27" s="4053" t="s">
        <v>2146</v>
      </c>
      <c r="Q27" s="4053" t="s">
        <v>2146</v>
      </c>
      <c r="R27" s="4053" t="s">
        <v>2146</v>
      </c>
      <c r="S27" s="4053" t="s">
        <v>2146</v>
      </c>
      <c r="T27" s="4053" t="s">
        <v>2146</v>
      </c>
      <c r="U27" s="4053" t="s">
        <v>2146</v>
      </c>
      <c r="V27" s="4053" t="s">
        <v>2146</v>
      </c>
      <c r="W27" s="4053" t="s">
        <v>2146</v>
      </c>
      <c r="X27" s="4053" t="s">
        <v>2146</v>
      </c>
      <c r="Y27" s="4053" t="s">
        <v>2146</v>
      </c>
      <c r="Z27" s="4053" t="s">
        <v>2146</v>
      </c>
      <c r="AA27" s="4053" t="s">
        <v>2146</v>
      </c>
      <c r="AB27" s="4053" t="s">
        <v>2146</v>
      </c>
      <c r="AC27" s="4053" t="s">
        <v>2146</v>
      </c>
      <c r="AD27" s="4053" t="s">
        <v>2146</v>
      </c>
      <c r="AE27" s="4053" t="s">
        <v>2146</v>
      </c>
      <c r="AF27" s="4053" t="s">
        <v>2146</v>
      </c>
      <c r="AG27" s="4053" t="s">
        <v>2146</v>
      </c>
      <c r="AH27" s="4053" t="s">
        <v>2146</v>
      </c>
      <c r="AI27" s="4053" t="s">
        <v>2146</v>
      </c>
      <c r="AJ27" s="4053" t="s">
        <v>2146</v>
      </c>
      <c r="AK27" s="4059" t="str">
        <f t="shared" si="1"/>
        <v>NA</v>
      </c>
      <c r="AL27" s="19"/>
    </row>
    <row r="28" spans="2:38" ht="18" customHeight="1" x14ac:dyDescent="0.2">
      <c r="B28" s="780" t="s">
        <v>576</v>
      </c>
      <c r="C28" s="2230"/>
      <c r="D28" s="2230"/>
      <c r="E28" s="4053" t="s">
        <v>2146</v>
      </c>
      <c r="F28" s="4053" t="s">
        <v>2146</v>
      </c>
      <c r="G28" s="4053" t="s">
        <v>2146</v>
      </c>
      <c r="H28" s="4053" t="s">
        <v>2146</v>
      </c>
      <c r="I28" s="4053" t="s">
        <v>2146</v>
      </c>
      <c r="J28" s="4053" t="s">
        <v>2146</v>
      </c>
      <c r="K28" s="4053" t="s">
        <v>2146</v>
      </c>
      <c r="L28" s="4053" t="s">
        <v>2146</v>
      </c>
      <c r="M28" s="4053" t="s">
        <v>2146</v>
      </c>
      <c r="N28" s="4053" t="s">
        <v>2146</v>
      </c>
      <c r="O28" s="4053" t="s">
        <v>2146</v>
      </c>
      <c r="P28" s="4053" t="s">
        <v>2146</v>
      </c>
      <c r="Q28" s="4053" t="s">
        <v>2146</v>
      </c>
      <c r="R28" s="4053" t="s">
        <v>2146</v>
      </c>
      <c r="S28" s="4053" t="s">
        <v>2146</v>
      </c>
      <c r="T28" s="4053">
        <v>20.199210056616344</v>
      </c>
      <c r="U28" s="4053">
        <v>24.931258750070654</v>
      </c>
      <c r="V28" s="4053">
        <v>21.648261514850795</v>
      </c>
      <c r="W28" s="4053">
        <v>18.673962434623061</v>
      </c>
      <c r="X28" s="4053">
        <v>19.968882496529336</v>
      </c>
      <c r="Y28" s="4053">
        <v>28.890096531709897</v>
      </c>
      <c r="Z28" s="4053">
        <v>44.243470101254665</v>
      </c>
      <c r="AA28" s="4053">
        <v>48.160132019576565</v>
      </c>
      <c r="AB28" s="4053">
        <v>51.331535873062876</v>
      </c>
      <c r="AC28" s="4053">
        <v>72.964919256791333</v>
      </c>
      <c r="AD28" s="4053">
        <v>83.031439673601867</v>
      </c>
      <c r="AE28" s="4053">
        <v>88.528102476091917</v>
      </c>
      <c r="AF28" s="4053">
        <v>82.808078461593013</v>
      </c>
      <c r="AG28" s="4053">
        <v>82.552017442944091</v>
      </c>
      <c r="AH28" s="4053">
        <v>89.202405001909241</v>
      </c>
      <c r="AI28" s="4053">
        <v>91.378219295704469</v>
      </c>
      <c r="AJ28" s="4053">
        <v>95.185668739792348</v>
      </c>
      <c r="AK28" s="4059">
        <f t="shared" si="1"/>
        <v>100</v>
      </c>
      <c r="AL28" s="19"/>
    </row>
    <row r="29" spans="2:38" ht="18" customHeight="1" x14ac:dyDescent="0.2">
      <c r="B29" s="780" t="s">
        <v>577</v>
      </c>
      <c r="C29" s="2230"/>
      <c r="D29" s="2230"/>
      <c r="E29" s="4053" t="s">
        <v>2146</v>
      </c>
      <c r="F29" s="4053" t="s">
        <v>2146</v>
      </c>
      <c r="G29" s="4053" t="s">
        <v>2146</v>
      </c>
      <c r="H29" s="4053" t="s">
        <v>2146</v>
      </c>
      <c r="I29" s="4053" t="s">
        <v>2146</v>
      </c>
      <c r="J29" s="4053" t="s">
        <v>2146</v>
      </c>
      <c r="K29" s="4053" t="s">
        <v>2146</v>
      </c>
      <c r="L29" s="4053" t="s">
        <v>2146</v>
      </c>
      <c r="M29" s="4053" t="s">
        <v>2146</v>
      </c>
      <c r="N29" s="4053" t="s">
        <v>2146</v>
      </c>
      <c r="O29" s="4053" t="s">
        <v>2146</v>
      </c>
      <c r="P29" s="4053" t="s">
        <v>2146</v>
      </c>
      <c r="Q29" s="4053" t="s">
        <v>2146</v>
      </c>
      <c r="R29" s="4053" t="s">
        <v>2146</v>
      </c>
      <c r="S29" s="4053" t="s">
        <v>2146</v>
      </c>
      <c r="T29" s="4053">
        <v>4.716208199804921</v>
      </c>
      <c r="U29" s="4053">
        <v>16.466068633499781</v>
      </c>
      <c r="V29" s="4053">
        <v>18.034370750819896</v>
      </c>
      <c r="W29" s="4053">
        <v>30.101317591636082</v>
      </c>
      <c r="X29" s="4053">
        <v>36.8710876175005</v>
      </c>
      <c r="Y29" s="4053">
        <v>53.039854489351725</v>
      </c>
      <c r="Z29" s="4053">
        <v>56.105628750992331</v>
      </c>
      <c r="AA29" s="4053">
        <v>56.512058762264076</v>
      </c>
      <c r="AB29" s="4053">
        <v>52.659614296984863</v>
      </c>
      <c r="AC29" s="4053">
        <v>51.125958679369035</v>
      </c>
      <c r="AD29" s="4053">
        <v>54.243113043390586</v>
      </c>
      <c r="AE29" s="4053">
        <v>54.590768041399272</v>
      </c>
      <c r="AF29" s="4053">
        <v>53.61204520361494</v>
      </c>
      <c r="AG29" s="4053">
        <v>53.446264821293241</v>
      </c>
      <c r="AH29" s="4053">
        <v>57.751893994878806</v>
      </c>
      <c r="AI29" s="4053">
        <v>59.160571221071464</v>
      </c>
      <c r="AJ29" s="4053">
        <v>61.625610327148465</v>
      </c>
      <c r="AK29" s="4059">
        <f t="shared" si="1"/>
        <v>100</v>
      </c>
      <c r="AL29" s="19"/>
    </row>
    <row r="30" spans="2:38" ht="18" customHeight="1" thickBot="1" x14ac:dyDescent="0.25">
      <c r="B30" s="2539" t="s">
        <v>1739</v>
      </c>
      <c r="C30" s="2540"/>
      <c r="D30" s="2540"/>
      <c r="E30" s="4054" t="s">
        <v>2146</v>
      </c>
      <c r="F30" s="4054" t="s">
        <v>2146</v>
      </c>
      <c r="G30" s="4054" t="s">
        <v>2146</v>
      </c>
      <c r="H30" s="4054" t="s">
        <v>2146</v>
      </c>
      <c r="I30" s="4054" t="s">
        <v>2146</v>
      </c>
      <c r="J30" s="4054" t="s">
        <v>2146</v>
      </c>
      <c r="K30" s="4054" t="s">
        <v>2146</v>
      </c>
      <c r="L30" s="4054" t="s">
        <v>2146</v>
      </c>
      <c r="M30" s="4054" t="s">
        <v>2146</v>
      </c>
      <c r="N30" s="4054" t="s">
        <v>2146</v>
      </c>
      <c r="O30" s="4054" t="s">
        <v>2146</v>
      </c>
      <c r="P30" s="4054" t="s">
        <v>2146</v>
      </c>
      <c r="Q30" s="4054" t="s">
        <v>2146</v>
      </c>
      <c r="R30" s="4054" t="s">
        <v>2146</v>
      </c>
      <c r="S30" s="4054" t="s">
        <v>2146</v>
      </c>
      <c r="T30" s="4054" t="s">
        <v>2146</v>
      </c>
      <c r="U30" s="4054" t="s">
        <v>2146</v>
      </c>
      <c r="V30" s="4054" t="s">
        <v>2146</v>
      </c>
      <c r="W30" s="4054" t="s">
        <v>2146</v>
      </c>
      <c r="X30" s="4054" t="s">
        <v>2146</v>
      </c>
      <c r="Y30" s="4054" t="s">
        <v>2146</v>
      </c>
      <c r="Z30" s="4054" t="s">
        <v>2146</v>
      </c>
      <c r="AA30" s="4054" t="s">
        <v>2146</v>
      </c>
      <c r="AB30" s="4054" t="s">
        <v>2146</v>
      </c>
      <c r="AC30" s="4054" t="s">
        <v>2146</v>
      </c>
      <c r="AD30" s="4054" t="s">
        <v>2146</v>
      </c>
      <c r="AE30" s="4054" t="s">
        <v>2146</v>
      </c>
      <c r="AF30" s="4054" t="s">
        <v>2146</v>
      </c>
      <c r="AG30" s="4054" t="s">
        <v>2146</v>
      </c>
      <c r="AH30" s="4054" t="s">
        <v>2146</v>
      </c>
      <c r="AI30" s="4054" t="s">
        <v>2146</v>
      </c>
      <c r="AJ30" s="4054" t="s">
        <v>2146</v>
      </c>
      <c r="AK30" s="4060" t="str">
        <f t="shared" si="1"/>
        <v>NA</v>
      </c>
      <c r="AL30" s="19"/>
    </row>
    <row r="31" spans="2:38" ht="18" customHeight="1" thickBot="1" x14ac:dyDescent="0.25">
      <c r="B31" s="1984"/>
      <c r="C31" s="306"/>
      <c r="D31" s="306"/>
      <c r="E31" s="4049"/>
      <c r="F31" s="4049"/>
      <c r="G31" s="4049"/>
      <c r="H31" s="4049"/>
      <c r="I31" s="4049"/>
      <c r="J31" s="4049"/>
      <c r="K31" s="4049"/>
      <c r="L31" s="4049"/>
      <c r="M31" s="4049"/>
      <c r="N31" s="4049"/>
      <c r="O31" s="4049"/>
      <c r="P31" s="4049"/>
      <c r="Q31" s="4049"/>
      <c r="R31" s="4049"/>
      <c r="S31" s="4049"/>
      <c r="T31" s="4049"/>
      <c r="U31" s="4049"/>
      <c r="V31" s="4049"/>
      <c r="W31" s="4049"/>
      <c r="X31" s="4049"/>
      <c r="Y31" s="4049"/>
      <c r="Z31" s="4049"/>
      <c r="AA31" s="4049"/>
      <c r="AB31" s="4049"/>
      <c r="AC31" s="4049"/>
      <c r="AD31" s="4049"/>
      <c r="AE31" s="4049"/>
      <c r="AF31" s="4049"/>
      <c r="AG31" s="4049"/>
      <c r="AH31" s="4049"/>
      <c r="AI31" s="4049"/>
      <c r="AJ31" s="4049"/>
      <c r="AK31" s="781"/>
      <c r="AL31" s="19"/>
    </row>
    <row r="32" spans="2:38" ht="18" customHeight="1" x14ac:dyDescent="0.2">
      <c r="B32" s="1985" t="s">
        <v>1740</v>
      </c>
      <c r="C32" s="782"/>
      <c r="D32" s="783"/>
      <c r="E32" s="4050">
        <f>SUM(E33:E42)</f>
        <v>4143.5315389337156</v>
      </c>
      <c r="F32" s="4050">
        <f t="shared" ref="F32:AJ32" si="2">SUM(F33:F42)</f>
        <v>4146.8866252000589</v>
      </c>
      <c r="G32" s="4050">
        <f t="shared" si="2"/>
        <v>4140.1764526673724</v>
      </c>
      <c r="H32" s="4050">
        <f t="shared" si="2"/>
        <v>2981.9747926792879</v>
      </c>
      <c r="I32" s="4050">
        <f t="shared" si="2"/>
        <v>1946.6797558087924</v>
      </c>
      <c r="J32" s="4050">
        <f t="shared" si="2"/>
        <v>1376.8283202008463</v>
      </c>
      <c r="K32" s="4050">
        <f t="shared" si="2"/>
        <v>1268.5044539263497</v>
      </c>
      <c r="L32" s="4050">
        <f t="shared" si="2"/>
        <v>1104.5946842688734</v>
      </c>
      <c r="M32" s="4050">
        <f t="shared" si="2"/>
        <v>1493.4649028585516</v>
      </c>
      <c r="N32" s="4050">
        <f t="shared" si="2"/>
        <v>1024.4655200863303</v>
      </c>
      <c r="O32" s="4050">
        <f t="shared" si="2"/>
        <v>1157.5789362287294</v>
      </c>
      <c r="P32" s="4050">
        <f t="shared" si="2"/>
        <v>1620.6064364210431</v>
      </c>
      <c r="Q32" s="4050">
        <f t="shared" si="2"/>
        <v>1553.8183084811451</v>
      </c>
      <c r="R32" s="4050">
        <f t="shared" si="2"/>
        <v>1514.5701018444402</v>
      </c>
      <c r="S32" s="4050">
        <f t="shared" si="2"/>
        <v>1541.4296180492076</v>
      </c>
      <c r="T32" s="4050">
        <f t="shared" si="2"/>
        <v>1611.4498110358577</v>
      </c>
      <c r="U32" s="4050">
        <f t="shared" si="2"/>
        <v>617.93925336459711</v>
      </c>
      <c r="V32" s="4050">
        <f t="shared" si="2"/>
        <v>524.05752254650565</v>
      </c>
      <c r="W32" s="4050">
        <f t="shared" si="2"/>
        <v>399.79678192568076</v>
      </c>
      <c r="X32" s="4050">
        <f t="shared" si="2"/>
        <v>322.43408328130437</v>
      </c>
      <c r="Y32" s="4050">
        <f t="shared" si="2"/>
        <v>254.72735698266911</v>
      </c>
      <c r="Z32" s="4050">
        <f t="shared" si="2"/>
        <v>270.90088273132159</v>
      </c>
      <c r="AA32" s="4050">
        <f t="shared" si="2"/>
        <v>265.12979067717396</v>
      </c>
      <c r="AB32" s="4050">
        <f t="shared" si="2"/>
        <v>172.62441408027018</v>
      </c>
      <c r="AC32" s="4050">
        <f t="shared" si="2"/>
        <v>173.10697875319798</v>
      </c>
      <c r="AD32" s="4050">
        <f t="shared" si="2"/>
        <v>154.06023702200318</v>
      </c>
      <c r="AE32" s="4050">
        <f t="shared" si="2"/>
        <v>202.24755821344587</v>
      </c>
      <c r="AF32" s="4050">
        <f t="shared" si="2"/>
        <v>182.65052301395369</v>
      </c>
      <c r="AG32" s="4050">
        <f t="shared" si="2"/>
        <v>212.24369299342175</v>
      </c>
      <c r="AH32" s="4050">
        <f t="shared" si="2"/>
        <v>273.50220639665866</v>
      </c>
      <c r="AI32" s="4050">
        <f t="shared" si="2"/>
        <v>243.11647207633368</v>
      </c>
      <c r="AJ32" s="4050">
        <f t="shared" si="2"/>
        <v>291.48300000000006</v>
      </c>
      <c r="AK32" s="4061">
        <f t="shared" si="1"/>
        <v>7.0346514141656433</v>
      </c>
      <c r="AL32" s="19"/>
    </row>
    <row r="33" spans="2:38" ht="18" customHeight="1" x14ac:dyDescent="0.2">
      <c r="B33" s="780" t="s">
        <v>1741</v>
      </c>
      <c r="C33" s="2230"/>
      <c r="D33" s="2230"/>
      <c r="E33" s="4053">
        <v>3403.5080464399107</v>
      </c>
      <c r="F33" s="4053">
        <v>3406.263923400591</v>
      </c>
      <c r="G33" s="4053">
        <v>3400.7521694792308</v>
      </c>
      <c r="H33" s="4053">
        <v>2449.4021840507198</v>
      </c>
      <c r="I33" s="4053">
        <v>1599.0080322740705</v>
      </c>
      <c r="J33" s="4053">
        <v>1130.9305171975743</v>
      </c>
      <c r="K33" s="4053">
        <v>1041.9529995843798</v>
      </c>
      <c r="L33" s="4053">
        <v>907.31707015008146</v>
      </c>
      <c r="M33" s="4053">
        <v>1226.7361226026724</v>
      </c>
      <c r="N33" s="4053">
        <v>841.49875732367241</v>
      </c>
      <c r="O33" s="4053">
        <v>950.83847843779233</v>
      </c>
      <c r="P33" s="4053">
        <v>1331.1705231749947</v>
      </c>
      <c r="Q33" s="4053">
        <v>1276.3105737075391</v>
      </c>
      <c r="R33" s="4053">
        <v>1244.0719902954252</v>
      </c>
      <c r="S33" s="4053">
        <v>1266.1344697679301</v>
      </c>
      <c r="T33" s="4053">
        <v>1323.6492462423046</v>
      </c>
      <c r="U33" s="4053">
        <v>507.57697902963474</v>
      </c>
      <c r="V33" s="4053">
        <v>430.46227065800161</v>
      </c>
      <c r="W33" s="4053">
        <v>328.39416122166864</v>
      </c>
      <c r="X33" s="4053">
        <v>268.16508172695654</v>
      </c>
      <c r="Y33" s="4053">
        <v>215.34651363347999</v>
      </c>
      <c r="Z33" s="4053">
        <v>229.07983776479981</v>
      </c>
      <c r="AA33" s="4053">
        <v>224.00040990000002</v>
      </c>
      <c r="AB33" s="4053">
        <v>146.14925209688769</v>
      </c>
      <c r="AC33" s="4053">
        <v>146.43050980084027</v>
      </c>
      <c r="AD33" s="4053">
        <v>128.52630189546048</v>
      </c>
      <c r="AE33" s="4053">
        <v>169.59386864494587</v>
      </c>
      <c r="AF33" s="4053">
        <v>120.69196534083895</v>
      </c>
      <c r="AG33" s="4053">
        <v>175.5062444293234</v>
      </c>
      <c r="AH33" s="4053">
        <v>163.28184553083898</v>
      </c>
      <c r="AI33" s="4053">
        <v>199.95968418625171</v>
      </c>
      <c r="AJ33" s="4053">
        <v>177.28500000000003</v>
      </c>
      <c r="AK33" s="4059">
        <f t="shared" si="1"/>
        <v>5.2088902855817008</v>
      </c>
      <c r="AL33" s="19"/>
    </row>
    <row r="34" spans="2:38" ht="18" customHeight="1" x14ac:dyDescent="0.2">
      <c r="B34" s="780" t="s">
        <v>1742</v>
      </c>
      <c r="C34" s="2230"/>
      <c r="D34" s="2230"/>
      <c r="E34" s="4053">
        <v>740.02349249380495</v>
      </c>
      <c r="F34" s="4053">
        <v>740.62270179946779</v>
      </c>
      <c r="G34" s="4053">
        <v>739.424283188142</v>
      </c>
      <c r="H34" s="4053">
        <v>532.5726086285681</v>
      </c>
      <c r="I34" s="4053">
        <v>347.67172353472199</v>
      </c>
      <c r="J34" s="4053">
        <v>245.897803003272</v>
      </c>
      <c r="K34" s="4053">
        <v>226.5514543419699</v>
      </c>
      <c r="L34" s="4053">
        <v>197.27761411879197</v>
      </c>
      <c r="M34" s="4053">
        <v>266.72878025587914</v>
      </c>
      <c r="N34" s="4053">
        <v>182.96676276265802</v>
      </c>
      <c r="O34" s="4053">
        <v>206.74045779093714</v>
      </c>
      <c r="P34" s="4053">
        <v>289.43591324604836</v>
      </c>
      <c r="Q34" s="4053">
        <v>277.50773477360605</v>
      </c>
      <c r="R34" s="4053">
        <v>270.49811154901494</v>
      </c>
      <c r="S34" s="4053">
        <v>275.29514828127748</v>
      </c>
      <c r="T34" s="4053">
        <v>287.80056479355301</v>
      </c>
      <c r="U34" s="4053">
        <v>110.36227433496241</v>
      </c>
      <c r="V34" s="4053">
        <v>93.595251888503981</v>
      </c>
      <c r="W34" s="4053">
        <v>71.402620704012094</v>
      </c>
      <c r="X34" s="4053">
        <v>54.26900155434781</v>
      </c>
      <c r="Y34" s="4053">
        <v>39.380843349189128</v>
      </c>
      <c r="Z34" s="4053">
        <v>41.821044966521768</v>
      </c>
      <c r="AA34" s="4053">
        <v>41.129380777173914</v>
      </c>
      <c r="AB34" s="4053">
        <v>26.475161983382506</v>
      </c>
      <c r="AC34" s="4053">
        <v>26.676468952357698</v>
      </c>
      <c r="AD34" s="4053">
        <v>25.533935126542691</v>
      </c>
      <c r="AE34" s="4053">
        <v>32.653689568499999</v>
      </c>
      <c r="AF34" s="4053">
        <v>61.958557673114747</v>
      </c>
      <c r="AG34" s="4053">
        <v>36.737448564098358</v>
      </c>
      <c r="AH34" s="4053">
        <v>110.22036086581969</v>
      </c>
      <c r="AI34" s="4053">
        <v>43.156787890081972</v>
      </c>
      <c r="AJ34" s="4053">
        <v>114.19800000000001</v>
      </c>
      <c r="AK34" s="4059">
        <f t="shared" si="1"/>
        <v>15.431672258831162</v>
      </c>
      <c r="AL34" s="19"/>
    </row>
    <row r="35" spans="2:38" ht="18" customHeight="1" x14ac:dyDescent="0.2">
      <c r="B35" s="780" t="s">
        <v>1743</v>
      </c>
      <c r="C35" s="2230"/>
      <c r="D35" s="2230"/>
      <c r="E35" s="4053" t="s">
        <v>2146</v>
      </c>
      <c r="F35" s="4053" t="s">
        <v>2146</v>
      </c>
      <c r="G35" s="4053" t="s">
        <v>2146</v>
      </c>
      <c r="H35" s="4053" t="s">
        <v>2146</v>
      </c>
      <c r="I35" s="4053" t="s">
        <v>2146</v>
      </c>
      <c r="J35" s="4053" t="s">
        <v>2146</v>
      </c>
      <c r="K35" s="4053" t="s">
        <v>2146</v>
      </c>
      <c r="L35" s="4053" t="s">
        <v>2146</v>
      </c>
      <c r="M35" s="4053" t="s">
        <v>2146</v>
      </c>
      <c r="N35" s="4053" t="s">
        <v>2146</v>
      </c>
      <c r="O35" s="4053" t="s">
        <v>2146</v>
      </c>
      <c r="P35" s="4053" t="s">
        <v>2146</v>
      </c>
      <c r="Q35" s="4053" t="s">
        <v>2146</v>
      </c>
      <c r="R35" s="4053" t="s">
        <v>2146</v>
      </c>
      <c r="S35" s="4053" t="s">
        <v>2146</v>
      </c>
      <c r="T35" s="4053" t="s">
        <v>2146</v>
      </c>
      <c r="U35" s="4053" t="s">
        <v>2146</v>
      </c>
      <c r="V35" s="4053" t="s">
        <v>2146</v>
      </c>
      <c r="W35" s="4053" t="s">
        <v>2146</v>
      </c>
      <c r="X35" s="4053" t="s">
        <v>2146</v>
      </c>
      <c r="Y35" s="4053" t="s">
        <v>2146</v>
      </c>
      <c r="Z35" s="4053" t="s">
        <v>2146</v>
      </c>
      <c r="AA35" s="4053" t="s">
        <v>2146</v>
      </c>
      <c r="AB35" s="4053" t="s">
        <v>2146</v>
      </c>
      <c r="AC35" s="4053" t="s">
        <v>2146</v>
      </c>
      <c r="AD35" s="4053" t="s">
        <v>2146</v>
      </c>
      <c r="AE35" s="4053" t="s">
        <v>2146</v>
      </c>
      <c r="AF35" s="4053" t="s">
        <v>2146</v>
      </c>
      <c r="AG35" s="4053" t="s">
        <v>2146</v>
      </c>
      <c r="AH35" s="4053" t="s">
        <v>2146</v>
      </c>
      <c r="AI35" s="4053" t="s">
        <v>2146</v>
      </c>
      <c r="AJ35" s="4053" t="s">
        <v>2146</v>
      </c>
      <c r="AK35" s="4059" t="str">
        <f t="shared" si="1"/>
        <v>NA</v>
      </c>
      <c r="AL35" s="19"/>
    </row>
    <row r="36" spans="2:38" ht="18" customHeight="1" x14ac:dyDescent="0.2">
      <c r="B36" s="780" t="s">
        <v>1744</v>
      </c>
      <c r="C36" s="2230"/>
      <c r="D36" s="2230"/>
      <c r="E36" s="4053" t="s">
        <v>2146</v>
      </c>
      <c r="F36" s="4053" t="s">
        <v>2146</v>
      </c>
      <c r="G36" s="4053" t="s">
        <v>2146</v>
      </c>
      <c r="H36" s="4053" t="s">
        <v>2146</v>
      </c>
      <c r="I36" s="4053" t="s">
        <v>2146</v>
      </c>
      <c r="J36" s="4053" t="s">
        <v>2146</v>
      </c>
      <c r="K36" s="4053" t="s">
        <v>2146</v>
      </c>
      <c r="L36" s="4053" t="s">
        <v>2146</v>
      </c>
      <c r="M36" s="4053" t="s">
        <v>2146</v>
      </c>
      <c r="N36" s="4053" t="s">
        <v>2146</v>
      </c>
      <c r="O36" s="4053" t="s">
        <v>2146</v>
      </c>
      <c r="P36" s="4053" t="s">
        <v>2146</v>
      </c>
      <c r="Q36" s="4053" t="s">
        <v>2146</v>
      </c>
      <c r="R36" s="4053" t="s">
        <v>2146</v>
      </c>
      <c r="S36" s="4053" t="s">
        <v>2146</v>
      </c>
      <c r="T36" s="4053" t="s">
        <v>2146</v>
      </c>
      <c r="U36" s="4053" t="s">
        <v>2146</v>
      </c>
      <c r="V36" s="4053" t="s">
        <v>2146</v>
      </c>
      <c r="W36" s="4053" t="s">
        <v>2146</v>
      </c>
      <c r="X36" s="4053" t="s">
        <v>2146</v>
      </c>
      <c r="Y36" s="4053" t="s">
        <v>2146</v>
      </c>
      <c r="Z36" s="4053" t="s">
        <v>2146</v>
      </c>
      <c r="AA36" s="4053" t="s">
        <v>2146</v>
      </c>
      <c r="AB36" s="4053" t="s">
        <v>2146</v>
      </c>
      <c r="AC36" s="4053" t="s">
        <v>2146</v>
      </c>
      <c r="AD36" s="4053" t="s">
        <v>2146</v>
      </c>
      <c r="AE36" s="4053" t="s">
        <v>2146</v>
      </c>
      <c r="AF36" s="4053" t="s">
        <v>2146</v>
      </c>
      <c r="AG36" s="4053" t="s">
        <v>2146</v>
      </c>
      <c r="AH36" s="4053" t="s">
        <v>2146</v>
      </c>
      <c r="AI36" s="4053" t="s">
        <v>2146</v>
      </c>
      <c r="AJ36" s="4053" t="s">
        <v>2146</v>
      </c>
      <c r="AK36" s="4059" t="str">
        <f t="shared" si="1"/>
        <v>NA</v>
      </c>
      <c r="AL36" s="19"/>
    </row>
    <row r="37" spans="2:38" ht="18" customHeight="1" x14ac:dyDescent="0.2">
      <c r="B37" s="780" t="s">
        <v>1745</v>
      </c>
      <c r="C37" s="2230"/>
      <c r="D37" s="2230"/>
      <c r="E37" s="4053" t="s">
        <v>2146</v>
      </c>
      <c r="F37" s="4053" t="s">
        <v>2146</v>
      </c>
      <c r="G37" s="4053" t="s">
        <v>2146</v>
      </c>
      <c r="H37" s="4053" t="s">
        <v>2146</v>
      </c>
      <c r="I37" s="4053" t="s">
        <v>2146</v>
      </c>
      <c r="J37" s="4053" t="s">
        <v>2146</v>
      </c>
      <c r="K37" s="4053" t="s">
        <v>2146</v>
      </c>
      <c r="L37" s="4053" t="s">
        <v>2146</v>
      </c>
      <c r="M37" s="4053" t="s">
        <v>2146</v>
      </c>
      <c r="N37" s="4053" t="s">
        <v>2146</v>
      </c>
      <c r="O37" s="4053" t="s">
        <v>2146</v>
      </c>
      <c r="P37" s="4053" t="s">
        <v>2146</v>
      </c>
      <c r="Q37" s="4053" t="s">
        <v>2146</v>
      </c>
      <c r="R37" s="4053" t="s">
        <v>2146</v>
      </c>
      <c r="S37" s="4053" t="s">
        <v>2146</v>
      </c>
      <c r="T37" s="4053" t="s">
        <v>2146</v>
      </c>
      <c r="U37" s="4053" t="s">
        <v>2146</v>
      </c>
      <c r="V37" s="4053" t="s">
        <v>2146</v>
      </c>
      <c r="W37" s="4053" t="s">
        <v>2146</v>
      </c>
      <c r="X37" s="4053" t="s">
        <v>2146</v>
      </c>
      <c r="Y37" s="4053" t="s">
        <v>2146</v>
      </c>
      <c r="Z37" s="4053" t="s">
        <v>2146</v>
      </c>
      <c r="AA37" s="4053" t="s">
        <v>2146</v>
      </c>
      <c r="AB37" s="4053" t="s">
        <v>2146</v>
      </c>
      <c r="AC37" s="4053" t="s">
        <v>2146</v>
      </c>
      <c r="AD37" s="4053" t="s">
        <v>2146</v>
      </c>
      <c r="AE37" s="4053" t="s">
        <v>2146</v>
      </c>
      <c r="AF37" s="4053" t="s">
        <v>2146</v>
      </c>
      <c r="AG37" s="4053" t="s">
        <v>2146</v>
      </c>
      <c r="AH37" s="4053" t="s">
        <v>2146</v>
      </c>
      <c r="AI37" s="4053" t="s">
        <v>2146</v>
      </c>
      <c r="AJ37" s="4053" t="s">
        <v>2146</v>
      </c>
      <c r="AK37" s="4059" t="str">
        <f t="shared" si="1"/>
        <v>NA</v>
      </c>
      <c r="AL37" s="19"/>
    </row>
    <row r="38" spans="2:38" ht="18" customHeight="1" x14ac:dyDescent="0.2">
      <c r="B38" s="780" t="s">
        <v>1746</v>
      </c>
      <c r="C38" s="2230"/>
      <c r="D38" s="2230"/>
      <c r="E38" s="4053" t="s">
        <v>2146</v>
      </c>
      <c r="F38" s="4053" t="s">
        <v>2146</v>
      </c>
      <c r="G38" s="4053" t="s">
        <v>2146</v>
      </c>
      <c r="H38" s="4053" t="s">
        <v>2146</v>
      </c>
      <c r="I38" s="4053" t="s">
        <v>2146</v>
      </c>
      <c r="J38" s="4053" t="s">
        <v>2146</v>
      </c>
      <c r="K38" s="4053" t="s">
        <v>2146</v>
      </c>
      <c r="L38" s="4053" t="s">
        <v>2146</v>
      </c>
      <c r="M38" s="4053" t="s">
        <v>2146</v>
      </c>
      <c r="N38" s="4053" t="s">
        <v>2146</v>
      </c>
      <c r="O38" s="4053" t="s">
        <v>2146</v>
      </c>
      <c r="P38" s="4053" t="s">
        <v>2146</v>
      </c>
      <c r="Q38" s="4053" t="s">
        <v>2146</v>
      </c>
      <c r="R38" s="4053" t="s">
        <v>2146</v>
      </c>
      <c r="S38" s="4053" t="s">
        <v>2146</v>
      </c>
      <c r="T38" s="4053" t="s">
        <v>2146</v>
      </c>
      <c r="U38" s="4053" t="s">
        <v>2146</v>
      </c>
      <c r="V38" s="4053" t="s">
        <v>2146</v>
      </c>
      <c r="W38" s="4053" t="s">
        <v>2146</v>
      </c>
      <c r="X38" s="4053" t="s">
        <v>2146</v>
      </c>
      <c r="Y38" s="4053" t="s">
        <v>2146</v>
      </c>
      <c r="Z38" s="4053" t="s">
        <v>2146</v>
      </c>
      <c r="AA38" s="4053" t="s">
        <v>2146</v>
      </c>
      <c r="AB38" s="4053" t="s">
        <v>2146</v>
      </c>
      <c r="AC38" s="4053" t="s">
        <v>2146</v>
      </c>
      <c r="AD38" s="4053" t="s">
        <v>2146</v>
      </c>
      <c r="AE38" s="4053" t="s">
        <v>2146</v>
      </c>
      <c r="AF38" s="4053" t="s">
        <v>2146</v>
      </c>
      <c r="AG38" s="4053" t="s">
        <v>2146</v>
      </c>
      <c r="AH38" s="4053" t="s">
        <v>2146</v>
      </c>
      <c r="AI38" s="4053" t="s">
        <v>2146</v>
      </c>
      <c r="AJ38" s="4053" t="s">
        <v>2146</v>
      </c>
      <c r="AK38" s="4059" t="str">
        <f t="shared" si="1"/>
        <v>NA</v>
      </c>
      <c r="AL38" s="19"/>
    </row>
    <row r="39" spans="2:38" ht="18" customHeight="1" x14ac:dyDescent="0.2">
      <c r="B39" s="780" t="s">
        <v>1747</v>
      </c>
      <c r="C39" s="2230"/>
      <c r="D39" s="2230"/>
      <c r="E39" s="4053" t="s">
        <v>2146</v>
      </c>
      <c r="F39" s="4053" t="s">
        <v>2146</v>
      </c>
      <c r="G39" s="4053" t="s">
        <v>2146</v>
      </c>
      <c r="H39" s="4053" t="s">
        <v>2146</v>
      </c>
      <c r="I39" s="4053" t="s">
        <v>2146</v>
      </c>
      <c r="J39" s="4053" t="s">
        <v>2146</v>
      </c>
      <c r="K39" s="4053" t="s">
        <v>2146</v>
      </c>
      <c r="L39" s="4053" t="s">
        <v>2146</v>
      </c>
      <c r="M39" s="4053" t="s">
        <v>2146</v>
      </c>
      <c r="N39" s="4053" t="s">
        <v>2146</v>
      </c>
      <c r="O39" s="4053" t="s">
        <v>2146</v>
      </c>
      <c r="P39" s="4053" t="s">
        <v>2146</v>
      </c>
      <c r="Q39" s="4053" t="s">
        <v>2146</v>
      </c>
      <c r="R39" s="4053" t="s">
        <v>2146</v>
      </c>
      <c r="S39" s="4053" t="s">
        <v>2146</v>
      </c>
      <c r="T39" s="4053" t="s">
        <v>2146</v>
      </c>
      <c r="U39" s="4053" t="s">
        <v>2146</v>
      </c>
      <c r="V39" s="4053" t="s">
        <v>2146</v>
      </c>
      <c r="W39" s="4053" t="s">
        <v>2146</v>
      </c>
      <c r="X39" s="4053" t="s">
        <v>2146</v>
      </c>
      <c r="Y39" s="4053" t="s">
        <v>2146</v>
      </c>
      <c r="Z39" s="4053" t="s">
        <v>2146</v>
      </c>
      <c r="AA39" s="4053" t="s">
        <v>2146</v>
      </c>
      <c r="AB39" s="4053" t="s">
        <v>2146</v>
      </c>
      <c r="AC39" s="4053" t="s">
        <v>2146</v>
      </c>
      <c r="AD39" s="4053" t="s">
        <v>2146</v>
      </c>
      <c r="AE39" s="4053" t="s">
        <v>2146</v>
      </c>
      <c r="AF39" s="4053" t="s">
        <v>2146</v>
      </c>
      <c r="AG39" s="4053" t="s">
        <v>2146</v>
      </c>
      <c r="AH39" s="4053" t="s">
        <v>2146</v>
      </c>
      <c r="AI39" s="4053" t="s">
        <v>2146</v>
      </c>
      <c r="AJ39" s="4053" t="s">
        <v>2146</v>
      </c>
      <c r="AK39" s="4059" t="str">
        <f t="shared" si="1"/>
        <v>NA</v>
      </c>
      <c r="AL39" s="19"/>
    </row>
    <row r="40" spans="2:38" ht="18" customHeight="1" x14ac:dyDescent="0.2">
      <c r="B40" s="780" t="s">
        <v>1748</v>
      </c>
      <c r="C40" s="2230"/>
      <c r="D40" s="2230"/>
      <c r="E40" s="4053" t="s">
        <v>2146</v>
      </c>
      <c r="F40" s="4053" t="s">
        <v>2146</v>
      </c>
      <c r="G40" s="4053" t="s">
        <v>2146</v>
      </c>
      <c r="H40" s="4053" t="s">
        <v>2146</v>
      </c>
      <c r="I40" s="4053" t="s">
        <v>2146</v>
      </c>
      <c r="J40" s="4053" t="s">
        <v>2146</v>
      </c>
      <c r="K40" s="4053" t="s">
        <v>2146</v>
      </c>
      <c r="L40" s="4053" t="s">
        <v>2146</v>
      </c>
      <c r="M40" s="4053" t="s">
        <v>2146</v>
      </c>
      <c r="N40" s="4053" t="s">
        <v>2146</v>
      </c>
      <c r="O40" s="4053" t="s">
        <v>2146</v>
      </c>
      <c r="P40" s="4053" t="s">
        <v>2146</v>
      </c>
      <c r="Q40" s="4053" t="s">
        <v>2146</v>
      </c>
      <c r="R40" s="4053" t="s">
        <v>2146</v>
      </c>
      <c r="S40" s="4053" t="s">
        <v>2146</v>
      </c>
      <c r="T40" s="4053" t="s">
        <v>2146</v>
      </c>
      <c r="U40" s="4053" t="s">
        <v>2146</v>
      </c>
      <c r="V40" s="4053" t="s">
        <v>2146</v>
      </c>
      <c r="W40" s="4053" t="s">
        <v>2146</v>
      </c>
      <c r="X40" s="4053" t="s">
        <v>2146</v>
      </c>
      <c r="Y40" s="4053" t="s">
        <v>2146</v>
      </c>
      <c r="Z40" s="4053" t="s">
        <v>2146</v>
      </c>
      <c r="AA40" s="4053" t="s">
        <v>2146</v>
      </c>
      <c r="AB40" s="4053" t="s">
        <v>2146</v>
      </c>
      <c r="AC40" s="4053" t="s">
        <v>2146</v>
      </c>
      <c r="AD40" s="4053" t="s">
        <v>2146</v>
      </c>
      <c r="AE40" s="4053" t="s">
        <v>2146</v>
      </c>
      <c r="AF40" s="4053" t="s">
        <v>2146</v>
      </c>
      <c r="AG40" s="4053" t="s">
        <v>2146</v>
      </c>
      <c r="AH40" s="4053" t="s">
        <v>2146</v>
      </c>
      <c r="AI40" s="4053" t="s">
        <v>2146</v>
      </c>
      <c r="AJ40" s="4053" t="s">
        <v>2146</v>
      </c>
      <c r="AK40" s="4059" t="str">
        <f t="shared" si="1"/>
        <v>NA</v>
      </c>
      <c r="AL40" s="19"/>
    </row>
    <row r="41" spans="2:38" ht="18" customHeight="1" x14ac:dyDescent="0.2">
      <c r="B41" s="780" t="s">
        <v>1749</v>
      </c>
      <c r="C41" s="2230"/>
      <c r="D41" s="2230"/>
      <c r="E41" s="4053" t="s">
        <v>2146</v>
      </c>
      <c r="F41" s="4053" t="s">
        <v>2146</v>
      </c>
      <c r="G41" s="4053" t="s">
        <v>2146</v>
      </c>
      <c r="H41" s="4053" t="s">
        <v>2146</v>
      </c>
      <c r="I41" s="4053" t="s">
        <v>2146</v>
      </c>
      <c r="J41" s="4053" t="s">
        <v>2146</v>
      </c>
      <c r="K41" s="4053" t="s">
        <v>2146</v>
      </c>
      <c r="L41" s="4053" t="s">
        <v>2146</v>
      </c>
      <c r="M41" s="4053" t="s">
        <v>2146</v>
      </c>
      <c r="N41" s="4053" t="s">
        <v>2146</v>
      </c>
      <c r="O41" s="4053" t="s">
        <v>2146</v>
      </c>
      <c r="P41" s="4053" t="s">
        <v>2146</v>
      </c>
      <c r="Q41" s="4053" t="s">
        <v>2146</v>
      </c>
      <c r="R41" s="4053" t="s">
        <v>2146</v>
      </c>
      <c r="S41" s="4053" t="s">
        <v>2146</v>
      </c>
      <c r="T41" s="4053" t="s">
        <v>2146</v>
      </c>
      <c r="U41" s="4053" t="s">
        <v>2146</v>
      </c>
      <c r="V41" s="4053" t="s">
        <v>2146</v>
      </c>
      <c r="W41" s="4053" t="s">
        <v>2146</v>
      </c>
      <c r="X41" s="4053" t="s">
        <v>2146</v>
      </c>
      <c r="Y41" s="4053" t="s">
        <v>2146</v>
      </c>
      <c r="Z41" s="4053" t="s">
        <v>2146</v>
      </c>
      <c r="AA41" s="4053" t="s">
        <v>2146</v>
      </c>
      <c r="AB41" s="4053" t="s">
        <v>2146</v>
      </c>
      <c r="AC41" s="4053" t="s">
        <v>2146</v>
      </c>
      <c r="AD41" s="4053" t="s">
        <v>2146</v>
      </c>
      <c r="AE41" s="4053" t="s">
        <v>2146</v>
      </c>
      <c r="AF41" s="4053" t="s">
        <v>2146</v>
      </c>
      <c r="AG41" s="4053" t="s">
        <v>2146</v>
      </c>
      <c r="AH41" s="4053" t="s">
        <v>2146</v>
      </c>
      <c r="AI41" s="4053" t="s">
        <v>2146</v>
      </c>
      <c r="AJ41" s="4053" t="s">
        <v>2146</v>
      </c>
      <c r="AK41" s="4059" t="str">
        <f t="shared" si="1"/>
        <v>NA</v>
      </c>
      <c r="AL41" s="19"/>
    </row>
    <row r="42" spans="2:38" ht="18" customHeight="1" thickBot="1" x14ac:dyDescent="0.25">
      <c r="B42" s="2539" t="s">
        <v>1750</v>
      </c>
      <c r="C42" s="2540"/>
      <c r="D42" s="2540"/>
      <c r="E42" s="4054" t="s">
        <v>2146</v>
      </c>
      <c r="F42" s="4054" t="s">
        <v>2146</v>
      </c>
      <c r="G42" s="4054" t="s">
        <v>2146</v>
      </c>
      <c r="H42" s="4054" t="s">
        <v>2146</v>
      </c>
      <c r="I42" s="4054" t="s">
        <v>2146</v>
      </c>
      <c r="J42" s="4054" t="s">
        <v>2146</v>
      </c>
      <c r="K42" s="4054" t="s">
        <v>2146</v>
      </c>
      <c r="L42" s="4054" t="s">
        <v>2146</v>
      </c>
      <c r="M42" s="4054" t="s">
        <v>2146</v>
      </c>
      <c r="N42" s="4054" t="s">
        <v>2146</v>
      </c>
      <c r="O42" s="4054" t="s">
        <v>2146</v>
      </c>
      <c r="P42" s="4054" t="s">
        <v>2146</v>
      </c>
      <c r="Q42" s="4054" t="s">
        <v>2146</v>
      </c>
      <c r="R42" s="4054" t="s">
        <v>2146</v>
      </c>
      <c r="S42" s="4054" t="s">
        <v>2146</v>
      </c>
      <c r="T42" s="4054" t="s">
        <v>2146</v>
      </c>
      <c r="U42" s="4054" t="s">
        <v>2146</v>
      </c>
      <c r="V42" s="4054" t="s">
        <v>2146</v>
      </c>
      <c r="W42" s="4054" t="s">
        <v>2146</v>
      </c>
      <c r="X42" s="4054" t="s">
        <v>2146</v>
      </c>
      <c r="Y42" s="4054" t="s">
        <v>2146</v>
      </c>
      <c r="Z42" s="4054" t="s">
        <v>2146</v>
      </c>
      <c r="AA42" s="4054" t="s">
        <v>2146</v>
      </c>
      <c r="AB42" s="4054" t="s">
        <v>2146</v>
      </c>
      <c r="AC42" s="4054" t="s">
        <v>2146</v>
      </c>
      <c r="AD42" s="4054" t="s">
        <v>2146</v>
      </c>
      <c r="AE42" s="4054" t="s">
        <v>2146</v>
      </c>
      <c r="AF42" s="4054" t="s">
        <v>2146</v>
      </c>
      <c r="AG42" s="4054" t="s">
        <v>2146</v>
      </c>
      <c r="AH42" s="4054" t="s">
        <v>2146</v>
      </c>
      <c r="AI42" s="4054" t="s">
        <v>2146</v>
      </c>
      <c r="AJ42" s="4054" t="s">
        <v>2146</v>
      </c>
      <c r="AK42" s="4060" t="str">
        <f t="shared" si="1"/>
        <v>NA</v>
      </c>
      <c r="AL42" s="19"/>
    </row>
    <row r="43" spans="2:38" ht="18" customHeight="1" thickBot="1" x14ac:dyDescent="0.25">
      <c r="B43" s="1986"/>
      <c r="C43" s="306"/>
      <c r="D43" s="306"/>
      <c r="E43" s="4049"/>
      <c r="F43" s="4049"/>
      <c r="G43" s="4049"/>
      <c r="H43" s="4049"/>
      <c r="I43" s="4049"/>
      <c r="J43" s="4049"/>
      <c r="K43" s="4049"/>
      <c r="L43" s="4049"/>
      <c r="M43" s="4049"/>
      <c r="N43" s="4049"/>
      <c r="O43" s="4049"/>
      <c r="P43" s="4049"/>
      <c r="Q43" s="4049"/>
      <c r="R43" s="4049"/>
      <c r="S43" s="4049"/>
      <c r="T43" s="4049"/>
      <c r="U43" s="4049"/>
      <c r="V43" s="4049"/>
      <c r="W43" s="4049"/>
      <c r="X43" s="4049"/>
      <c r="Y43" s="4049"/>
      <c r="Z43" s="4049"/>
      <c r="AA43" s="4049"/>
      <c r="AB43" s="4049"/>
      <c r="AC43" s="4049"/>
      <c r="AD43" s="4049"/>
      <c r="AE43" s="4049"/>
      <c r="AF43" s="4049"/>
      <c r="AG43" s="4049"/>
      <c r="AH43" s="4049"/>
      <c r="AI43" s="4049"/>
      <c r="AJ43" s="4049"/>
      <c r="AK43" s="4062"/>
      <c r="AL43" s="19"/>
    </row>
    <row r="44" spans="2:38" ht="18" customHeight="1" thickBot="1" x14ac:dyDescent="0.25">
      <c r="B44" s="2534" t="s">
        <v>1751</v>
      </c>
      <c r="C44" s="2535"/>
      <c r="D44" s="2535"/>
      <c r="E44" s="4056" t="s">
        <v>2146</v>
      </c>
      <c r="F44" s="4056" t="s">
        <v>2146</v>
      </c>
      <c r="G44" s="4056" t="s">
        <v>2146</v>
      </c>
      <c r="H44" s="4056" t="s">
        <v>2146</v>
      </c>
      <c r="I44" s="4056" t="s">
        <v>2146</v>
      </c>
      <c r="J44" s="4056" t="s">
        <v>2146</v>
      </c>
      <c r="K44" s="4056" t="s">
        <v>2146</v>
      </c>
      <c r="L44" s="4056" t="s">
        <v>2146</v>
      </c>
      <c r="M44" s="4056" t="s">
        <v>2146</v>
      </c>
      <c r="N44" s="4056" t="s">
        <v>2146</v>
      </c>
      <c r="O44" s="4056" t="s">
        <v>2146</v>
      </c>
      <c r="P44" s="4056" t="s">
        <v>2146</v>
      </c>
      <c r="Q44" s="4056" t="s">
        <v>2146</v>
      </c>
      <c r="R44" s="4056" t="s">
        <v>2146</v>
      </c>
      <c r="S44" s="4056" t="s">
        <v>2146</v>
      </c>
      <c r="T44" s="4056" t="s">
        <v>2146</v>
      </c>
      <c r="U44" s="4056" t="s">
        <v>2146</v>
      </c>
      <c r="V44" s="4056" t="s">
        <v>2146</v>
      </c>
      <c r="W44" s="4056" t="s">
        <v>2146</v>
      </c>
      <c r="X44" s="4056" t="s">
        <v>2146</v>
      </c>
      <c r="Y44" s="4056" t="s">
        <v>2146</v>
      </c>
      <c r="Z44" s="4056" t="s">
        <v>2146</v>
      </c>
      <c r="AA44" s="4056" t="s">
        <v>2146</v>
      </c>
      <c r="AB44" s="4056" t="s">
        <v>2146</v>
      </c>
      <c r="AC44" s="4056" t="s">
        <v>2146</v>
      </c>
      <c r="AD44" s="4056" t="s">
        <v>2146</v>
      </c>
      <c r="AE44" s="4056" t="s">
        <v>2146</v>
      </c>
      <c r="AF44" s="4056" t="s">
        <v>2146</v>
      </c>
      <c r="AG44" s="4056" t="s">
        <v>2146</v>
      </c>
      <c r="AH44" s="4056" t="s">
        <v>2146</v>
      </c>
      <c r="AI44" s="4056" t="s">
        <v>2146</v>
      </c>
      <c r="AJ44" s="4056" t="s">
        <v>2146</v>
      </c>
      <c r="AK44" s="4063" t="s">
        <v>2147</v>
      </c>
      <c r="AL44" s="19"/>
    </row>
    <row r="45" spans="2:38" ht="18" customHeight="1" thickBot="1" x14ac:dyDescent="0.25">
      <c r="B45" s="1986"/>
      <c r="C45" s="306"/>
      <c r="D45" s="306"/>
      <c r="E45" s="4049"/>
      <c r="F45" s="4049"/>
      <c r="G45" s="4049"/>
      <c r="H45" s="4049"/>
      <c r="I45" s="4049"/>
      <c r="J45" s="4049"/>
      <c r="K45" s="4049"/>
      <c r="L45" s="4049"/>
      <c r="M45" s="4049"/>
      <c r="N45" s="4049"/>
      <c r="O45" s="4049"/>
      <c r="P45" s="4049"/>
      <c r="Q45" s="4049"/>
      <c r="R45" s="4049"/>
      <c r="S45" s="4049"/>
      <c r="T45" s="4049"/>
      <c r="U45" s="4049"/>
      <c r="V45" s="4049"/>
      <c r="W45" s="4049"/>
      <c r="X45" s="4049"/>
      <c r="Y45" s="4049"/>
      <c r="Z45" s="4049"/>
      <c r="AA45" s="4049"/>
      <c r="AB45" s="4049"/>
      <c r="AC45" s="4049"/>
      <c r="AD45" s="4049"/>
      <c r="AE45" s="4049"/>
      <c r="AF45" s="4049"/>
      <c r="AG45" s="4049"/>
      <c r="AH45" s="4049"/>
      <c r="AI45" s="4049"/>
      <c r="AJ45" s="4049"/>
      <c r="AK45" s="4062"/>
      <c r="AL45" s="19"/>
    </row>
    <row r="46" spans="2:38" ht="18" customHeight="1" x14ac:dyDescent="0.2">
      <c r="B46" s="1987" t="s">
        <v>1752</v>
      </c>
      <c r="C46" s="784"/>
      <c r="D46" s="785"/>
      <c r="E46" s="4055">
        <f>E47</f>
        <v>227.33126391232889</v>
      </c>
      <c r="F46" s="4055">
        <f t="shared" ref="F46:AJ46" si="3">F47</f>
        <v>246.69030699012214</v>
      </c>
      <c r="G46" s="4055">
        <f t="shared" si="3"/>
        <v>266.03666522364358</v>
      </c>
      <c r="H46" s="4055">
        <f t="shared" si="3"/>
        <v>285.3688949537343</v>
      </c>
      <c r="I46" s="4055">
        <f t="shared" si="3"/>
        <v>304.68198692506843</v>
      </c>
      <c r="J46" s="4055">
        <f t="shared" si="3"/>
        <v>325.92330345973716</v>
      </c>
      <c r="K46" s="4055">
        <f t="shared" si="3"/>
        <v>297.97363341418611</v>
      </c>
      <c r="L46" s="4055">
        <f t="shared" si="3"/>
        <v>274.96345974170822</v>
      </c>
      <c r="M46" s="4055">
        <f t="shared" si="3"/>
        <v>247.58218354023921</v>
      </c>
      <c r="N46" s="4055">
        <f t="shared" si="3"/>
        <v>217.77596856722661</v>
      </c>
      <c r="O46" s="4055">
        <f t="shared" si="3"/>
        <v>218.94870006999835</v>
      </c>
      <c r="P46" s="4055">
        <f t="shared" si="3"/>
        <v>225.51312817449531</v>
      </c>
      <c r="Q46" s="4055">
        <f t="shared" si="3"/>
        <v>232.00612349094484</v>
      </c>
      <c r="R46" s="4055">
        <f t="shared" si="3"/>
        <v>236.14843822233468</v>
      </c>
      <c r="S46" s="4055">
        <f t="shared" si="3"/>
        <v>237.74641315441517</v>
      </c>
      <c r="T46" s="4055">
        <f t="shared" si="3"/>
        <v>202.23967297118685</v>
      </c>
      <c r="U46" s="4055">
        <f t="shared" si="3"/>
        <v>191.78131355969191</v>
      </c>
      <c r="V46" s="4055">
        <f t="shared" si="3"/>
        <v>180.50437484164183</v>
      </c>
      <c r="W46" s="4055">
        <f t="shared" si="3"/>
        <v>168.33889499727522</v>
      </c>
      <c r="X46" s="4055">
        <f t="shared" si="3"/>
        <v>151.50594481761419</v>
      </c>
      <c r="Y46" s="4055">
        <f t="shared" si="3"/>
        <v>133.79449716413717</v>
      </c>
      <c r="Z46" s="4055">
        <f t="shared" si="3"/>
        <v>121.78268935599188</v>
      </c>
      <c r="AA46" s="4055">
        <f t="shared" si="3"/>
        <v>118.51069108917444</v>
      </c>
      <c r="AB46" s="4055">
        <f t="shared" si="3"/>
        <v>111.49092341544214</v>
      </c>
      <c r="AC46" s="4055">
        <f t="shared" si="3"/>
        <v>108.87625703363453</v>
      </c>
      <c r="AD46" s="4055">
        <f t="shared" si="3"/>
        <v>119.73884475683391</v>
      </c>
      <c r="AE46" s="4055">
        <f t="shared" si="3"/>
        <v>120.72109384232132</v>
      </c>
      <c r="AF46" s="4055">
        <f t="shared" si="3"/>
        <v>118.8988343564875</v>
      </c>
      <c r="AG46" s="4055">
        <f t="shared" si="3"/>
        <v>149.72530244911653</v>
      </c>
      <c r="AH46" s="4055">
        <f t="shared" si="3"/>
        <v>141.06361511560291</v>
      </c>
      <c r="AI46" s="4055">
        <f t="shared" si="3"/>
        <v>108.87118016121181</v>
      </c>
      <c r="AJ46" s="4055">
        <f t="shared" si="3"/>
        <v>162.36139181563749</v>
      </c>
      <c r="AK46" s="4064">
        <f t="shared" ref="AK46:AK47" si="4">IF(AJ46="NO",IF(E46="NO","NA",-100),IF(E46="NO",100,AJ46/E46*100))</f>
        <v>71.420617217987541</v>
      </c>
      <c r="AL46" s="19"/>
    </row>
    <row r="47" spans="2:38" ht="18" customHeight="1" thickBot="1" x14ac:dyDescent="0.25">
      <c r="B47" s="1988" t="s">
        <v>1621</v>
      </c>
      <c r="C47" s="2231"/>
      <c r="D47" s="2232"/>
      <c r="E47" s="4048">
        <v>227.33126391232889</v>
      </c>
      <c r="F47" s="4048">
        <v>246.69030699012214</v>
      </c>
      <c r="G47" s="4048">
        <v>266.03666522364358</v>
      </c>
      <c r="H47" s="4048">
        <v>285.3688949537343</v>
      </c>
      <c r="I47" s="4048">
        <v>304.68198692506843</v>
      </c>
      <c r="J47" s="4048">
        <v>325.92330345973716</v>
      </c>
      <c r="K47" s="4048">
        <v>297.97363341418611</v>
      </c>
      <c r="L47" s="4048">
        <v>274.96345974170822</v>
      </c>
      <c r="M47" s="4048">
        <v>247.58218354023921</v>
      </c>
      <c r="N47" s="4048">
        <v>217.77596856722661</v>
      </c>
      <c r="O47" s="4048">
        <v>218.94870006999835</v>
      </c>
      <c r="P47" s="4048">
        <v>225.51312817449531</v>
      </c>
      <c r="Q47" s="4048">
        <v>232.00612349094484</v>
      </c>
      <c r="R47" s="4048">
        <v>236.14843822233468</v>
      </c>
      <c r="S47" s="4048">
        <v>237.74641315441517</v>
      </c>
      <c r="T47" s="4048">
        <v>202.23967297118685</v>
      </c>
      <c r="U47" s="4048">
        <v>191.78131355969191</v>
      </c>
      <c r="V47" s="4048">
        <v>180.50437484164183</v>
      </c>
      <c r="W47" s="4048">
        <v>168.33889499727522</v>
      </c>
      <c r="X47" s="4048">
        <v>151.50594481761419</v>
      </c>
      <c r="Y47" s="4048">
        <v>133.79449716413717</v>
      </c>
      <c r="Z47" s="4048">
        <v>121.78268935599188</v>
      </c>
      <c r="AA47" s="4048">
        <v>118.51069108917444</v>
      </c>
      <c r="AB47" s="4048">
        <v>111.49092341544214</v>
      </c>
      <c r="AC47" s="4048">
        <v>108.87625703363453</v>
      </c>
      <c r="AD47" s="4048">
        <v>119.73884475683391</v>
      </c>
      <c r="AE47" s="4048">
        <v>120.72109384232132</v>
      </c>
      <c r="AF47" s="4048">
        <v>118.8988343564875</v>
      </c>
      <c r="AG47" s="4048">
        <v>149.72530244911653</v>
      </c>
      <c r="AH47" s="4048">
        <v>141.06361511560291</v>
      </c>
      <c r="AI47" s="4048">
        <v>108.87118016121181</v>
      </c>
      <c r="AJ47" s="4048">
        <v>162.36139181563749</v>
      </c>
      <c r="AK47" s="4065">
        <f t="shared" si="4"/>
        <v>71.420617217987541</v>
      </c>
      <c r="AL47" s="19"/>
    </row>
    <row r="48" spans="2:38" ht="18" customHeight="1" thickBot="1" x14ac:dyDescent="0.25">
      <c r="B48" s="1989"/>
      <c r="C48" s="307"/>
      <c r="D48" s="308"/>
      <c r="E48" s="4051"/>
      <c r="F48" s="4051"/>
      <c r="G48" s="4051"/>
      <c r="H48" s="4051"/>
      <c r="I48" s="4051"/>
      <c r="J48" s="4051"/>
      <c r="K48" s="4051"/>
      <c r="L48" s="4051"/>
      <c r="M48" s="4051"/>
      <c r="N48" s="4051"/>
      <c r="O48" s="4051"/>
      <c r="P48" s="4051"/>
      <c r="Q48" s="4051"/>
      <c r="R48" s="4051"/>
      <c r="S48" s="4051"/>
      <c r="T48" s="4051"/>
      <c r="U48" s="4051"/>
      <c r="V48" s="4051"/>
      <c r="W48" s="4051"/>
      <c r="X48" s="4051"/>
      <c r="Y48" s="4051"/>
      <c r="Z48" s="4051"/>
      <c r="AA48" s="4051"/>
      <c r="AB48" s="4051"/>
      <c r="AC48" s="4051"/>
      <c r="AD48" s="4051"/>
      <c r="AE48" s="4051"/>
      <c r="AF48" s="4051"/>
      <c r="AG48" s="4051"/>
      <c r="AH48" s="4051"/>
      <c r="AI48" s="4051"/>
      <c r="AJ48" s="4051"/>
      <c r="AK48" s="4066"/>
      <c r="AL48" s="19"/>
    </row>
    <row r="49" spans="2:38" ht="18" customHeight="1" x14ac:dyDescent="0.2">
      <c r="B49" s="1990" t="s">
        <v>1753</v>
      </c>
      <c r="C49" s="784"/>
      <c r="D49" s="784"/>
      <c r="E49" s="4057" t="str">
        <f>E50</f>
        <v>NO</v>
      </c>
      <c r="F49" s="4057" t="str">
        <f t="shared" ref="F49:AJ49" si="5">F50</f>
        <v>NO</v>
      </c>
      <c r="G49" s="4057" t="str">
        <f t="shared" si="5"/>
        <v>NO</v>
      </c>
      <c r="H49" s="4057" t="str">
        <f t="shared" si="5"/>
        <v>NO</v>
      </c>
      <c r="I49" s="4057" t="str">
        <f t="shared" si="5"/>
        <v>NO</v>
      </c>
      <c r="J49" s="4057" t="str">
        <f t="shared" si="5"/>
        <v>NO</v>
      </c>
      <c r="K49" s="4057" t="str">
        <f t="shared" si="5"/>
        <v>NO</v>
      </c>
      <c r="L49" s="4057" t="str">
        <f t="shared" si="5"/>
        <v>NO</v>
      </c>
      <c r="M49" s="4057" t="str">
        <f t="shared" si="5"/>
        <v>NO</v>
      </c>
      <c r="N49" s="4057" t="str">
        <f t="shared" si="5"/>
        <v>NO</v>
      </c>
      <c r="O49" s="4057" t="str">
        <f t="shared" si="5"/>
        <v>NO</v>
      </c>
      <c r="P49" s="4057" t="str">
        <f t="shared" si="5"/>
        <v>NO</v>
      </c>
      <c r="Q49" s="4057" t="str">
        <f t="shared" si="5"/>
        <v>NO</v>
      </c>
      <c r="R49" s="4057" t="str">
        <f t="shared" si="5"/>
        <v>NO</v>
      </c>
      <c r="S49" s="4057" t="str">
        <f t="shared" si="5"/>
        <v>NO</v>
      </c>
      <c r="T49" s="4057" t="str">
        <f t="shared" si="5"/>
        <v>NO</v>
      </c>
      <c r="U49" s="4057" t="str">
        <f t="shared" si="5"/>
        <v>NO</v>
      </c>
      <c r="V49" s="4057" t="str">
        <f t="shared" si="5"/>
        <v>NO</v>
      </c>
      <c r="W49" s="4057" t="str">
        <f t="shared" si="5"/>
        <v>NO</v>
      </c>
      <c r="X49" s="4057" t="str">
        <f t="shared" si="5"/>
        <v>NO</v>
      </c>
      <c r="Y49" s="4057" t="str">
        <f t="shared" si="5"/>
        <v>NO</v>
      </c>
      <c r="Z49" s="4057" t="str">
        <f t="shared" si="5"/>
        <v>NO</v>
      </c>
      <c r="AA49" s="4057" t="str">
        <f t="shared" si="5"/>
        <v>NO</v>
      </c>
      <c r="AB49" s="4057" t="str">
        <f t="shared" si="5"/>
        <v>NO</v>
      </c>
      <c r="AC49" s="4057" t="str">
        <f t="shared" si="5"/>
        <v>NO</v>
      </c>
      <c r="AD49" s="4057" t="str">
        <f t="shared" si="5"/>
        <v>NO</v>
      </c>
      <c r="AE49" s="4057" t="str">
        <f t="shared" si="5"/>
        <v>NO</v>
      </c>
      <c r="AF49" s="4057" t="str">
        <f t="shared" si="5"/>
        <v>NO</v>
      </c>
      <c r="AG49" s="4057" t="str">
        <f t="shared" si="5"/>
        <v>NO</v>
      </c>
      <c r="AH49" s="4057" t="str">
        <f t="shared" si="5"/>
        <v>NO</v>
      </c>
      <c r="AI49" s="4057" t="str">
        <f t="shared" si="5"/>
        <v>NO</v>
      </c>
      <c r="AJ49" s="4057" t="str">
        <f t="shared" si="5"/>
        <v>NO</v>
      </c>
      <c r="AK49" s="4064" t="s">
        <v>2147</v>
      </c>
      <c r="AL49" s="19"/>
    </row>
    <row r="50" spans="2:38" ht="18" customHeight="1" thickBot="1" x14ac:dyDescent="0.25">
      <c r="B50" s="1991" t="s">
        <v>1754</v>
      </c>
      <c r="C50" s="2231"/>
      <c r="D50" s="2232"/>
      <c r="E50" s="4053" t="s">
        <v>2146</v>
      </c>
      <c r="F50" s="4053" t="s">
        <v>2146</v>
      </c>
      <c r="G50" s="4053" t="s">
        <v>2146</v>
      </c>
      <c r="H50" s="4053" t="s">
        <v>2146</v>
      </c>
      <c r="I50" s="4053" t="s">
        <v>2146</v>
      </c>
      <c r="J50" s="4053" t="s">
        <v>2146</v>
      </c>
      <c r="K50" s="4053" t="s">
        <v>2146</v>
      </c>
      <c r="L50" s="4053" t="s">
        <v>2146</v>
      </c>
      <c r="M50" s="4053" t="s">
        <v>2146</v>
      </c>
      <c r="N50" s="4053" t="s">
        <v>2146</v>
      </c>
      <c r="O50" s="4053" t="s">
        <v>2146</v>
      </c>
      <c r="P50" s="4053" t="s">
        <v>2146</v>
      </c>
      <c r="Q50" s="4053" t="s">
        <v>2146</v>
      </c>
      <c r="R50" s="4053" t="s">
        <v>2146</v>
      </c>
      <c r="S50" s="4053" t="s">
        <v>2146</v>
      </c>
      <c r="T50" s="4053" t="s">
        <v>2146</v>
      </c>
      <c r="U50" s="4053" t="s">
        <v>2146</v>
      </c>
      <c r="V50" s="4053" t="s">
        <v>2146</v>
      </c>
      <c r="W50" s="4053" t="s">
        <v>2146</v>
      </c>
      <c r="X50" s="4053" t="s">
        <v>2146</v>
      </c>
      <c r="Y50" s="4053" t="s">
        <v>2146</v>
      </c>
      <c r="Z50" s="4053" t="s">
        <v>2146</v>
      </c>
      <c r="AA50" s="4053" t="s">
        <v>2146</v>
      </c>
      <c r="AB50" s="4053" t="s">
        <v>2146</v>
      </c>
      <c r="AC50" s="4053" t="s">
        <v>2146</v>
      </c>
      <c r="AD50" s="4053" t="s">
        <v>2146</v>
      </c>
      <c r="AE50" s="4053" t="s">
        <v>2146</v>
      </c>
      <c r="AF50" s="4053" t="s">
        <v>2146</v>
      </c>
      <c r="AG50" s="4053" t="s">
        <v>2146</v>
      </c>
      <c r="AH50" s="4053" t="s">
        <v>2146</v>
      </c>
      <c r="AI50" s="4053" t="s">
        <v>2146</v>
      </c>
      <c r="AJ50" s="4053" t="s">
        <v>2146</v>
      </c>
      <c r="AK50" s="4065" t="s">
        <v>2147</v>
      </c>
      <c r="AL50" s="19"/>
    </row>
    <row r="51" spans="2:38" ht="12.75" x14ac:dyDescent="0.2">
      <c r="B51" s="1992"/>
      <c r="C51" s="786"/>
      <c r="D51" s="786"/>
      <c r="E51" s="786"/>
      <c r="F51" s="786"/>
      <c r="G51" s="786"/>
      <c r="H51" s="786"/>
      <c r="I51" s="786"/>
      <c r="J51" s="786"/>
      <c r="K51" s="786"/>
      <c r="L51" s="786"/>
      <c r="M51" s="786"/>
      <c r="N51" s="786"/>
      <c r="O51" s="786"/>
      <c r="P51" s="786"/>
      <c r="Q51" s="786"/>
      <c r="R51" s="786"/>
      <c r="S51" s="786"/>
      <c r="T51" s="786"/>
      <c r="U51" s="786"/>
      <c r="V51" s="786"/>
      <c r="W51" s="786"/>
      <c r="X51" s="786"/>
      <c r="Y51" s="786"/>
      <c r="Z51" s="786"/>
      <c r="AA51" s="786"/>
      <c r="AB51" s="786"/>
      <c r="AC51" s="786"/>
      <c r="AD51" s="786"/>
      <c r="AE51" s="786"/>
      <c r="AF51" s="786"/>
      <c r="AG51" s="786"/>
      <c r="AH51" s="786"/>
      <c r="AI51" s="786"/>
      <c r="AJ51" s="786"/>
      <c r="AK51" s="786"/>
      <c r="AL51" s="19"/>
    </row>
    <row r="52" spans="2:38" ht="15" customHeight="1" x14ac:dyDescent="0.2">
      <c r="B52" s="1993"/>
    </row>
    <row r="53" spans="2:38" ht="15" customHeight="1" x14ac:dyDescent="0.2">
      <c r="B53" s="1993"/>
    </row>
  </sheetData>
  <phoneticPr fontId="49" type="noConversion"/>
  <dataValidations count="1">
    <dataValidation allowBlank="1" showInputMessage="1" showErrorMessage="1" sqref="B30:B32 E10:AJ65534 B42:B44 B45:D65534 E1:AJ8 AK1:KB1048576 C1:D43 B1:B10"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L6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6" width="10.42578125" customWidth="1"/>
    <col min="37" max="37" width="11.42578125" customWidth="1"/>
    <col min="38" max="38" width="10.85546875" customWidth="1"/>
    <col min="39" max="39" width="8.5703125" customWidth="1"/>
    <col min="40" max="40" width="8.85546875" customWidth="1"/>
    <col min="41" max="44" width="9" customWidth="1"/>
    <col min="45" max="46" width="9.140625" customWidth="1"/>
    <col min="47" max="47" width="8.85546875" customWidth="1"/>
    <col min="48" max="48" width="10.140625" customWidth="1"/>
    <col min="49" max="49" width="9.85546875" customWidth="1"/>
    <col min="50" max="50" width="9.5703125" customWidth="1"/>
  </cols>
  <sheetData>
    <row r="1" spans="2:38" ht="15.75" x14ac:dyDescent="0.2">
      <c r="B1" s="3" t="s">
        <v>1755</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x14ac:dyDescent="0.2">
      <c r="B2" s="3" t="s">
        <v>1756</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x14ac:dyDescent="0.2">
      <c r="B3" s="753" t="s">
        <v>1757</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3.5" thickBot="1" x14ac:dyDescent="0.25">
      <c r="B7" s="2452" t="s">
        <v>64</v>
      </c>
      <c r="C7" s="254"/>
      <c r="D7" s="254"/>
      <c r="E7" s="2408"/>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433" t="s">
        <v>1546</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54"/>
      <c r="C9" s="758" t="s">
        <v>979</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297</v>
      </c>
      <c r="AL9" s="19"/>
    </row>
    <row r="10" spans="2:38" ht="18" customHeight="1" thickTop="1" x14ac:dyDescent="0.2">
      <c r="B10" s="1955" t="s">
        <v>1758</v>
      </c>
      <c r="C10" s="4318"/>
      <c r="D10" s="4319"/>
      <c r="E10" s="4310">
        <f>Table10s2!E70</f>
        <v>278160.26805526653</v>
      </c>
      <c r="F10" s="4310">
        <f>Table10s2!F70</f>
        <v>279534.03181228612</v>
      </c>
      <c r="G10" s="4310">
        <f>Table10s2!G70</f>
        <v>284528.77332804789</v>
      </c>
      <c r="H10" s="4310">
        <f>Table10s2!H70</f>
        <v>288873.50688492262</v>
      </c>
      <c r="I10" s="4310">
        <f>Table10s2!I70</f>
        <v>293700.91957993741</v>
      </c>
      <c r="J10" s="4310">
        <f>Table10s2!J70</f>
        <v>305055.58608645888</v>
      </c>
      <c r="K10" s="4310">
        <f>Table10s2!K70</f>
        <v>311940.49449217174</v>
      </c>
      <c r="L10" s="4310">
        <f>Table10s2!L70</f>
        <v>320332.75756245892</v>
      </c>
      <c r="M10" s="4310">
        <f>Table10s2!M70</f>
        <v>334135.54509659437</v>
      </c>
      <c r="N10" s="4310">
        <f>Table10s2!N70</f>
        <v>343959.20639615145</v>
      </c>
      <c r="O10" s="4310">
        <f>Table10s2!O70</f>
        <v>350007.69574650691</v>
      </c>
      <c r="P10" s="4310">
        <f>Table10s2!P70</f>
        <v>357783.39046354243</v>
      </c>
      <c r="Q10" s="4310">
        <f>Table10s2!Q70</f>
        <v>362536.53354913293</v>
      </c>
      <c r="R10" s="4310">
        <f>Table10s2!R70</f>
        <v>369441.74104620941</v>
      </c>
      <c r="S10" s="4310">
        <f>Table10s2!S70</f>
        <v>382873.45395480172</v>
      </c>
      <c r="T10" s="4310">
        <f>Table10s2!T70</f>
        <v>386205.37511791976</v>
      </c>
      <c r="U10" s="4310">
        <f>Table10s2!U70</f>
        <v>392436.33331443917</v>
      </c>
      <c r="V10" s="4310">
        <f>Table10s2!V70</f>
        <v>399676.26031113707</v>
      </c>
      <c r="W10" s="4310">
        <f>Table10s2!W70</f>
        <v>404255.69977468724</v>
      </c>
      <c r="X10" s="4310">
        <f>Table10s2!X70</f>
        <v>407477.15568345896</v>
      </c>
      <c r="Y10" s="4310">
        <f>Table10s2!Y70</f>
        <v>405512.16983006388</v>
      </c>
      <c r="Z10" s="4310">
        <f>Table10s2!Z70</f>
        <v>404256.78948144638</v>
      </c>
      <c r="AA10" s="4310">
        <f>Table10s2!AA70</f>
        <v>406579.73074237694</v>
      </c>
      <c r="AB10" s="4310">
        <f>Table10s2!AB70</f>
        <v>399288.01113635505</v>
      </c>
      <c r="AC10" s="4310">
        <f>Table10s2!AC70</f>
        <v>393049.37137247092</v>
      </c>
      <c r="AD10" s="4310">
        <f>Table10s2!AD70</f>
        <v>401378.36030336434</v>
      </c>
      <c r="AE10" s="4310">
        <f>Table10s2!AE70</f>
        <v>410253.59318126354</v>
      </c>
      <c r="AF10" s="4310">
        <f>Table10s2!AF70</f>
        <v>413655.46471556515</v>
      </c>
      <c r="AG10" s="4310">
        <f>Table10s2!AG70</f>
        <v>415350.72045333055</v>
      </c>
      <c r="AH10" s="4310">
        <f>Table10s2!AH70</f>
        <v>415811.27005672717</v>
      </c>
      <c r="AI10" s="4310">
        <f>Table10s2!AI70</f>
        <v>399405.49779973278</v>
      </c>
      <c r="AJ10" s="4310">
        <f>Table10s2!AJ70</f>
        <v>388777.52950856066</v>
      </c>
      <c r="AK10" s="4059">
        <f t="shared" ref="AK10:AK22" si="0">IF(AJ10="NO",IF(E10="NO","NA",-100),IF(E10="NO",100,AJ10/E10*100))</f>
        <v>139.76745572855</v>
      </c>
      <c r="AL10" s="19"/>
    </row>
    <row r="11" spans="2:38" ht="18" customHeight="1" x14ac:dyDescent="0.2">
      <c r="B11" s="1955" t="s">
        <v>1759</v>
      </c>
      <c r="C11" s="1956"/>
      <c r="D11" s="1957"/>
      <c r="E11" s="4122">
        <f>Table10s2!E71</f>
        <v>451741.62831893959</v>
      </c>
      <c r="F11" s="4122">
        <f>Table10s2!F71</f>
        <v>439341.82550684205</v>
      </c>
      <c r="G11" s="4122">
        <f>Table10s2!G71</f>
        <v>377828.83068512147</v>
      </c>
      <c r="H11" s="4122">
        <f>Table10s2!H71</f>
        <v>360984.05964909209</v>
      </c>
      <c r="I11" s="4122">
        <f>Table10s2!I71</f>
        <v>361667.93862424081</v>
      </c>
      <c r="J11" s="4122">
        <f>Table10s2!J71</f>
        <v>348075.40034182055</v>
      </c>
      <c r="K11" s="4122">
        <f>Table10s2!K71</f>
        <v>355297.00460252597</v>
      </c>
      <c r="L11" s="4122">
        <f>Table10s2!L71</f>
        <v>352203.16243617068</v>
      </c>
      <c r="M11" s="4122">
        <f>Table10s2!M71</f>
        <v>353346.18960000837</v>
      </c>
      <c r="N11" s="4122">
        <f>Table10s2!N71</f>
        <v>370978.31579456636</v>
      </c>
      <c r="O11" s="4122">
        <f>Table10s2!O71</f>
        <v>389883.26444769622</v>
      </c>
      <c r="P11" s="4122">
        <f>Table10s2!P71</f>
        <v>410933.30140591221</v>
      </c>
      <c r="Q11" s="4122">
        <f>Table10s2!Q71</f>
        <v>407434.13570502802</v>
      </c>
      <c r="R11" s="4122">
        <f>Table10s2!R71</f>
        <v>424404.81102360139</v>
      </c>
      <c r="S11" s="4122">
        <f>Table10s2!S71</f>
        <v>416096.33595123363</v>
      </c>
      <c r="T11" s="4122">
        <f>Table10s2!T71</f>
        <v>443673.13651708735</v>
      </c>
      <c r="U11" s="4122">
        <f>Table10s2!U71</f>
        <v>454289.46254824416</v>
      </c>
      <c r="V11" s="4122">
        <f>Table10s2!V71</f>
        <v>468786.29567253083</v>
      </c>
      <c r="W11" s="4122">
        <f>Table10s2!W71</f>
        <v>460170.35455976438</v>
      </c>
      <c r="X11" s="4122">
        <f>Table10s2!X71</f>
        <v>461119.87343517161</v>
      </c>
      <c r="Y11" s="4310">
        <f>Table10s2!Y71</f>
        <v>446668.42883700272</v>
      </c>
      <c r="Z11" s="4310">
        <f>Table10s2!Z71</f>
        <v>423745.87394956278</v>
      </c>
      <c r="AA11" s="4310">
        <f>Table10s2!AA71</f>
        <v>409527.1006864892</v>
      </c>
      <c r="AB11" s="4310">
        <f>Table10s2!AB71</f>
        <v>393380.90857843566</v>
      </c>
      <c r="AC11" s="4310">
        <f>Table10s2!AC71</f>
        <v>389471.72227860283</v>
      </c>
      <c r="AD11" s="4310">
        <f>Table10s2!AD71</f>
        <v>375219.56430851849</v>
      </c>
      <c r="AE11" s="4310">
        <f>Table10s2!AE71</f>
        <v>349339.45979783888</v>
      </c>
      <c r="AF11" s="4310">
        <f>Table10s2!AF71</f>
        <v>342637.41942929709</v>
      </c>
      <c r="AG11" s="4310">
        <f>Table10s2!AG71</f>
        <v>349825.36614013097</v>
      </c>
      <c r="AH11" s="4310">
        <f>Table10s2!AH71</f>
        <v>348366.06295424199</v>
      </c>
      <c r="AI11" s="4310">
        <f>Table10s2!AI71</f>
        <v>340318.55911006808</v>
      </c>
      <c r="AJ11" s="4310">
        <f>Table10s2!AJ71</f>
        <v>309393.85854948277</v>
      </c>
      <c r="AK11" s="4059">
        <f t="shared" si="0"/>
        <v>68.489118370787793</v>
      </c>
      <c r="AL11" s="19"/>
    </row>
    <row r="12" spans="2:38" ht="18" customHeight="1" x14ac:dyDescent="0.2">
      <c r="B12" s="1958" t="s">
        <v>1760</v>
      </c>
      <c r="C12" s="1956"/>
      <c r="D12" s="1957"/>
      <c r="E12" s="4122">
        <f>Table10s3!E58*28</f>
        <v>140149.43051313172</v>
      </c>
      <c r="F12" s="4122">
        <f>Table10s3!F58*28</f>
        <v>139103.31410436897</v>
      </c>
      <c r="G12" s="4122">
        <f>Table10s3!G58*28</f>
        <v>138028.60505850206</v>
      </c>
      <c r="H12" s="4122">
        <f>Table10s3!H58*28</f>
        <v>134529.85880991895</v>
      </c>
      <c r="I12" s="4122">
        <f>Table10s3!I58*28</f>
        <v>131341.09135677532</v>
      </c>
      <c r="J12" s="4122">
        <f>Table10s3!J58*28</f>
        <v>129738.14887797914</v>
      </c>
      <c r="K12" s="4122">
        <f>Table10s3!K58*28</f>
        <v>128974.72252970855</v>
      </c>
      <c r="L12" s="4122">
        <f>Table10s3!L58*28</f>
        <v>132163.20658320101</v>
      </c>
      <c r="M12" s="4122">
        <f>Table10s3!M58*28</f>
        <v>131972.99006800994</v>
      </c>
      <c r="N12" s="4122">
        <f>Table10s3!N58*28</f>
        <v>127862.47159391968</v>
      </c>
      <c r="O12" s="4122">
        <f>Table10s3!O58*28</f>
        <v>132216.5877681711</v>
      </c>
      <c r="P12" s="4122">
        <f>Table10s3!P58*28</f>
        <v>131162.52145220994</v>
      </c>
      <c r="Q12" s="4122">
        <f>Table10s3!Q58*28</f>
        <v>129343.34917020048</v>
      </c>
      <c r="R12" s="4122">
        <f>Table10s3!R58*28</f>
        <v>121551.40216959805</v>
      </c>
      <c r="S12" s="4122">
        <f>Table10s3!S58*28</f>
        <v>123216.53798601926</v>
      </c>
      <c r="T12" s="4122">
        <f>Table10s3!T58*28</f>
        <v>125777.26358107259</v>
      </c>
      <c r="U12" s="4122">
        <f>Table10s3!U58*28</f>
        <v>124654.13001083602</v>
      </c>
      <c r="V12" s="4122">
        <f>Table10s3!V58*28</f>
        <v>125065.29649464207</v>
      </c>
      <c r="W12" s="4122">
        <f>Table10s3!W58*28</f>
        <v>122148.66671917598</v>
      </c>
      <c r="X12" s="4122">
        <f>Table10s3!X58*28</f>
        <v>120768.25533425233</v>
      </c>
      <c r="Y12" s="4310">
        <f>Table10s3!Y58*28</f>
        <v>117387.54631177135</v>
      </c>
      <c r="Z12" s="4310">
        <f>Table10s3!Z58*28</f>
        <v>119118.78175841589</v>
      </c>
      <c r="AA12" s="4310">
        <f>Table10s3!AA58*28</f>
        <v>119488.41404690722</v>
      </c>
      <c r="AB12" s="4310">
        <f>Table10s3!AB58*28</f>
        <v>119059.29874902077</v>
      </c>
      <c r="AC12" s="4310">
        <f>Table10s3!AC58*28</f>
        <v>115962.81913215169</v>
      </c>
      <c r="AD12" s="4310">
        <f>Table10s3!AD58*28</f>
        <v>116479.0796145957</v>
      </c>
      <c r="AE12" s="4310">
        <f>Table10s3!AE58*28</f>
        <v>115338.56910689117</v>
      </c>
      <c r="AF12" s="4310">
        <f>Table10s3!AF58*28</f>
        <v>117465.12792043338</v>
      </c>
      <c r="AG12" s="4310">
        <f>Table10s3!AG58*28</f>
        <v>118013.42701406287</v>
      </c>
      <c r="AH12" s="4310">
        <f>Table10s3!AH58*28</f>
        <v>111602.96558811457</v>
      </c>
      <c r="AI12" s="4310">
        <f>Table10s3!AI58*28</f>
        <v>109758.72857490895</v>
      </c>
      <c r="AJ12" s="4310">
        <f>Table10s3!AJ58*28</f>
        <v>109934.74161031269</v>
      </c>
      <c r="AK12" s="4059">
        <f t="shared" si="0"/>
        <v>78.441090490205042</v>
      </c>
      <c r="AL12" s="19"/>
    </row>
    <row r="13" spans="2:38" ht="18" customHeight="1" x14ac:dyDescent="0.2">
      <c r="B13" s="1959" t="s">
        <v>1761</v>
      </c>
      <c r="C13" s="1956"/>
      <c r="D13" s="1957"/>
      <c r="E13" s="4122">
        <f>Table10s3!E59*28</f>
        <v>160497.86711409994</v>
      </c>
      <c r="F13" s="4122">
        <f>Table10s3!F59*28</f>
        <v>158679.4441387543</v>
      </c>
      <c r="G13" s="4122">
        <f>Table10s3!G59*28</f>
        <v>156014.66791627542</v>
      </c>
      <c r="H13" s="4122">
        <f>Table10s3!H59*28</f>
        <v>151878.1870959269</v>
      </c>
      <c r="I13" s="4122">
        <f>Table10s3!I59*28</f>
        <v>148108.34178834604</v>
      </c>
      <c r="J13" s="4122">
        <f>Table10s3!J59*28</f>
        <v>146247.77173252951</v>
      </c>
      <c r="K13" s="4122">
        <f>Table10s3!K59*28</f>
        <v>146453.73637102294</v>
      </c>
      <c r="L13" s="4122">
        <f>Table10s3!L59*28</f>
        <v>149484.18347741742</v>
      </c>
      <c r="M13" s="4122">
        <f>Table10s3!M59*28</f>
        <v>149234.47276272901</v>
      </c>
      <c r="N13" s="4122">
        <f>Table10s3!N59*28</f>
        <v>146216.05023088644</v>
      </c>
      <c r="O13" s="4122">
        <f>Table10s3!O59*28</f>
        <v>152577.47096541472</v>
      </c>
      <c r="P13" s="4122">
        <f>Table10s3!P59*28</f>
        <v>150793.18442716394</v>
      </c>
      <c r="Q13" s="4122">
        <f>Table10s3!Q59*28</f>
        <v>149355.70861309764</v>
      </c>
      <c r="R13" s="4122">
        <f>Table10s3!R59*28</f>
        <v>141624.70246914861</v>
      </c>
      <c r="S13" s="4122">
        <f>Table10s3!S59*28</f>
        <v>141853.80850659538</v>
      </c>
      <c r="T13" s="4122">
        <f>Table10s3!T59*28</f>
        <v>144631.89131593294</v>
      </c>
      <c r="U13" s="4122">
        <f>Table10s3!U59*28</f>
        <v>144992.01181712624</v>
      </c>
      <c r="V13" s="4122">
        <f>Table10s3!V59*28</f>
        <v>146015.68845035255</v>
      </c>
      <c r="W13" s="4122">
        <f>Table10s3!W59*28</f>
        <v>142735.03367228905</v>
      </c>
      <c r="X13" s="4122">
        <f>Table10s3!X59*28</f>
        <v>141129.27285457478</v>
      </c>
      <c r="Y13" s="4310">
        <f>Table10s3!Y59*28</f>
        <v>137371.79299338884</v>
      </c>
      <c r="Z13" s="4310">
        <f>Table10s3!Z59*28</f>
        <v>139498.74326109022</v>
      </c>
      <c r="AA13" s="4310">
        <f>Table10s3!AA59*28</f>
        <v>138400.25247650445</v>
      </c>
      <c r="AB13" s="4310">
        <f>Table10s3!AB59*28</f>
        <v>137633.02971345925</v>
      </c>
      <c r="AC13" s="4310">
        <f>Table10s3!AC59*28</f>
        <v>135298.48807745604</v>
      </c>
      <c r="AD13" s="4310">
        <f>Table10s3!AD59*28</f>
        <v>135085.5897471428</v>
      </c>
      <c r="AE13" s="4310">
        <f>Table10s3!AE59*28</f>
        <v>132526.63657626385</v>
      </c>
      <c r="AF13" s="4310">
        <f>Table10s3!AF59*28</f>
        <v>134864.96910660679</v>
      </c>
      <c r="AG13" s="4310">
        <f>Table10s3!AG59*28</f>
        <v>133500.49685231165</v>
      </c>
      <c r="AH13" s="4310">
        <f>Table10s3!AH59*28</f>
        <v>126392.97711138389</v>
      </c>
      <c r="AI13" s="4310">
        <f>Table10s3!AI59*28</f>
        <v>123085.0543939713</v>
      </c>
      <c r="AJ13" s="4310">
        <f>Table10s3!AJ59*28</f>
        <v>122363.34083404431</v>
      </c>
      <c r="AK13" s="4059">
        <f t="shared" si="0"/>
        <v>76.239854793244504</v>
      </c>
      <c r="AL13" s="19"/>
    </row>
    <row r="14" spans="2:38" ht="18" customHeight="1" x14ac:dyDescent="0.2">
      <c r="B14" s="1959" t="s">
        <v>1762</v>
      </c>
      <c r="C14" s="1956"/>
      <c r="D14" s="1957"/>
      <c r="E14" s="4122">
        <f>Table10s4!E58*265</f>
        <v>14182.542225199906</v>
      </c>
      <c r="F14" s="4122">
        <f>Table10s4!F58*265</f>
        <v>13824.713737131497</v>
      </c>
      <c r="G14" s="4122">
        <f>Table10s4!G58*265</f>
        <v>13671.596587394226</v>
      </c>
      <c r="H14" s="4122">
        <f>Table10s4!H58*265</f>
        <v>14078.636351325376</v>
      </c>
      <c r="I14" s="4122">
        <f>Table10s4!I58*265</f>
        <v>14455.67359754975</v>
      </c>
      <c r="J14" s="4122">
        <f>Table10s4!J58*265</f>
        <v>13717.695107843105</v>
      </c>
      <c r="K14" s="4122">
        <f>Table10s4!K58*265</f>
        <v>14837.935927107028</v>
      </c>
      <c r="L14" s="4122">
        <f>Table10s4!L58*265</f>
        <v>15533.3429738586</v>
      </c>
      <c r="M14" s="4122">
        <f>Table10s4!M58*265</f>
        <v>15580.522349585815</v>
      </c>
      <c r="N14" s="4122">
        <f>Table10s4!N58*265</f>
        <v>16002.327372955575</v>
      </c>
      <c r="O14" s="4122">
        <f>Table10s4!O58*265</f>
        <v>16837.685961199779</v>
      </c>
      <c r="P14" s="4122">
        <f>Table10s4!P58*265</f>
        <v>17116.330378502262</v>
      </c>
      <c r="Q14" s="4122">
        <f>Table10s4!Q58*265</f>
        <v>17565.416141948921</v>
      </c>
      <c r="R14" s="4122">
        <f>Table10s4!R58*265</f>
        <v>16538.906095990798</v>
      </c>
      <c r="S14" s="4122">
        <f>Table10s4!S58*265</f>
        <v>18032.93362243145</v>
      </c>
      <c r="T14" s="4122">
        <f>Table10s4!T58*265</f>
        <v>18093.91413282225</v>
      </c>
      <c r="U14" s="4122">
        <f>Table10s4!U58*265</f>
        <v>18008.883931247536</v>
      </c>
      <c r="V14" s="4122">
        <f>Table10s4!V58*265</f>
        <v>16587.020689762663</v>
      </c>
      <c r="W14" s="4122">
        <f>Table10s4!W58*265</f>
        <v>16870.003393626848</v>
      </c>
      <c r="X14" s="4122">
        <f>Table10s4!X58*265</f>
        <v>17266.455190340239</v>
      </c>
      <c r="Y14" s="4310">
        <f>Table10s4!Y58*265</f>
        <v>17149.190448786743</v>
      </c>
      <c r="Z14" s="4310">
        <f>Table10s4!Z58*265</f>
        <v>17829.269499357815</v>
      </c>
      <c r="AA14" s="4310">
        <f>Table10s4!AA58*265</f>
        <v>18037.345854666921</v>
      </c>
      <c r="AB14" s="4310">
        <f>Table10s4!AB58*265</f>
        <v>16979.991429667123</v>
      </c>
      <c r="AC14" s="4310">
        <f>Table10s4!AC58*265</f>
        <v>17319.895494551569</v>
      </c>
      <c r="AD14" s="4310">
        <f>Table10s4!AD58*265</f>
        <v>16757.11267503769</v>
      </c>
      <c r="AE14" s="4310">
        <f>Table10s4!AE58*265</f>
        <v>16734.454741943333</v>
      </c>
      <c r="AF14" s="4310">
        <f>Table10s4!AF58*265</f>
        <v>18236.675226650226</v>
      </c>
      <c r="AG14" s="4310">
        <f>Table10s4!AG58*265</f>
        <v>17209.685946098794</v>
      </c>
      <c r="AH14" s="4310">
        <f>Table10s4!AH58*265</f>
        <v>16727.650124279138</v>
      </c>
      <c r="AI14" s="4310">
        <f>Table10s4!AI58*265</f>
        <v>16274.312263920514</v>
      </c>
      <c r="AJ14" s="4310">
        <f>Table10s4!AJ58*265</f>
        <v>18060.12157757848</v>
      </c>
      <c r="AK14" s="4059">
        <f t="shared" si="0"/>
        <v>127.340509838136</v>
      </c>
      <c r="AL14" s="19"/>
    </row>
    <row r="15" spans="2:38" ht="18" customHeight="1" x14ac:dyDescent="0.2">
      <c r="B15" s="1959" t="s">
        <v>1763</v>
      </c>
      <c r="C15" s="1956"/>
      <c r="D15" s="1957"/>
      <c r="E15" s="4122">
        <f>Table10s4!E59*265</f>
        <v>18464.635238865536</v>
      </c>
      <c r="F15" s="4122">
        <f>Table10s4!F59*265</f>
        <v>17888.523874473518</v>
      </c>
      <c r="G15" s="4122">
        <f>Table10s4!G59*265</f>
        <v>17399.015295343492</v>
      </c>
      <c r="H15" s="4122">
        <f>Table10s4!H59*265</f>
        <v>17656.491902867012</v>
      </c>
      <c r="I15" s="4122">
        <f>Table10s4!I59*265</f>
        <v>18069.771773214368</v>
      </c>
      <c r="J15" s="4122">
        <f>Table10s4!J59*265</f>
        <v>17323.762399421419</v>
      </c>
      <c r="K15" s="4122">
        <f>Table10s4!K59*265</f>
        <v>18738.148763977726</v>
      </c>
      <c r="L15" s="4122">
        <f>Table10s4!L59*265</f>
        <v>19356.613411283164</v>
      </c>
      <c r="M15" s="4122">
        <f>Table10s4!M59*265</f>
        <v>19404.214708440279</v>
      </c>
      <c r="N15" s="4122">
        <f>Table10s4!N59*265</f>
        <v>20268.743956597955</v>
      </c>
      <c r="O15" s="4122">
        <f>Table10s4!O59*265</f>
        <v>21370.552806185093</v>
      </c>
      <c r="P15" s="4122">
        <f>Table10s4!P59*265</f>
        <v>21516.030634138067</v>
      </c>
      <c r="Q15" s="4122">
        <f>Table10s4!Q59*265</f>
        <v>22009.008498506202</v>
      </c>
      <c r="R15" s="4122">
        <f>Table10s4!R59*265</f>
        <v>21275.305918177444</v>
      </c>
      <c r="S15" s="4122">
        <f>Table10s4!S59*265</f>
        <v>22199.152176205138</v>
      </c>
      <c r="T15" s="4122">
        <f>Table10s4!T59*265</f>
        <v>22474.928747094098</v>
      </c>
      <c r="U15" s="4122">
        <f>Table10s4!U59*265</f>
        <v>22590.570952594815</v>
      </c>
      <c r="V15" s="4122">
        <f>Table10s4!V59*265</f>
        <v>21310.155554211899</v>
      </c>
      <c r="W15" s="4122">
        <f>Table10s4!W59*265</f>
        <v>21491.475557406095</v>
      </c>
      <c r="X15" s="4122">
        <f>Table10s4!X59*265</f>
        <v>22041.917619330037</v>
      </c>
      <c r="Y15" s="4310">
        <f>Table10s4!Y59*265</f>
        <v>22168.57676581281</v>
      </c>
      <c r="Z15" s="4310">
        <f>Table10s4!Z59*265</f>
        <v>22985.119447513378</v>
      </c>
      <c r="AA15" s="4310">
        <f>Table10s4!AA59*265</f>
        <v>22950.031127667888</v>
      </c>
      <c r="AB15" s="4310">
        <f>Table10s4!AB59*265</f>
        <v>21616.034875143563</v>
      </c>
      <c r="AC15" s="4310">
        <f>Table10s4!AC59*265</f>
        <v>21927.908506415071</v>
      </c>
      <c r="AD15" s="4310">
        <f>Table10s4!AD59*265</f>
        <v>20989.783495448584</v>
      </c>
      <c r="AE15" s="4310">
        <f>Table10s4!AE59*265</f>
        <v>20588.698420177712</v>
      </c>
      <c r="AF15" s="4310">
        <f>Table10s4!AF59*265</f>
        <v>22083.308892323614</v>
      </c>
      <c r="AG15" s="4310">
        <f>Table10s4!AG59*265</f>
        <v>20646.912822890969</v>
      </c>
      <c r="AH15" s="4310">
        <f>Table10s4!AH59*265</f>
        <v>19994.971276994227</v>
      </c>
      <c r="AI15" s="4310">
        <f>Table10s4!AI59*265</f>
        <v>19528.168228383322</v>
      </c>
      <c r="AJ15" s="4310">
        <f>Table10s4!AJ59*265</f>
        <v>21154.211106405906</v>
      </c>
      <c r="AK15" s="4059">
        <f t="shared" si="0"/>
        <v>114.56609260213915</v>
      </c>
      <c r="AL15" s="19"/>
    </row>
    <row r="16" spans="2:38" ht="18" customHeight="1" x14ac:dyDescent="0.2">
      <c r="B16" s="1960" t="s">
        <v>1539</v>
      </c>
      <c r="C16" s="1956"/>
      <c r="D16" s="1957"/>
      <c r="E16" s="4122">
        <f>Table10s5!E10</f>
        <v>1193.6537599999999</v>
      </c>
      <c r="F16" s="4122">
        <f>Table10s5!F10</f>
        <v>1193.6537599999999</v>
      </c>
      <c r="G16" s="4122">
        <f>Table10s5!G10</f>
        <v>1116.992</v>
      </c>
      <c r="H16" s="4122">
        <f>Table10s5!H10</f>
        <v>1533.136</v>
      </c>
      <c r="I16" s="4122">
        <f>Table10s5!I10</f>
        <v>861.51013286795262</v>
      </c>
      <c r="J16" s="4122">
        <f>Table10s5!J10</f>
        <v>862.28099757385166</v>
      </c>
      <c r="K16" s="4122">
        <f>Table10s5!K10</f>
        <v>255.3631786309484</v>
      </c>
      <c r="L16" s="4122">
        <f>Table10s5!L10</f>
        <v>426.82299941723312</v>
      </c>
      <c r="M16" s="4122">
        <f>Table10s5!M10</f>
        <v>607.0172347661329</v>
      </c>
      <c r="N16" s="4122">
        <f>Table10s5!N10</f>
        <v>904.91759376843322</v>
      </c>
      <c r="O16" s="4122">
        <f>Table10s5!O10</f>
        <v>1150.4928811431278</v>
      </c>
      <c r="P16" s="4122">
        <f>Table10s5!P10</f>
        <v>1547.7184967079177</v>
      </c>
      <c r="Q16" s="4122">
        <f>Table10s5!Q10</f>
        <v>1939.8840539305438</v>
      </c>
      <c r="R16" s="4122">
        <f>Table10s5!R10</f>
        <v>2431.4413681307883</v>
      </c>
      <c r="S16" s="4122">
        <f>Table10s5!S10</f>
        <v>2925.3286647757277</v>
      </c>
      <c r="T16" s="4122">
        <f>Table10s5!T10</f>
        <v>3699.5141646572242</v>
      </c>
      <c r="U16" s="4122">
        <f>Table10s5!U10</f>
        <v>4108.7147366727795</v>
      </c>
      <c r="V16" s="4122">
        <f>Table10s5!V10</f>
        <v>4706.3765189513442</v>
      </c>
      <c r="W16" s="4122">
        <f>Table10s5!W10</f>
        <v>5286.3167534213235</v>
      </c>
      <c r="X16" s="4122">
        <f>Table10s5!X10</f>
        <v>6141.5462216641918</v>
      </c>
      <c r="Y16" s="4310">
        <f>Table10s5!Y10</f>
        <v>6735.332259575277</v>
      </c>
      <c r="Z16" s="4310">
        <f>Table10s5!Z10</f>
        <v>7409.828679370049</v>
      </c>
      <c r="AA16" s="4310">
        <f>Table10s5!AA10</f>
        <v>7816.4186628708085</v>
      </c>
      <c r="AB16" s="4310">
        <f>Table10s5!AB10</f>
        <v>8187.2588327414178</v>
      </c>
      <c r="AC16" s="4310">
        <f>Table10s5!AC10</f>
        <v>8837.371668775806</v>
      </c>
      <c r="AD16" s="4310">
        <f>Table10s5!AD10</f>
        <v>9343.4630293335176</v>
      </c>
      <c r="AE16" s="4310">
        <f>Table10s5!AE10</f>
        <v>9705.2434129086032</v>
      </c>
      <c r="AF16" s="4310">
        <f>Table10s5!AF10</f>
        <v>9922.2936700768205</v>
      </c>
      <c r="AG16" s="4310">
        <f>Table10s5!AG10</f>
        <v>9891.6117285115215</v>
      </c>
      <c r="AH16" s="4310">
        <f>Table10s5!AH10</f>
        <v>10688.479613937492</v>
      </c>
      <c r="AI16" s="4310">
        <f>Table10s5!AI10</f>
        <v>10949.191718307842</v>
      </c>
      <c r="AJ16" s="4310">
        <f>Table10s5!AJ10</f>
        <v>11405.410872526387</v>
      </c>
      <c r="AK16" s="4059">
        <f t="shared" si="0"/>
        <v>955.50412144023971</v>
      </c>
      <c r="AL16" s="19"/>
    </row>
    <row r="17" spans="2:38" ht="18" customHeight="1" x14ac:dyDescent="0.2">
      <c r="B17" s="1960" t="s">
        <v>1511</v>
      </c>
      <c r="C17" s="1956"/>
      <c r="D17" s="1957"/>
      <c r="E17" s="4122">
        <f>Table10s5!E32</f>
        <v>4143.5315389337156</v>
      </c>
      <c r="F17" s="4122">
        <f>Table10s5!F32</f>
        <v>4146.8866252000589</v>
      </c>
      <c r="G17" s="4122">
        <f>Table10s5!G32</f>
        <v>4140.1764526673724</v>
      </c>
      <c r="H17" s="4122">
        <f>Table10s5!H32</f>
        <v>2981.9747926792879</v>
      </c>
      <c r="I17" s="4122">
        <f>Table10s5!I32</f>
        <v>1946.6797558087924</v>
      </c>
      <c r="J17" s="4122">
        <f>Table10s5!J32</f>
        <v>1376.8283202008463</v>
      </c>
      <c r="K17" s="4122">
        <f>Table10s5!K32</f>
        <v>1268.5044539263497</v>
      </c>
      <c r="L17" s="4122">
        <f>Table10s5!L32</f>
        <v>1104.5946842688734</v>
      </c>
      <c r="M17" s="4122">
        <f>Table10s5!M32</f>
        <v>1493.4649028585516</v>
      </c>
      <c r="N17" s="4122">
        <f>Table10s5!N32</f>
        <v>1024.4655200863303</v>
      </c>
      <c r="O17" s="4122">
        <f>Table10s5!O32</f>
        <v>1157.5789362287294</v>
      </c>
      <c r="P17" s="4122">
        <f>Table10s5!P32</f>
        <v>1620.6064364210431</v>
      </c>
      <c r="Q17" s="4122">
        <f>Table10s5!Q32</f>
        <v>1553.8183084811451</v>
      </c>
      <c r="R17" s="4122">
        <f>Table10s5!R32</f>
        <v>1514.5701018444402</v>
      </c>
      <c r="S17" s="4122">
        <f>Table10s5!S32</f>
        <v>1541.4296180492076</v>
      </c>
      <c r="T17" s="4122">
        <f>Table10s5!T32</f>
        <v>1611.4498110358577</v>
      </c>
      <c r="U17" s="4122">
        <f>Table10s5!U32</f>
        <v>617.93925336459711</v>
      </c>
      <c r="V17" s="4122">
        <f>Table10s5!V32</f>
        <v>524.05752254650565</v>
      </c>
      <c r="W17" s="4122">
        <f>Table10s5!W32</f>
        <v>399.79678192568076</v>
      </c>
      <c r="X17" s="4122">
        <f>Table10s5!X32</f>
        <v>322.43408328130437</v>
      </c>
      <c r="Y17" s="4310">
        <f>Table10s5!Y32</f>
        <v>254.72735698266911</v>
      </c>
      <c r="Z17" s="4310">
        <f>Table10s5!Z32</f>
        <v>270.90088273132159</v>
      </c>
      <c r="AA17" s="4310">
        <f>Table10s5!AA32</f>
        <v>265.12979067717396</v>
      </c>
      <c r="AB17" s="4310">
        <f>Table10s5!AB32</f>
        <v>172.62441408027018</v>
      </c>
      <c r="AC17" s="4310">
        <f>Table10s5!AC32</f>
        <v>173.10697875319798</v>
      </c>
      <c r="AD17" s="4310">
        <f>Table10s5!AD32</f>
        <v>154.06023702200318</v>
      </c>
      <c r="AE17" s="4310">
        <f>Table10s5!AE32</f>
        <v>202.24755821344587</v>
      </c>
      <c r="AF17" s="4310">
        <f>Table10s5!AF32</f>
        <v>182.65052301395369</v>
      </c>
      <c r="AG17" s="4310">
        <f>Table10s5!AG32</f>
        <v>212.24369299342175</v>
      </c>
      <c r="AH17" s="4310">
        <f>Table10s5!AH32</f>
        <v>273.50220639665866</v>
      </c>
      <c r="AI17" s="4310">
        <f>Table10s5!AI32</f>
        <v>243.11647207633368</v>
      </c>
      <c r="AJ17" s="4310">
        <f>Table10s5!AJ32</f>
        <v>291.48300000000006</v>
      </c>
      <c r="AK17" s="4059">
        <f t="shared" si="0"/>
        <v>7.0346514141656433</v>
      </c>
      <c r="AL17" s="19"/>
    </row>
    <row r="18" spans="2:38" ht="18" customHeight="1" x14ac:dyDescent="0.2">
      <c r="B18" s="1960" t="s">
        <v>1512</v>
      </c>
      <c r="C18" s="1956"/>
      <c r="D18" s="1957"/>
      <c r="E18" s="4122" t="s">
        <v>2146</v>
      </c>
      <c r="F18" s="4122" t="s">
        <v>2146</v>
      </c>
      <c r="G18" s="4122" t="s">
        <v>2146</v>
      </c>
      <c r="H18" s="4122" t="s">
        <v>2146</v>
      </c>
      <c r="I18" s="4122" t="s">
        <v>2146</v>
      </c>
      <c r="J18" s="4122" t="s">
        <v>2146</v>
      </c>
      <c r="K18" s="4122" t="s">
        <v>2146</v>
      </c>
      <c r="L18" s="4122" t="s">
        <v>2146</v>
      </c>
      <c r="M18" s="4122" t="s">
        <v>2146</v>
      </c>
      <c r="N18" s="4122" t="s">
        <v>2146</v>
      </c>
      <c r="O18" s="4122" t="s">
        <v>2146</v>
      </c>
      <c r="P18" s="4122" t="s">
        <v>2146</v>
      </c>
      <c r="Q18" s="4122" t="s">
        <v>2146</v>
      </c>
      <c r="R18" s="4122" t="s">
        <v>2146</v>
      </c>
      <c r="S18" s="4122" t="s">
        <v>2146</v>
      </c>
      <c r="T18" s="4122" t="s">
        <v>2146</v>
      </c>
      <c r="U18" s="4122" t="s">
        <v>2146</v>
      </c>
      <c r="V18" s="4122" t="s">
        <v>2146</v>
      </c>
      <c r="W18" s="4122" t="s">
        <v>2146</v>
      </c>
      <c r="X18" s="4122" t="s">
        <v>2146</v>
      </c>
      <c r="Y18" s="4310" t="s">
        <v>2146</v>
      </c>
      <c r="Z18" s="4310" t="s">
        <v>2146</v>
      </c>
      <c r="AA18" s="4310" t="s">
        <v>2146</v>
      </c>
      <c r="AB18" s="4310" t="s">
        <v>2146</v>
      </c>
      <c r="AC18" s="4310" t="s">
        <v>2146</v>
      </c>
      <c r="AD18" s="4310" t="s">
        <v>2146</v>
      </c>
      <c r="AE18" s="4310" t="s">
        <v>2146</v>
      </c>
      <c r="AF18" s="4310" t="s">
        <v>2146</v>
      </c>
      <c r="AG18" s="4310" t="s">
        <v>2146</v>
      </c>
      <c r="AH18" s="4310" t="s">
        <v>2146</v>
      </c>
      <c r="AI18" s="4310" t="s">
        <v>2146</v>
      </c>
      <c r="AJ18" s="4310" t="s">
        <v>2146</v>
      </c>
      <c r="AK18" s="4059" t="str">
        <f t="shared" si="0"/>
        <v>NA</v>
      </c>
      <c r="AL18" s="19"/>
    </row>
    <row r="19" spans="2:38" ht="18" customHeight="1" x14ac:dyDescent="0.2">
      <c r="B19" s="1960" t="s">
        <v>1621</v>
      </c>
      <c r="C19" s="1956"/>
      <c r="D19" s="1957"/>
      <c r="E19" s="4122">
        <f>Table10s5!E47</f>
        <v>227.33126391232889</v>
      </c>
      <c r="F19" s="4122">
        <f>Table10s5!F47</f>
        <v>246.69030699012214</v>
      </c>
      <c r="G19" s="4122">
        <f>Table10s5!G47</f>
        <v>266.03666522364358</v>
      </c>
      <c r="H19" s="4122">
        <f>Table10s5!H47</f>
        <v>285.3688949537343</v>
      </c>
      <c r="I19" s="4122">
        <f>Table10s5!I47</f>
        <v>304.68198692506843</v>
      </c>
      <c r="J19" s="4122">
        <f>Table10s5!J47</f>
        <v>325.92330345973716</v>
      </c>
      <c r="K19" s="4122">
        <f>Table10s5!K47</f>
        <v>297.97363341418611</v>
      </c>
      <c r="L19" s="4122">
        <f>Table10s5!L47</f>
        <v>274.96345974170822</v>
      </c>
      <c r="M19" s="4122">
        <f>Table10s5!M47</f>
        <v>247.58218354023921</v>
      </c>
      <c r="N19" s="4122">
        <f>Table10s5!N47</f>
        <v>217.77596856722661</v>
      </c>
      <c r="O19" s="4122">
        <f>Table10s5!O47</f>
        <v>218.94870006999835</v>
      </c>
      <c r="P19" s="4122">
        <f>Table10s5!P47</f>
        <v>225.51312817449531</v>
      </c>
      <c r="Q19" s="4122">
        <f>Table10s5!Q47</f>
        <v>232.00612349094484</v>
      </c>
      <c r="R19" s="4122">
        <f>Table10s5!R47</f>
        <v>236.14843822233468</v>
      </c>
      <c r="S19" s="4122">
        <f>Table10s5!S47</f>
        <v>237.74641315441517</v>
      </c>
      <c r="T19" s="4122">
        <f>Table10s5!T47</f>
        <v>202.23967297118685</v>
      </c>
      <c r="U19" s="4122">
        <f>Table10s5!U47</f>
        <v>191.78131355969191</v>
      </c>
      <c r="V19" s="4122">
        <f>Table10s5!V47</f>
        <v>180.50437484164183</v>
      </c>
      <c r="W19" s="4122">
        <f>Table10s5!W47</f>
        <v>168.33889499727522</v>
      </c>
      <c r="X19" s="4122">
        <f>Table10s5!X47</f>
        <v>151.50594481761419</v>
      </c>
      <c r="Y19" s="4310">
        <f>Table10s5!Y47</f>
        <v>133.79449716413717</v>
      </c>
      <c r="Z19" s="4310">
        <f>Table10s5!Z47</f>
        <v>121.78268935599188</v>
      </c>
      <c r="AA19" s="4310">
        <f>Table10s5!AA47</f>
        <v>118.51069108917444</v>
      </c>
      <c r="AB19" s="4310">
        <f>Table10s5!AB47</f>
        <v>111.49092341544214</v>
      </c>
      <c r="AC19" s="4310">
        <f>Table10s5!AC47</f>
        <v>108.87625703363453</v>
      </c>
      <c r="AD19" s="4310">
        <f>Table10s5!AD47</f>
        <v>119.73884475683391</v>
      </c>
      <c r="AE19" s="4310">
        <f>Table10s5!AE47</f>
        <v>120.72109384232132</v>
      </c>
      <c r="AF19" s="4310">
        <f>Table10s5!AF47</f>
        <v>118.8988343564875</v>
      </c>
      <c r="AG19" s="4310">
        <f>Table10s5!AG47</f>
        <v>149.72530244911653</v>
      </c>
      <c r="AH19" s="4310">
        <f>Table10s5!AH47</f>
        <v>141.06361511560291</v>
      </c>
      <c r="AI19" s="4310">
        <f>Table10s5!AI47</f>
        <v>108.87118016121181</v>
      </c>
      <c r="AJ19" s="4310">
        <f>Table10s5!AJ47</f>
        <v>162.36139181563749</v>
      </c>
      <c r="AK19" s="4059">
        <f t="shared" si="0"/>
        <v>71.420617217987541</v>
      </c>
      <c r="AL19" s="19"/>
    </row>
    <row r="20" spans="2:38" ht="18" customHeight="1" thickBot="1" x14ac:dyDescent="0.25">
      <c r="B20" s="1960" t="s">
        <v>1754</v>
      </c>
      <c r="C20" s="1956"/>
      <c r="D20" s="1957"/>
      <c r="E20" s="4122" t="s">
        <v>2146</v>
      </c>
      <c r="F20" s="4122" t="s">
        <v>2146</v>
      </c>
      <c r="G20" s="4122" t="s">
        <v>2146</v>
      </c>
      <c r="H20" s="4122" t="s">
        <v>2146</v>
      </c>
      <c r="I20" s="4122" t="s">
        <v>2146</v>
      </c>
      <c r="J20" s="4122" t="s">
        <v>2146</v>
      </c>
      <c r="K20" s="4122" t="s">
        <v>2146</v>
      </c>
      <c r="L20" s="4122" t="s">
        <v>2146</v>
      </c>
      <c r="M20" s="4122" t="s">
        <v>2146</v>
      </c>
      <c r="N20" s="4122" t="s">
        <v>2146</v>
      </c>
      <c r="O20" s="4122" t="s">
        <v>2146</v>
      </c>
      <c r="P20" s="4122" t="s">
        <v>2146</v>
      </c>
      <c r="Q20" s="4122" t="s">
        <v>2146</v>
      </c>
      <c r="R20" s="4122" t="s">
        <v>2146</v>
      </c>
      <c r="S20" s="4122" t="s">
        <v>2146</v>
      </c>
      <c r="T20" s="4122" t="s">
        <v>2146</v>
      </c>
      <c r="U20" s="4122" t="s">
        <v>2146</v>
      </c>
      <c r="V20" s="4122" t="s">
        <v>2146</v>
      </c>
      <c r="W20" s="4122" t="s">
        <v>2146</v>
      </c>
      <c r="X20" s="4122" t="s">
        <v>2146</v>
      </c>
      <c r="Y20" s="4310" t="s">
        <v>2146</v>
      </c>
      <c r="Z20" s="4310" t="s">
        <v>2146</v>
      </c>
      <c r="AA20" s="4310" t="s">
        <v>2146</v>
      </c>
      <c r="AB20" s="4310" t="s">
        <v>2146</v>
      </c>
      <c r="AC20" s="4310" t="s">
        <v>2146</v>
      </c>
      <c r="AD20" s="4310" t="s">
        <v>2146</v>
      </c>
      <c r="AE20" s="4310" t="s">
        <v>2146</v>
      </c>
      <c r="AF20" s="4310" t="s">
        <v>2146</v>
      </c>
      <c r="AG20" s="4310" t="s">
        <v>2146</v>
      </c>
      <c r="AH20" s="4310" t="s">
        <v>2146</v>
      </c>
      <c r="AI20" s="4310" t="s">
        <v>2146</v>
      </c>
      <c r="AJ20" s="4310" t="s">
        <v>2146</v>
      </c>
      <c r="AK20" s="4059" t="str">
        <f t="shared" si="0"/>
        <v>NA</v>
      </c>
      <c r="AL20" s="19"/>
    </row>
    <row r="21" spans="2:38" ht="18" customHeight="1" x14ac:dyDescent="0.2">
      <c r="B21" s="1418" t="s">
        <v>1764</v>
      </c>
      <c r="C21" s="1419"/>
      <c r="D21" s="1420"/>
      <c r="E21" s="4123">
        <f>Table10s1!E71</f>
        <v>438056.75735644426</v>
      </c>
      <c r="F21" s="4123">
        <f>Table10s1!F71</f>
        <v>438049.29034597671</v>
      </c>
      <c r="G21" s="4123">
        <f>Table10s1!G71</f>
        <v>441752.18009183509</v>
      </c>
      <c r="H21" s="4123">
        <f>Table10s1!H71</f>
        <v>442282.48173380003</v>
      </c>
      <c r="I21" s="4123">
        <f>Table10s1!I71</f>
        <v>442610.5564098644</v>
      </c>
      <c r="J21" s="4123">
        <f>Table10s1!J71</f>
        <v>451076.46269351547</v>
      </c>
      <c r="K21" s="4123">
        <f>Table10s1!K71</f>
        <v>457574.9942149588</v>
      </c>
      <c r="L21" s="4123">
        <f>Table10s1!L71</f>
        <v>469835.68826294626</v>
      </c>
      <c r="M21" s="4123">
        <f>Table10s1!M71</f>
        <v>484037.12183535501</v>
      </c>
      <c r="N21" s="4123">
        <f>Table10s1!N71</f>
        <v>489971.16444544873</v>
      </c>
      <c r="O21" s="4123">
        <f>Table10s1!O71</f>
        <v>501588.98999331967</v>
      </c>
      <c r="P21" s="4123">
        <f>Table10s1!P71</f>
        <v>509456.08035555802</v>
      </c>
      <c r="Q21" s="4123">
        <f>Table10s1!Q71</f>
        <v>513171.00734718511</v>
      </c>
      <c r="R21" s="4123">
        <f>Table10s1!R71</f>
        <v>511714.20921999589</v>
      </c>
      <c r="S21" s="4123">
        <f>Table10s1!S71</f>
        <v>528827.43025923171</v>
      </c>
      <c r="T21" s="4123">
        <f>Table10s1!T71</f>
        <v>535589.75648047891</v>
      </c>
      <c r="U21" s="4123">
        <f>Table10s1!U71</f>
        <v>540017.78256011987</v>
      </c>
      <c r="V21" s="4123">
        <f>Table10s1!V71</f>
        <v>546739.51591188111</v>
      </c>
      <c r="W21" s="4123">
        <f>Table10s1!W71</f>
        <v>549128.82231783425</v>
      </c>
      <c r="X21" s="4123">
        <f>Table10s1!X71</f>
        <v>552127.35245781462</v>
      </c>
      <c r="Y21" s="4311">
        <f>Table10s1!Y71</f>
        <v>547172.76070434402</v>
      </c>
      <c r="Z21" s="4311">
        <f>Table10s1!Z71</f>
        <v>549007.35299067746</v>
      </c>
      <c r="AA21" s="4311">
        <f>Table10s1!AA71</f>
        <v>552305.54978858819</v>
      </c>
      <c r="AB21" s="4311">
        <f>Table10s1!AB71</f>
        <v>543798.67548528011</v>
      </c>
      <c r="AC21" s="4311">
        <f>Table10s1!AC71</f>
        <v>535451.44090373686</v>
      </c>
      <c r="AD21" s="4311">
        <f>Table10s1!AD71</f>
        <v>544231.81470411015</v>
      </c>
      <c r="AE21" s="4311">
        <f>Table10s1!AE71</f>
        <v>552354.82909506245</v>
      </c>
      <c r="AF21" s="4311">
        <f>Table10s1!AF71</f>
        <v>559581.11089009605</v>
      </c>
      <c r="AG21" s="4311">
        <f>Table10s1!AG71</f>
        <v>560827.41413744632</v>
      </c>
      <c r="AH21" s="4311">
        <f>Table10s1!AH71</f>
        <v>555244.93120457069</v>
      </c>
      <c r="AI21" s="4311">
        <f>Table10s1!AI71</f>
        <v>536739.71800910751</v>
      </c>
      <c r="AJ21" s="4311">
        <f>Table10s1!AJ71</f>
        <v>528631.64796079381</v>
      </c>
      <c r="AK21" s="4127">
        <f t="shared" si="0"/>
        <v>120.67651944258202</v>
      </c>
      <c r="AL21" s="19"/>
    </row>
    <row r="22" spans="2:38" ht="18" customHeight="1" x14ac:dyDescent="0.2">
      <c r="B22" s="1421" t="s">
        <v>1765</v>
      </c>
      <c r="C22" s="1422"/>
      <c r="D22" s="1422"/>
      <c r="E22" s="4124">
        <f>Table10s1!E72</f>
        <v>636268.64723475114</v>
      </c>
      <c r="F22" s="4124">
        <f>Table10s1!F72</f>
        <v>621497.02421226003</v>
      </c>
      <c r="G22" s="4124">
        <f>Table10s1!G72</f>
        <v>556765.71901463135</v>
      </c>
      <c r="H22" s="4124">
        <f>Table10s1!H72</f>
        <v>535319.21833551908</v>
      </c>
      <c r="I22" s="4124">
        <f>Table10s1!I72</f>
        <v>530958.92406140314</v>
      </c>
      <c r="J22" s="4124">
        <f>Table10s1!J72</f>
        <v>514211.96709500585</v>
      </c>
      <c r="K22" s="4124">
        <f>Table10s1!K72</f>
        <v>522310.73100349813</v>
      </c>
      <c r="L22" s="4124">
        <f>Table10s1!L72</f>
        <v>522850.34046829899</v>
      </c>
      <c r="M22" s="4124">
        <f>Table10s1!M72</f>
        <v>524332.94139234256</v>
      </c>
      <c r="N22" s="4124">
        <f>Table10s1!N72</f>
        <v>539610.26906447276</v>
      </c>
      <c r="O22" s="4124">
        <f>Table10s1!O72</f>
        <v>566358.30873673793</v>
      </c>
      <c r="P22" s="4124">
        <f>Table10s1!P72</f>
        <v>586636.35452851758</v>
      </c>
      <c r="Q22" s="4124">
        <f>Table10s1!Q72</f>
        <v>582524.56130253465</v>
      </c>
      <c r="R22" s="4124">
        <f>Table10s1!R72</f>
        <v>591486.97931912506</v>
      </c>
      <c r="S22" s="4124">
        <f>Table10s1!S72</f>
        <v>584853.80133001343</v>
      </c>
      <c r="T22" s="4124">
        <f>Table10s1!T72</f>
        <v>616293.16022877872</v>
      </c>
      <c r="U22" s="4124">
        <f>Table10s1!U72</f>
        <v>626790.48062156246</v>
      </c>
      <c r="V22" s="4124">
        <f>Table10s1!V72</f>
        <v>641523.07809343457</v>
      </c>
      <c r="W22" s="4124">
        <f>Table10s1!W72</f>
        <v>630251.31621980376</v>
      </c>
      <c r="X22" s="4124">
        <f>Table10s1!X72</f>
        <v>630906.55015883956</v>
      </c>
      <c r="Y22" s="4312">
        <f>Table10s1!Y72</f>
        <v>613332.65270992648</v>
      </c>
      <c r="Z22" s="4312">
        <f>Table10s1!Z72</f>
        <v>594032.24890962371</v>
      </c>
      <c r="AA22" s="4312">
        <f>Table10s1!AA72</f>
        <v>579077.44343529863</v>
      </c>
      <c r="AB22" s="4312">
        <f>Table10s1!AB72</f>
        <v>561101.34733727563</v>
      </c>
      <c r="AC22" s="4312">
        <f>Table10s1!AC72</f>
        <v>555817.47376703657</v>
      </c>
      <c r="AD22" s="4312">
        <f>Table10s1!AD72</f>
        <v>540912.19966222229</v>
      </c>
      <c r="AE22" s="4312">
        <f>Table10s1!AE72</f>
        <v>512483.00685924484</v>
      </c>
      <c r="AF22" s="4312">
        <f>Table10s1!AF72</f>
        <v>509809.54045567475</v>
      </c>
      <c r="AG22" s="4312">
        <f>Table10s1!AG72</f>
        <v>514226.35653928772</v>
      </c>
      <c r="AH22" s="4312">
        <f>Table10s1!AH72</f>
        <v>505857.05677806993</v>
      </c>
      <c r="AI22" s="4312">
        <f>Table10s1!AI72</f>
        <v>494232.96110296802</v>
      </c>
      <c r="AJ22" s="4312">
        <f>Table10s1!AJ72</f>
        <v>464770.66575427499</v>
      </c>
      <c r="AK22" s="4059">
        <f t="shared" si="0"/>
        <v>73.046293853105411</v>
      </c>
      <c r="AL22" s="19"/>
    </row>
    <row r="23" spans="2:38" ht="18" customHeight="1" x14ac:dyDescent="0.2">
      <c r="B23" s="1421" t="s">
        <v>1766</v>
      </c>
      <c r="C23" s="1423"/>
      <c r="D23" s="1423"/>
      <c r="E23" s="1423" t="s">
        <v>2147</v>
      </c>
      <c r="F23" s="1423" t="s">
        <v>2147</v>
      </c>
      <c r="G23" s="1423" t="s">
        <v>2147</v>
      </c>
      <c r="H23" s="1423" t="s">
        <v>2147</v>
      </c>
      <c r="I23" s="1423" t="s">
        <v>2147</v>
      </c>
      <c r="J23" s="1423" t="s">
        <v>2147</v>
      </c>
      <c r="K23" s="1423" t="s">
        <v>2147</v>
      </c>
      <c r="L23" s="1423" t="s">
        <v>2147</v>
      </c>
      <c r="M23" s="1423" t="s">
        <v>2147</v>
      </c>
      <c r="N23" s="1423" t="s">
        <v>2147</v>
      </c>
      <c r="O23" s="1423" t="s">
        <v>2147</v>
      </c>
      <c r="P23" s="1423" t="s">
        <v>2147</v>
      </c>
      <c r="Q23" s="1423" t="s">
        <v>2147</v>
      </c>
      <c r="R23" s="1423" t="s">
        <v>2147</v>
      </c>
      <c r="S23" s="1423" t="s">
        <v>2147</v>
      </c>
      <c r="T23" s="1423" t="s">
        <v>2147</v>
      </c>
      <c r="U23" s="1423" t="s">
        <v>2147</v>
      </c>
      <c r="V23" s="1423" t="s">
        <v>2147</v>
      </c>
      <c r="W23" s="1423" t="s">
        <v>2147</v>
      </c>
      <c r="X23" s="1423" t="s">
        <v>2147</v>
      </c>
      <c r="Y23" s="4313" t="s">
        <v>2147</v>
      </c>
      <c r="Z23" s="4313" t="s">
        <v>2147</v>
      </c>
      <c r="AA23" s="4313" t="s">
        <v>2147</v>
      </c>
      <c r="AB23" s="4313" t="s">
        <v>2147</v>
      </c>
      <c r="AC23" s="4313" t="s">
        <v>2147</v>
      </c>
      <c r="AD23" s="4313" t="s">
        <v>2147</v>
      </c>
      <c r="AE23" s="4313" t="s">
        <v>2147</v>
      </c>
      <c r="AF23" s="4313" t="s">
        <v>2147</v>
      </c>
      <c r="AG23" s="4313" t="s">
        <v>2147</v>
      </c>
      <c r="AH23" s="4313" t="s">
        <v>2147</v>
      </c>
      <c r="AI23" s="4313" t="s">
        <v>2147</v>
      </c>
      <c r="AJ23" s="4313" t="s">
        <v>2147</v>
      </c>
      <c r="AK23" s="4128" t="s">
        <v>2147</v>
      </c>
      <c r="AL23" s="19"/>
    </row>
    <row r="24" spans="2:38" ht="18" customHeight="1" thickBot="1" x14ac:dyDescent="0.25">
      <c r="B24" s="1424" t="s">
        <v>1767</v>
      </c>
      <c r="C24" s="1425"/>
      <c r="D24" s="1426"/>
      <c r="E24" s="1426" t="s">
        <v>2147</v>
      </c>
      <c r="F24" s="1426" t="s">
        <v>2147</v>
      </c>
      <c r="G24" s="1426" t="s">
        <v>2147</v>
      </c>
      <c r="H24" s="1426" t="s">
        <v>2147</v>
      </c>
      <c r="I24" s="1426" t="s">
        <v>2147</v>
      </c>
      <c r="J24" s="1426" t="s">
        <v>2147</v>
      </c>
      <c r="K24" s="1426" t="s">
        <v>2147</v>
      </c>
      <c r="L24" s="1426" t="s">
        <v>2147</v>
      </c>
      <c r="M24" s="1426" t="s">
        <v>2147</v>
      </c>
      <c r="N24" s="1426" t="s">
        <v>2147</v>
      </c>
      <c r="O24" s="1426" t="s">
        <v>2147</v>
      </c>
      <c r="P24" s="1426" t="s">
        <v>2147</v>
      </c>
      <c r="Q24" s="1426" t="s">
        <v>2147</v>
      </c>
      <c r="R24" s="1426" t="s">
        <v>2147</v>
      </c>
      <c r="S24" s="1426" t="s">
        <v>2147</v>
      </c>
      <c r="T24" s="1426" t="s">
        <v>2147</v>
      </c>
      <c r="U24" s="1426" t="s">
        <v>2147</v>
      </c>
      <c r="V24" s="1426" t="s">
        <v>2147</v>
      </c>
      <c r="W24" s="1426" t="s">
        <v>2147</v>
      </c>
      <c r="X24" s="1426" t="s">
        <v>2147</v>
      </c>
      <c r="Y24" s="4314" t="s">
        <v>2147</v>
      </c>
      <c r="Z24" s="4314" t="s">
        <v>2147</v>
      </c>
      <c r="AA24" s="4314" t="s">
        <v>2147</v>
      </c>
      <c r="AB24" s="4314" t="s">
        <v>2147</v>
      </c>
      <c r="AC24" s="4314" t="s">
        <v>2147</v>
      </c>
      <c r="AD24" s="4314" t="s">
        <v>2147</v>
      </c>
      <c r="AE24" s="4314" t="s">
        <v>2147</v>
      </c>
      <c r="AF24" s="4314" t="s">
        <v>2147</v>
      </c>
      <c r="AG24" s="4314" t="s">
        <v>2147</v>
      </c>
      <c r="AH24" s="4314" t="s">
        <v>2147</v>
      </c>
      <c r="AI24" s="4314" t="s">
        <v>2147</v>
      </c>
      <c r="AJ24" s="4314" t="s">
        <v>2147</v>
      </c>
      <c r="AK24" s="4129" t="s">
        <v>2147</v>
      </c>
      <c r="AL24" s="19"/>
    </row>
    <row r="25" spans="2:38" ht="18" customHeight="1" x14ac:dyDescent="0.2">
      <c r="B25" s="682"/>
      <c r="C25" s="682"/>
      <c r="D25" s="682"/>
      <c r="E25" s="682"/>
      <c r="F25" s="682"/>
      <c r="G25" s="682"/>
      <c r="H25" s="682"/>
      <c r="I25" s="682"/>
      <c r="J25" s="682"/>
      <c r="K25" s="682"/>
      <c r="L25" s="682"/>
      <c r="M25" s="682"/>
      <c r="N25" s="682"/>
      <c r="O25" s="682"/>
      <c r="P25" s="682"/>
      <c r="Q25" s="682"/>
      <c r="R25" s="682"/>
      <c r="S25" s="682"/>
      <c r="T25" s="682"/>
      <c r="U25" s="682"/>
      <c r="V25" s="682"/>
      <c r="W25" s="682"/>
      <c r="X25" s="682"/>
      <c r="Y25" s="84"/>
      <c r="Z25" s="84"/>
      <c r="AA25" s="84"/>
      <c r="AB25" s="84"/>
      <c r="AC25" s="84"/>
      <c r="AD25" s="84"/>
      <c r="AE25" s="84"/>
      <c r="AF25" s="84"/>
      <c r="AG25" s="84"/>
      <c r="AH25" s="84"/>
      <c r="AI25" s="84"/>
      <c r="AJ25" s="84"/>
      <c r="AK25" s="4315"/>
      <c r="AL25" s="19"/>
    </row>
    <row r="26" spans="2:38" ht="18" customHeight="1" thickBot="1" x14ac:dyDescent="0.25">
      <c r="B26" s="682"/>
      <c r="C26" s="682"/>
      <c r="D26" s="682"/>
      <c r="E26" s="682"/>
      <c r="F26" s="682"/>
      <c r="G26" s="682"/>
      <c r="H26" s="682"/>
      <c r="I26" s="682"/>
      <c r="J26" s="682"/>
      <c r="K26" s="682"/>
      <c r="L26" s="682"/>
      <c r="M26" s="682"/>
      <c r="N26" s="682"/>
      <c r="O26" s="682"/>
      <c r="P26" s="682"/>
      <c r="Q26" s="682"/>
      <c r="R26" s="682"/>
      <c r="S26" s="682"/>
      <c r="T26" s="682"/>
      <c r="U26" s="682"/>
      <c r="V26" s="682"/>
      <c r="W26" s="682"/>
      <c r="X26" s="682"/>
      <c r="Y26" s="84"/>
      <c r="Z26" s="84"/>
      <c r="AA26" s="84"/>
      <c r="AB26" s="84"/>
      <c r="AC26" s="84"/>
      <c r="AD26" s="84"/>
      <c r="AE26" s="84"/>
      <c r="AF26" s="84"/>
      <c r="AG26" s="84"/>
      <c r="AH26" s="84"/>
      <c r="AI26" s="84"/>
      <c r="AJ26" s="84"/>
      <c r="AK26" s="84"/>
    </row>
    <row r="27" spans="2:38" ht="60" customHeight="1" x14ac:dyDescent="0.2">
      <c r="B27" s="1433" t="s">
        <v>65</v>
      </c>
      <c r="C27" s="1466" t="s">
        <v>1730</v>
      </c>
      <c r="D27" s="1466" t="s">
        <v>1710</v>
      </c>
      <c r="E27" s="755" t="s">
        <v>1768</v>
      </c>
      <c r="F27" s="4047">
        <v>1991</v>
      </c>
      <c r="G27" s="4047">
        <v>1992</v>
      </c>
      <c r="H27" s="4047">
        <v>1993</v>
      </c>
      <c r="I27" s="4047">
        <v>1994</v>
      </c>
      <c r="J27" s="4047">
        <v>1995</v>
      </c>
      <c r="K27" s="4047">
        <v>1996</v>
      </c>
      <c r="L27" s="4047">
        <v>1997</v>
      </c>
      <c r="M27" s="4047">
        <v>1998</v>
      </c>
      <c r="N27" s="4047">
        <v>1999</v>
      </c>
      <c r="O27" s="4047">
        <v>2000</v>
      </c>
      <c r="P27" s="4047">
        <v>2001</v>
      </c>
      <c r="Q27" s="4047">
        <v>2002</v>
      </c>
      <c r="R27" s="4047">
        <v>2003</v>
      </c>
      <c r="S27" s="4047">
        <v>2004</v>
      </c>
      <c r="T27" s="4047">
        <v>2005</v>
      </c>
      <c r="U27" s="4047">
        <v>2006</v>
      </c>
      <c r="V27" s="4047">
        <v>2007</v>
      </c>
      <c r="W27" s="4047">
        <v>2008</v>
      </c>
      <c r="X27" s="4047">
        <v>2009</v>
      </c>
      <c r="Y27" s="4047">
        <v>2010</v>
      </c>
      <c r="Z27" s="4047">
        <v>2011</v>
      </c>
      <c r="AA27" s="4047">
        <v>2012</v>
      </c>
      <c r="AB27" s="4047">
        <v>2013</v>
      </c>
      <c r="AC27" s="4047">
        <v>2014</v>
      </c>
      <c r="AD27" s="4047">
        <v>2015</v>
      </c>
      <c r="AE27" s="4047">
        <v>2016</v>
      </c>
      <c r="AF27" s="4047">
        <v>2017</v>
      </c>
      <c r="AG27" s="4047">
        <v>2018</v>
      </c>
      <c r="AH27" s="4047">
        <v>2019</v>
      </c>
      <c r="AI27" s="4047">
        <v>2020</v>
      </c>
      <c r="AJ27" s="4047">
        <v>2021</v>
      </c>
      <c r="AK27" s="756" t="s">
        <v>2314</v>
      </c>
    </row>
    <row r="28" spans="2:38" ht="18" customHeight="1" thickBot="1" x14ac:dyDescent="0.25">
      <c r="B28" s="1954"/>
      <c r="C28" s="758" t="s">
        <v>979</v>
      </c>
      <c r="D28" s="759"/>
      <c r="E28" s="759"/>
      <c r="F28" s="760"/>
      <c r="G28" s="759"/>
      <c r="H28" s="759"/>
      <c r="I28" s="759"/>
      <c r="J28" s="759"/>
      <c r="K28" s="759"/>
      <c r="L28" s="759"/>
      <c r="M28" s="759"/>
      <c r="N28" s="759"/>
      <c r="O28" s="759"/>
      <c r="P28" s="759"/>
      <c r="Q28" s="759"/>
      <c r="R28" s="759"/>
      <c r="S28" s="759"/>
      <c r="T28" s="759"/>
      <c r="U28" s="759"/>
      <c r="V28" s="759"/>
      <c r="W28" s="759"/>
      <c r="X28" s="759"/>
      <c r="Y28" s="759"/>
      <c r="Z28" s="759"/>
      <c r="AA28" s="759"/>
      <c r="AB28" s="759"/>
      <c r="AC28" s="759"/>
      <c r="AD28" s="759"/>
      <c r="AE28" s="759"/>
      <c r="AF28" s="759"/>
      <c r="AG28" s="759"/>
      <c r="AH28" s="759"/>
      <c r="AI28" s="759"/>
      <c r="AJ28" s="759"/>
      <c r="AK28" s="761" t="s">
        <v>297</v>
      </c>
      <c r="AL28" s="19"/>
    </row>
    <row r="29" spans="2:38" ht="18" customHeight="1" thickTop="1" x14ac:dyDescent="0.2">
      <c r="B29" s="1960" t="s">
        <v>1769</v>
      </c>
      <c r="C29" s="1956"/>
      <c r="D29" s="1957"/>
      <c r="E29" s="4122">
        <f>Table10s1!E11</f>
        <v>297385.4248561837</v>
      </c>
      <c r="F29" s="4122">
        <f>Table10s1!F11</f>
        <v>299090.70397003152</v>
      </c>
      <c r="G29" s="4122">
        <f>Table10s1!G11</f>
        <v>305421.42548779619</v>
      </c>
      <c r="H29" s="4122">
        <f>Table10s1!H11</f>
        <v>308632.84421990492</v>
      </c>
      <c r="I29" s="4122">
        <f>Table10s1!I11</f>
        <v>309510.71145682188</v>
      </c>
      <c r="J29" s="4122">
        <f>Table10s1!J11</f>
        <v>322039.82446575799</v>
      </c>
      <c r="K29" s="4122">
        <f>Table10s1!K11</f>
        <v>328501.70445204544</v>
      </c>
      <c r="L29" s="4122">
        <f>Table10s1!L11</f>
        <v>339796.05124514771</v>
      </c>
      <c r="M29" s="4122">
        <f>Table10s1!M11</f>
        <v>354023.87815973762</v>
      </c>
      <c r="N29" s="4122">
        <f>Table10s1!N11</f>
        <v>359428.24051930429</v>
      </c>
      <c r="O29" s="4122">
        <f>Table10s1!O11</f>
        <v>368518.19248102064</v>
      </c>
      <c r="P29" s="4122">
        <f>Table10s1!P11</f>
        <v>376334.54541958397</v>
      </c>
      <c r="Q29" s="4122">
        <f>Table10s1!Q11</f>
        <v>379727.82818698994</v>
      </c>
      <c r="R29" s="4122">
        <f>Table10s1!R11</f>
        <v>384144.14650013443</v>
      </c>
      <c r="S29" s="4122">
        <f>Table10s1!S11</f>
        <v>396852.81694388768</v>
      </c>
      <c r="T29" s="4122">
        <f>Table10s1!T11</f>
        <v>403747.71457740344</v>
      </c>
      <c r="U29" s="4122">
        <f>Table10s1!U11</f>
        <v>409639.72790699668</v>
      </c>
      <c r="V29" s="4122">
        <f>Table10s1!V11</f>
        <v>417919.16672403604</v>
      </c>
      <c r="W29" s="4122">
        <f>Table10s1!W11</f>
        <v>422515.18409655028</v>
      </c>
      <c r="X29" s="4122">
        <f>Table10s1!X11</f>
        <v>427670.22091140121</v>
      </c>
      <c r="Y29" s="4310">
        <f>Table10s1!Y11</f>
        <v>422579.51479694981</v>
      </c>
      <c r="Z29" s="4310">
        <f>Table10s1!Z11</f>
        <v>419233.05047209817</v>
      </c>
      <c r="AA29" s="4310">
        <f>Table10s1!AA11</f>
        <v>424705.2846294904</v>
      </c>
      <c r="AB29" s="4310">
        <f>Table10s1!AB11</f>
        <v>419121.75060676603</v>
      </c>
      <c r="AC29" s="4310">
        <f>Table10s1!AC11</f>
        <v>410566.3928596527</v>
      </c>
      <c r="AD29" s="4310">
        <f>Table10s1!AD11</f>
        <v>422090.18144439545</v>
      </c>
      <c r="AE29" s="4310">
        <f>Table10s1!AE11</f>
        <v>430847.15353978908</v>
      </c>
      <c r="AF29" s="4310">
        <f>Table10s1!AF11</f>
        <v>433232.80805076193</v>
      </c>
      <c r="AG29" s="4310">
        <f>Table10s1!AG11</f>
        <v>435570.37881781755</v>
      </c>
      <c r="AH29" s="4310">
        <f>Table10s1!AH11</f>
        <v>434362.68755215249</v>
      </c>
      <c r="AI29" s="4310">
        <f>Table10s1!AI11</f>
        <v>418708.56999057758</v>
      </c>
      <c r="AJ29" s="4310">
        <f>Table10s1!AJ11</f>
        <v>404026.88538330066</v>
      </c>
      <c r="AK29" s="4059">
        <f t="shared" ref="AK29:AK35" si="1">IF(AJ29="NO",IF(E29="NO","NA",-100),IF(E29="NO",100,AJ29/E29*100))</f>
        <v>135.85967959885357</v>
      </c>
      <c r="AL29" s="19"/>
    </row>
    <row r="30" spans="2:38" ht="18" customHeight="1" x14ac:dyDescent="0.2">
      <c r="B30" s="1960" t="s">
        <v>1486</v>
      </c>
      <c r="C30" s="1956"/>
      <c r="D30" s="1957"/>
      <c r="E30" s="4122">
        <f>Table10s1!E22</f>
        <v>25113.212932040737</v>
      </c>
      <c r="F30" s="4122">
        <f>Table10s1!F22</f>
        <v>24310.425837712566</v>
      </c>
      <c r="G30" s="4122">
        <f>Table10s1!G22</f>
        <v>24888.973088353901</v>
      </c>
      <c r="H30" s="4122">
        <f>Table10s1!H22</f>
        <v>24635.149239859689</v>
      </c>
      <c r="I30" s="4122">
        <f>Table10s1!I22</f>
        <v>24886.776809699521</v>
      </c>
      <c r="J30" s="4122">
        <f>Table10s1!J22</f>
        <v>24654.423476591419</v>
      </c>
      <c r="K30" s="4122">
        <f>Table10s1!K22</f>
        <v>24342.833010078666</v>
      </c>
      <c r="L30" s="4122">
        <f>Table10s1!L22</f>
        <v>24415.692723731678</v>
      </c>
      <c r="M30" s="4122">
        <f>Table10s1!M22</f>
        <v>25468.697414458627</v>
      </c>
      <c r="N30" s="4122">
        <f>Table10s1!N22</f>
        <v>25914.848602962462</v>
      </c>
      <c r="O30" s="4122">
        <f>Table10s1!O22</f>
        <v>25766.612252688898</v>
      </c>
      <c r="P30" s="4122">
        <f>Table10s1!P22</f>
        <v>26598.981588761144</v>
      </c>
      <c r="Q30" s="4122">
        <f>Table10s1!Q22</f>
        <v>27059.847689280607</v>
      </c>
      <c r="R30" s="4122">
        <f>Table10s1!R22</f>
        <v>29531.120331734404</v>
      </c>
      <c r="S30" s="4122">
        <f>Table10s1!S22</f>
        <v>30831.065374623351</v>
      </c>
      <c r="T30" s="4122">
        <f>Table10s1!T22</f>
        <v>30130.272355562909</v>
      </c>
      <c r="U30" s="4122">
        <f>Table10s1!U22</f>
        <v>30615.933277017375</v>
      </c>
      <c r="V30" s="4122">
        <f>Table10s1!V22</f>
        <v>32659.406821376433</v>
      </c>
      <c r="W30" s="4122">
        <f>Table10s1!W22</f>
        <v>32673.882166442574</v>
      </c>
      <c r="X30" s="4122">
        <f>Table10s1!X22</f>
        <v>30504.544328139807</v>
      </c>
      <c r="Y30" s="4310">
        <f>Table10s1!Y22</f>
        <v>33438.996659318756</v>
      </c>
      <c r="Z30" s="4310">
        <f>Table10s1!Z22</f>
        <v>34249.143818524732</v>
      </c>
      <c r="AA30" s="4310">
        <f>Table10s1!AA22</f>
        <v>31896.009077256589</v>
      </c>
      <c r="AB30" s="4310">
        <f>Table10s1!AB22</f>
        <v>29689.140328031055</v>
      </c>
      <c r="AC30" s="4310">
        <f>Table10s1!AC22</f>
        <v>29619.148297540662</v>
      </c>
      <c r="AD30" s="4310">
        <f>Table10s1!AD22</f>
        <v>30478.203783182529</v>
      </c>
      <c r="AE30" s="4310">
        <f>Table10s1!AE22</f>
        <v>30556.664925587531</v>
      </c>
      <c r="AF30" s="4310">
        <f>Table10s1!AF22</f>
        <v>31153.183093127434</v>
      </c>
      <c r="AG30" s="4310">
        <f>Table10s1!AG22</f>
        <v>31810.677785357522</v>
      </c>
      <c r="AH30" s="4310">
        <f>Table10s1!AH22</f>
        <v>32549.671290285936</v>
      </c>
      <c r="AI30" s="4310">
        <f>Table10s1!AI22</f>
        <v>31898.602874836299</v>
      </c>
      <c r="AJ30" s="4310">
        <f>Table10s1!AJ22</f>
        <v>32992.298931418416</v>
      </c>
      <c r="AK30" s="4059">
        <f t="shared" si="1"/>
        <v>131.37426509582585</v>
      </c>
      <c r="AL30" s="19"/>
    </row>
    <row r="31" spans="2:38" ht="18" customHeight="1" x14ac:dyDescent="0.2">
      <c r="B31" s="1959" t="s">
        <v>1770</v>
      </c>
      <c r="C31" s="1956"/>
      <c r="D31" s="1957"/>
      <c r="E31" s="4122">
        <f>Table10s1!E31</f>
        <v>92095.804147061557</v>
      </c>
      <c r="F31" s="4122">
        <f>Table10s1!F31</f>
        <v>91260.931035067275</v>
      </c>
      <c r="G31" s="4122">
        <f>Table10s1!G31</f>
        <v>88317.426632831659</v>
      </c>
      <c r="H31" s="4122">
        <f>Table10s1!H31</f>
        <v>86069.359285803599</v>
      </c>
      <c r="I31" s="4122">
        <f>Table10s1!I31</f>
        <v>86039.101699400533</v>
      </c>
      <c r="J31" s="4122">
        <f>Table10s1!J31</f>
        <v>82278.653222943642</v>
      </c>
      <c r="K31" s="4122">
        <f>Table10s1!K31</f>
        <v>84494.533106321687</v>
      </c>
      <c r="L31" s="4122">
        <f>Table10s1!L31</f>
        <v>85697.551413499634</v>
      </c>
      <c r="M31" s="4122">
        <f>Table10s1!M31</f>
        <v>85442.196799366357</v>
      </c>
      <c r="N31" s="4122">
        <f>Table10s1!N31</f>
        <v>85399.78777881217</v>
      </c>
      <c r="O31" s="4122">
        <f>Table10s1!O31</f>
        <v>88716.219560668018</v>
      </c>
      <c r="P31" s="4122">
        <f>Table10s1!P31</f>
        <v>87630.110994635266</v>
      </c>
      <c r="Q31" s="4122">
        <f>Table10s1!Q31</f>
        <v>87436.175833379355</v>
      </c>
      <c r="R31" s="4122">
        <f>Table10s1!R31</f>
        <v>81706.553095220734</v>
      </c>
      <c r="S31" s="4122">
        <f>Table10s1!S31</f>
        <v>85250.7584112724</v>
      </c>
      <c r="T31" s="4122">
        <f>Table10s1!T31</f>
        <v>85972.448816698699</v>
      </c>
      <c r="U31" s="4122">
        <f>Table10s1!U31</f>
        <v>84279.979283064458</v>
      </c>
      <c r="V31" s="4122">
        <f>Table10s1!V31</f>
        <v>80288.282016111873</v>
      </c>
      <c r="W31" s="4122">
        <f>Table10s1!W31</f>
        <v>77553.224284943964</v>
      </c>
      <c r="X31" s="4122">
        <f>Table10s1!X31</f>
        <v>77745.964005901857</v>
      </c>
      <c r="Y31" s="4310">
        <f>Table10s1!Y31</f>
        <v>75100.435050210945</v>
      </c>
      <c r="Z31" s="4310">
        <f>Table10s1!Z31</f>
        <v>79931.896680644873</v>
      </c>
      <c r="AA31" s="4310">
        <f>Table10s1!AA31</f>
        <v>81442.774613845759</v>
      </c>
      <c r="AB31" s="4310">
        <f>Table10s1!AB31</f>
        <v>81700.263287677226</v>
      </c>
      <c r="AC31" s="4310">
        <f>Table10s1!AC31</f>
        <v>82028.017413753856</v>
      </c>
      <c r="AD31" s="4310">
        <f>Table10s1!AD31</f>
        <v>78940.405254769008</v>
      </c>
      <c r="AE31" s="4310">
        <f>Table10s1!AE31</f>
        <v>77867.407749464794</v>
      </c>
      <c r="AF31" s="4310">
        <f>Table10s1!AF31</f>
        <v>81857.281094811449</v>
      </c>
      <c r="AG31" s="4310">
        <f>Table10s1!AG31</f>
        <v>80580.478242490601</v>
      </c>
      <c r="AH31" s="4310">
        <f>Table10s1!AH31</f>
        <v>75065.863604061029</v>
      </c>
      <c r="AI31" s="4310">
        <f>Table10s1!AI31</f>
        <v>72642.234949386388</v>
      </c>
      <c r="AJ31" s="4310">
        <f>Table10s1!AJ31</f>
        <v>78254.24393992807</v>
      </c>
      <c r="AK31" s="4059">
        <f t="shared" si="1"/>
        <v>84.970476847098439</v>
      </c>
      <c r="AL31" s="19"/>
    </row>
    <row r="32" spans="2:38" ht="18" customHeight="1" x14ac:dyDescent="0.2">
      <c r="B32" s="1959" t="s">
        <v>1771</v>
      </c>
      <c r="C32" s="1956"/>
      <c r="D32" s="1957"/>
      <c r="E32" s="4122">
        <f>Table10s1!E42</f>
        <v>198211.88987830689</v>
      </c>
      <c r="F32" s="4122">
        <f>Table10s1!F42</f>
        <v>183447.73386628329</v>
      </c>
      <c r="G32" s="4122">
        <f>Table10s1!G42</f>
        <v>115013.53892279624</v>
      </c>
      <c r="H32" s="4122">
        <f>Table10s1!H42</f>
        <v>93036.736601719036</v>
      </c>
      <c r="I32" s="4122">
        <f>Table10s1!I42</f>
        <v>88348.367651538734</v>
      </c>
      <c r="J32" s="4122">
        <f>Table10s1!J42</f>
        <v>63135.504401490354</v>
      </c>
      <c r="K32" s="4122">
        <f>Table10s1!K42</f>
        <v>64735.736788539325</v>
      </c>
      <c r="L32" s="4122">
        <f>Table10s1!L42</f>
        <v>53014.65220535273</v>
      </c>
      <c r="M32" s="4122">
        <f>Table10s1!M42</f>
        <v>40295.819556987561</v>
      </c>
      <c r="N32" s="4122">
        <f>Table10s1!N42</f>
        <v>49639.104619024016</v>
      </c>
      <c r="O32" s="4122">
        <f>Table10s1!O42</f>
        <v>64769.318743418247</v>
      </c>
      <c r="P32" s="4122">
        <f>Table10s1!P42</f>
        <v>77180.274172959558</v>
      </c>
      <c r="Q32" s="4122">
        <f>Table10s1!Q42</f>
        <v>69353.553955349562</v>
      </c>
      <c r="R32" s="4122">
        <f>Table10s1!R42</f>
        <v>79772.770099129193</v>
      </c>
      <c r="S32" s="4122">
        <f>Table10s1!S42</f>
        <v>56026.371070781708</v>
      </c>
      <c r="T32" s="4122">
        <f>Table10s1!T42</f>
        <v>80703.403748299766</v>
      </c>
      <c r="U32" s="4122">
        <f>Table10s1!U42</f>
        <v>86772.698061442527</v>
      </c>
      <c r="V32" s="4122">
        <f>Table10s1!V42</f>
        <v>94783.562181553469</v>
      </c>
      <c r="W32" s="4122">
        <f>Table10s1!W42</f>
        <v>81122.493901969472</v>
      </c>
      <c r="X32" s="4122">
        <f>Table10s1!X42</f>
        <v>78779.197701024925</v>
      </c>
      <c r="Y32" s="4310">
        <f>Table10s1!Y42</f>
        <v>66159.892005582413</v>
      </c>
      <c r="Z32" s="4310">
        <f>Table10s1!Z42</f>
        <v>45024.895918946255</v>
      </c>
      <c r="AA32" s="4310">
        <f>Table10s1!AA42</f>
        <v>26771.89364671048</v>
      </c>
      <c r="AB32" s="4310">
        <f>Table10s1!AB42</f>
        <v>17302.671851995532</v>
      </c>
      <c r="AC32" s="4310">
        <f>Table10s1!AC42</f>
        <v>20366.032863299763</v>
      </c>
      <c r="AD32" s="4310">
        <f>Table10s1!AD42</f>
        <v>-3319.6150418878524</v>
      </c>
      <c r="AE32" s="4310">
        <f>Table10s1!AE42</f>
        <v>-39871.822235817621</v>
      </c>
      <c r="AF32" s="4310">
        <f>Table10s1!AF42</f>
        <v>-49771.570434421279</v>
      </c>
      <c r="AG32" s="4310">
        <f>Table10s1!AG42</f>
        <v>-46601.057598158615</v>
      </c>
      <c r="AH32" s="4310">
        <f>Table10s1!AH42</f>
        <v>-49387.874426500726</v>
      </c>
      <c r="AI32" s="4310">
        <f>Table10s1!AI42</f>
        <v>-42506.756906139548</v>
      </c>
      <c r="AJ32" s="4310">
        <f>Table10s1!AJ42</f>
        <v>-63860.982206518856</v>
      </c>
      <c r="AK32" s="4059">
        <f t="shared" si="1"/>
        <v>-32.218542614031179</v>
      </c>
      <c r="AL32" s="19"/>
    </row>
    <row r="33" spans="2:38" ht="18" customHeight="1" x14ac:dyDescent="0.2">
      <c r="B33" s="1960" t="s">
        <v>1772</v>
      </c>
      <c r="C33" s="1956"/>
      <c r="D33" s="1957"/>
      <c r="E33" s="4122">
        <f>Table10s1!E51</f>
        <v>23462.315421158237</v>
      </c>
      <c r="F33" s="4122">
        <f>Table10s1!F51</f>
        <v>23387.229503165388</v>
      </c>
      <c r="G33" s="4122">
        <f>Table10s1!G51</f>
        <v>23124.354882853382</v>
      </c>
      <c r="H33" s="4122">
        <f>Table10s1!H51</f>
        <v>22945.128988231747</v>
      </c>
      <c r="I33" s="4122">
        <f>Table10s1!I51</f>
        <v>22173.966443942423</v>
      </c>
      <c r="J33" s="4122">
        <f>Table10s1!J51</f>
        <v>22103.561528222435</v>
      </c>
      <c r="K33" s="4122">
        <f>Table10s1!K51</f>
        <v>20235.923646513002</v>
      </c>
      <c r="L33" s="4122">
        <f>Table10s1!L51</f>
        <v>19926.392880567255</v>
      </c>
      <c r="M33" s="4122">
        <f>Table10s1!M51</f>
        <v>19102.349461792444</v>
      </c>
      <c r="N33" s="4122">
        <f>Table10s1!N51</f>
        <v>19228.287544369778</v>
      </c>
      <c r="O33" s="4122">
        <f>Table10s1!O51</f>
        <v>18587.965698942193</v>
      </c>
      <c r="P33" s="4122">
        <f>Table10s1!P51</f>
        <v>18892.442352577684</v>
      </c>
      <c r="Q33" s="4122">
        <f>Table10s1!Q51</f>
        <v>18947.155637535107</v>
      </c>
      <c r="R33" s="4122">
        <f>Table10s1!R51</f>
        <v>16332.389292906302</v>
      </c>
      <c r="S33" s="4122">
        <f>Table10s1!S51</f>
        <v>15892.789529448288</v>
      </c>
      <c r="T33" s="4122">
        <f>Table10s1!T51</f>
        <v>15739.320730813844</v>
      </c>
      <c r="U33" s="4122">
        <f>Table10s1!U51</f>
        <v>15482.142093041351</v>
      </c>
      <c r="V33" s="4122">
        <f>Table10s1!V51</f>
        <v>15872.660350356889</v>
      </c>
      <c r="W33" s="4122">
        <f>Table10s1!W51</f>
        <v>16386.531769897483</v>
      </c>
      <c r="X33" s="4122">
        <f>Table10s1!X51</f>
        <v>16206.623212371756</v>
      </c>
      <c r="Y33" s="4310">
        <f>Table10s1!Y51</f>
        <v>16053.814197864553</v>
      </c>
      <c r="Z33" s="4310">
        <f>Table10s1!Z51</f>
        <v>15593.262019409703</v>
      </c>
      <c r="AA33" s="4310">
        <f>Table10s1!AA51</f>
        <v>14261.481467995489</v>
      </c>
      <c r="AB33" s="4310">
        <f>Table10s1!AB51</f>
        <v>13287.521262805796</v>
      </c>
      <c r="AC33" s="4310">
        <f>Table10s1!AC51</f>
        <v>13237.882332789575</v>
      </c>
      <c r="AD33" s="4310">
        <f>Table10s1!AD51</f>
        <v>12723.024221763157</v>
      </c>
      <c r="AE33" s="4310">
        <f>Table10s1!AE51</f>
        <v>13083.602880220978</v>
      </c>
      <c r="AF33" s="4310">
        <f>Table10s1!AF51</f>
        <v>13337.838651395179</v>
      </c>
      <c r="AG33" s="4310">
        <f>Table10s1!AG51</f>
        <v>12865.879291780653</v>
      </c>
      <c r="AH33" s="4310">
        <f>Table10s1!AH51</f>
        <v>13266.708758071194</v>
      </c>
      <c r="AI33" s="4310">
        <f>Table10s1!AI51</f>
        <v>13490.310194307312</v>
      </c>
      <c r="AJ33" s="4310">
        <f>Table10s1!AJ51</f>
        <v>13358.219706146765</v>
      </c>
      <c r="AK33" s="4059">
        <f t="shared" si="1"/>
        <v>56.934788687140255</v>
      </c>
      <c r="AL33" s="19"/>
    </row>
    <row r="34" spans="2:38" ht="18" customHeight="1" x14ac:dyDescent="0.2">
      <c r="B34" s="1961" t="s">
        <v>1773</v>
      </c>
      <c r="C34" s="1962"/>
      <c r="D34" s="1963"/>
      <c r="E34" s="4125" t="str">
        <f>Table10s1!E57</f>
        <v>NO</v>
      </c>
      <c r="F34" s="4125" t="str">
        <f>Table10s1!F57</f>
        <v>NO</v>
      </c>
      <c r="G34" s="4125" t="str">
        <f>Table10s1!G57</f>
        <v>NO</v>
      </c>
      <c r="H34" s="4125" t="str">
        <f>Table10s1!H57</f>
        <v>NO</v>
      </c>
      <c r="I34" s="4125" t="str">
        <f>Table10s1!I57</f>
        <v>NO</v>
      </c>
      <c r="J34" s="4125" t="str">
        <f>Table10s1!J57</f>
        <v>NO</v>
      </c>
      <c r="K34" s="4125" t="str">
        <f>Table10s1!K57</f>
        <v>NO</v>
      </c>
      <c r="L34" s="4125" t="str">
        <f>Table10s1!L57</f>
        <v>NO</v>
      </c>
      <c r="M34" s="4125" t="str">
        <f>Table10s1!M57</f>
        <v>NO</v>
      </c>
      <c r="N34" s="4125" t="str">
        <f>Table10s1!N57</f>
        <v>NO</v>
      </c>
      <c r="O34" s="4125" t="str">
        <f>Table10s1!O57</f>
        <v>NO</v>
      </c>
      <c r="P34" s="4125" t="str">
        <f>Table10s1!P57</f>
        <v>NO</v>
      </c>
      <c r="Q34" s="4125" t="str">
        <f>Table10s1!Q57</f>
        <v>NO</v>
      </c>
      <c r="R34" s="4125" t="str">
        <f>Table10s1!R57</f>
        <v>NO</v>
      </c>
      <c r="S34" s="4125" t="str">
        <f>Table10s1!S57</f>
        <v>NO</v>
      </c>
      <c r="T34" s="4125" t="str">
        <f>Table10s1!T57</f>
        <v>NO</v>
      </c>
      <c r="U34" s="4125" t="str">
        <f>Table10s1!U57</f>
        <v>NO</v>
      </c>
      <c r="V34" s="4125" t="str">
        <f>Table10s1!V57</f>
        <v>NO</v>
      </c>
      <c r="W34" s="4125" t="str">
        <f>Table10s1!W57</f>
        <v>NO</v>
      </c>
      <c r="X34" s="4125" t="str">
        <f>Table10s1!X57</f>
        <v>NO</v>
      </c>
      <c r="Y34" s="4316" t="str">
        <f>Table10s1!Y57</f>
        <v>NO</v>
      </c>
      <c r="Z34" s="4316" t="str">
        <f>Table10s1!Z57</f>
        <v>NO</v>
      </c>
      <c r="AA34" s="4316" t="str">
        <f>Table10s1!AA57</f>
        <v>NO</v>
      </c>
      <c r="AB34" s="4316" t="str">
        <f>Table10s1!AB57</f>
        <v>NO</v>
      </c>
      <c r="AC34" s="4316" t="str">
        <f>Table10s1!AC57</f>
        <v>NO</v>
      </c>
      <c r="AD34" s="4316" t="str">
        <f>Table10s1!AD57</f>
        <v>NO</v>
      </c>
      <c r="AE34" s="4316" t="str">
        <f>Table10s1!AE57</f>
        <v>NO</v>
      </c>
      <c r="AF34" s="4316" t="str">
        <f>Table10s1!AF57</f>
        <v>NO</v>
      </c>
      <c r="AG34" s="4316" t="str">
        <f>Table10s1!AG57</f>
        <v>NO</v>
      </c>
      <c r="AH34" s="4316" t="str">
        <f>Table10s1!AH57</f>
        <v>NO</v>
      </c>
      <c r="AI34" s="4316" t="str">
        <f>Table10s1!AI57</f>
        <v>NO</v>
      </c>
      <c r="AJ34" s="4316" t="str">
        <f>Table10s1!AJ57</f>
        <v>NO</v>
      </c>
      <c r="AK34" s="4059" t="str">
        <f t="shared" si="1"/>
        <v>NA</v>
      </c>
      <c r="AL34" s="19"/>
    </row>
    <row r="35" spans="2:38" ht="18" customHeight="1" thickBot="1" x14ac:dyDescent="0.25">
      <c r="B35" s="1424" t="s">
        <v>2139</v>
      </c>
      <c r="C35" s="1428"/>
      <c r="D35" s="1429"/>
      <c r="E35" s="4126">
        <f>E22</f>
        <v>636268.64723475114</v>
      </c>
      <c r="F35" s="4126">
        <f t="shared" ref="F35:AJ35" si="2">F22</f>
        <v>621497.02421226003</v>
      </c>
      <c r="G35" s="4126">
        <f t="shared" si="2"/>
        <v>556765.71901463135</v>
      </c>
      <c r="H35" s="4126">
        <f t="shared" si="2"/>
        <v>535319.21833551908</v>
      </c>
      <c r="I35" s="4126">
        <f t="shared" si="2"/>
        <v>530958.92406140314</v>
      </c>
      <c r="J35" s="4126">
        <f t="shared" si="2"/>
        <v>514211.96709500585</v>
      </c>
      <c r="K35" s="4126">
        <f t="shared" si="2"/>
        <v>522310.73100349813</v>
      </c>
      <c r="L35" s="4126">
        <f t="shared" si="2"/>
        <v>522850.34046829899</v>
      </c>
      <c r="M35" s="4126">
        <f t="shared" si="2"/>
        <v>524332.94139234256</v>
      </c>
      <c r="N35" s="4126">
        <f t="shared" si="2"/>
        <v>539610.26906447276</v>
      </c>
      <c r="O35" s="4126">
        <f t="shared" si="2"/>
        <v>566358.30873673793</v>
      </c>
      <c r="P35" s="4126">
        <f t="shared" si="2"/>
        <v>586636.35452851758</v>
      </c>
      <c r="Q35" s="4126">
        <f t="shared" si="2"/>
        <v>582524.56130253465</v>
      </c>
      <c r="R35" s="4126">
        <f t="shared" si="2"/>
        <v>591486.97931912506</v>
      </c>
      <c r="S35" s="4126">
        <f t="shared" si="2"/>
        <v>584853.80133001343</v>
      </c>
      <c r="T35" s="4126">
        <f t="shared" si="2"/>
        <v>616293.16022877872</v>
      </c>
      <c r="U35" s="4126">
        <f t="shared" si="2"/>
        <v>626790.48062156246</v>
      </c>
      <c r="V35" s="4126">
        <f t="shared" si="2"/>
        <v>641523.07809343457</v>
      </c>
      <c r="W35" s="4126">
        <f t="shared" si="2"/>
        <v>630251.31621980376</v>
      </c>
      <c r="X35" s="4126">
        <f t="shared" si="2"/>
        <v>630906.55015883956</v>
      </c>
      <c r="Y35" s="4317">
        <f t="shared" si="2"/>
        <v>613332.65270992648</v>
      </c>
      <c r="Z35" s="4317">
        <f t="shared" si="2"/>
        <v>594032.24890962371</v>
      </c>
      <c r="AA35" s="4317">
        <f t="shared" si="2"/>
        <v>579077.44343529863</v>
      </c>
      <c r="AB35" s="4317">
        <f t="shared" si="2"/>
        <v>561101.34733727563</v>
      </c>
      <c r="AC35" s="4317">
        <f t="shared" si="2"/>
        <v>555817.47376703657</v>
      </c>
      <c r="AD35" s="4317">
        <f t="shared" si="2"/>
        <v>540912.19966222229</v>
      </c>
      <c r="AE35" s="4317">
        <f t="shared" si="2"/>
        <v>512483.00685924484</v>
      </c>
      <c r="AF35" s="4317">
        <f t="shared" si="2"/>
        <v>509809.54045567475</v>
      </c>
      <c r="AG35" s="4317">
        <f t="shared" si="2"/>
        <v>514226.35653928772</v>
      </c>
      <c r="AH35" s="4317">
        <f t="shared" si="2"/>
        <v>505857.05677806993</v>
      </c>
      <c r="AI35" s="4317">
        <f t="shared" si="2"/>
        <v>494232.96110296802</v>
      </c>
      <c r="AJ35" s="4317">
        <f t="shared" si="2"/>
        <v>464770.66575427499</v>
      </c>
      <c r="AK35" s="4059">
        <f t="shared" si="1"/>
        <v>73.046293853105411</v>
      </c>
      <c r="AL35" s="19"/>
    </row>
    <row r="36" spans="2:38" x14ac:dyDescent="0.2">
      <c r="B36" s="682"/>
      <c r="C36" s="682"/>
      <c r="D36" s="682"/>
      <c r="E36" s="682"/>
      <c r="F36" s="682"/>
      <c r="G36" s="682"/>
      <c r="H36" s="682"/>
      <c r="I36" s="682"/>
      <c r="J36" s="682"/>
      <c r="K36" s="682"/>
      <c r="L36" s="682"/>
      <c r="M36" s="682"/>
      <c r="N36" s="682"/>
      <c r="O36" s="682"/>
      <c r="P36" s="682"/>
      <c r="Q36" s="682"/>
      <c r="R36" s="682"/>
      <c r="S36" s="682"/>
      <c r="T36" s="682"/>
      <c r="U36" s="682"/>
      <c r="V36" s="682"/>
      <c r="W36" s="682"/>
      <c r="X36" s="682"/>
      <c r="Y36" s="682"/>
      <c r="Z36" s="682"/>
      <c r="AA36" s="682"/>
      <c r="AB36" s="682"/>
      <c r="AC36" s="682"/>
      <c r="AD36" s="682"/>
      <c r="AE36" s="682"/>
      <c r="AF36" s="682"/>
      <c r="AG36" s="682"/>
      <c r="AH36" s="682"/>
      <c r="AI36" s="682"/>
      <c r="AJ36" s="682"/>
      <c r="AK36" s="1427"/>
      <c r="AL36" s="19"/>
    </row>
    <row r="37" spans="2:38" ht="13.5" x14ac:dyDescent="0.2">
      <c r="B37" s="994"/>
      <c r="C37" s="682"/>
      <c r="D37" s="682"/>
      <c r="E37" s="682"/>
      <c r="F37" s="682"/>
      <c r="G37" s="682"/>
      <c r="H37" s="682"/>
      <c r="I37" s="682"/>
      <c r="J37" s="682"/>
      <c r="K37" s="682"/>
      <c r="L37" s="682"/>
      <c r="M37" s="682"/>
      <c r="N37" s="682"/>
      <c r="O37" s="682"/>
      <c r="P37" s="682"/>
      <c r="Q37" s="682"/>
      <c r="R37" s="682"/>
      <c r="S37" s="682"/>
      <c r="T37" s="682"/>
      <c r="U37" s="682"/>
      <c r="V37" s="682"/>
      <c r="W37" s="682"/>
      <c r="X37" s="682"/>
      <c r="Y37" s="682"/>
      <c r="Z37" s="682"/>
      <c r="AA37" s="682"/>
      <c r="AB37" s="682"/>
      <c r="AC37" s="682"/>
      <c r="AD37" s="682"/>
      <c r="AE37" s="682"/>
      <c r="AF37" s="682"/>
      <c r="AG37" s="682"/>
      <c r="AH37" s="682"/>
      <c r="AI37" s="682"/>
      <c r="AJ37" s="682"/>
      <c r="AK37" s="682"/>
    </row>
    <row r="38" spans="2:38" ht="13.5" x14ac:dyDescent="0.2">
      <c r="B38" s="1430"/>
      <c r="C38" s="682"/>
      <c r="D38" s="682"/>
      <c r="E38" s="682"/>
      <c r="F38" s="682"/>
      <c r="G38" s="682"/>
      <c r="H38" s="682"/>
      <c r="I38" s="682"/>
      <c r="J38" s="682"/>
      <c r="K38" s="682"/>
      <c r="L38" s="682"/>
      <c r="M38" s="682"/>
      <c r="N38" s="682"/>
      <c r="O38" s="682"/>
      <c r="P38" s="682"/>
      <c r="Q38" s="682"/>
      <c r="R38" s="682"/>
      <c r="S38" s="682"/>
      <c r="T38" s="682"/>
      <c r="U38" s="682"/>
      <c r="V38" s="682"/>
      <c r="W38" s="682"/>
      <c r="X38" s="682"/>
      <c r="Y38" s="682"/>
      <c r="Z38" s="682"/>
      <c r="AA38" s="682"/>
      <c r="AB38" s="682"/>
      <c r="AC38" s="682"/>
      <c r="AD38" s="682"/>
      <c r="AE38" s="682"/>
      <c r="AF38" s="682"/>
      <c r="AG38" s="682"/>
      <c r="AH38" s="682"/>
      <c r="AI38" s="682"/>
      <c r="AJ38" s="682"/>
      <c r="AK38" s="682"/>
    </row>
    <row r="39" spans="2:38" x14ac:dyDescent="0.2">
      <c r="B39" s="1964"/>
      <c r="C39" s="1431"/>
      <c r="D39" s="1431"/>
      <c r="E39" s="1431"/>
      <c r="F39" s="1431"/>
      <c r="G39" s="1431"/>
      <c r="H39" s="1431"/>
      <c r="I39" s="1431"/>
      <c r="J39" s="1431"/>
      <c r="K39" s="1431"/>
      <c r="L39" s="1431"/>
      <c r="M39" s="1431"/>
      <c r="N39" s="1431"/>
      <c r="O39" s="1431"/>
      <c r="P39" s="1431"/>
      <c r="Q39" s="1431"/>
      <c r="R39" s="1431"/>
      <c r="S39" s="1431"/>
      <c r="T39" s="1431"/>
      <c r="U39" s="1431"/>
      <c r="V39" s="1431"/>
      <c r="W39" s="1431"/>
      <c r="X39" s="1431"/>
      <c r="Y39" s="1431"/>
      <c r="Z39" s="1431"/>
      <c r="AA39" s="1431"/>
      <c r="AB39" s="1431"/>
      <c r="AC39" s="1431"/>
      <c r="AD39" s="1431"/>
      <c r="AE39" s="1431"/>
      <c r="AF39" s="1431"/>
      <c r="AG39" s="1431"/>
      <c r="AH39" s="1431"/>
      <c r="AI39" s="1431"/>
      <c r="AJ39" s="1431"/>
      <c r="AK39" s="1431"/>
    </row>
    <row r="40" spans="2:38" x14ac:dyDescent="0.2">
      <c r="B40" s="1964"/>
      <c r="C40" s="1965"/>
      <c r="D40" s="1965"/>
      <c r="E40" s="1965"/>
      <c r="F40" s="1965"/>
      <c r="G40" s="1965"/>
      <c r="H40" s="1965"/>
      <c r="I40" s="1965"/>
      <c r="J40" s="1965"/>
      <c r="K40" s="1965"/>
      <c r="L40" s="1965"/>
      <c r="M40" s="1965"/>
      <c r="N40" s="1965"/>
      <c r="O40" s="1965"/>
      <c r="P40" s="1965"/>
      <c r="Q40" s="1965"/>
      <c r="R40" s="1965"/>
      <c r="S40" s="1965"/>
      <c r="T40" s="1965"/>
      <c r="U40" s="1965"/>
      <c r="V40" s="1965"/>
      <c r="W40" s="1965"/>
      <c r="X40" s="1965"/>
      <c r="Y40" s="1965"/>
      <c r="Z40" s="1965"/>
      <c r="AA40" s="1965"/>
      <c r="AB40" s="1965"/>
      <c r="AC40" s="1965"/>
      <c r="AD40" s="1965"/>
      <c r="AE40" s="1965"/>
      <c r="AF40" s="1965"/>
      <c r="AG40" s="1965"/>
      <c r="AH40" s="1965"/>
      <c r="AI40" s="1965"/>
      <c r="AJ40" s="1965"/>
      <c r="AK40" s="1965"/>
    </row>
    <row r="41" spans="2:38" x14ac:dyDescent="0.2">
      <c r="B41" s="1966"/>
      <c r="C41" s="1965"/>
      <c r="D41" s="1965"/>
      <c r="E41" s="1965"/>
      <c r="F41" s="1965"/>
      <c r="G41" s="1965"/>
      <c r="H41" s="1965"/>
      <c r="I41" s="1965"/>
      <c r="J41" s="1965"/>
      <c r="K41" s="1965"/>
      <c r="L41" s="1965"/>
      <c r="M41" s="1965"/>
      <c r="N41" s="1965"/>
      <c r="O41" s="1965"/>
      <c r="P41" s="1965"/>
      <c r="Q41" s="1965"/>
      <c r="R41" s="1965"/>
      <c r="S41" s="1965"/>
      <c r="T41" s="1965"/>
      <c r="U41" s="1965"/>
      <c r="V41" s="1965"/>
      <c r="W41" s="1965"/>
      <c r="X41" s="1965"/>
      <c r="Y41" s="1965"/>
      <c r="Z41" s="1965"/>
      <c r="AA41" s="1965"/>
      <c r="AB41" s="1965"/>
      <c r="AC41" s="1965"/>
      <c r="AD41" s="1965"/>
      <c r="AE41" s="1965"/>
      <c r="AF41" s="1965"/>
      <c r="AG41" s="1965"/>
      <c r="AH41" s="1965"/>
      <c r="AI41" s="1965"/>
      <c r="AJ41" s="1965"/>
      <c r="AK41" s="1965"/>
    </row>
    <row r="42" spans="2:38" x14ac:dyDescent="0.2">
      <c r="B42" s="1432"/>
      <c r="C42" s="1965"/>
      <c r="D42" s="1965"/>
      <c r="E42" s="1965"/>
      <c r="F42" s="1965"/>
      <c r="G42" s="1965"/>
      <c r="H42" s="1965"/>
      <c r="I42" s="1965"/>
      <c r="J42" s="1965"/>
      <c r="K42" s="1965"/>
      <c r="L42" s="1965"/>
      <c r="M42" s="1965"/>
      <c r="N42" s="1965"/>
      <c r="O42" s="1965"/>
      <c r="P42" s="1965"/>
      <c r="Q42" s="1965"/>
      <c r="R42" s="1965"/>
      <c r="S42" s="1965"/>
      <c r="T42" s="1965"/>
      <c r="U42" s="1965"/>
      <c r="V42" s="1965"/>
      <c r="W42" s="1965"/>
      <c r="X42" s="1965"/>
      <c r="Y42" s="1965"/>
      <c r="Z42" s="1965"/>
      <c r="AA42" s="1965"/>
      <c r="AB42" s="1965"/>
      <c r="AC42" s="1965"/>
      <c r="AD42" s="1965"/>
      <c r="AE42" s="1965"/>
      <c r="AF42" s="1965"/>
      <c r="AG42" s="1965"/>
      <c r="AH42" s="1965"/>
      <c r="AI42" s="1965"/>
      <c r="AJ42" s="1965"/>
      <c r="AK42" s="1965"/>
    </row>
    <row r="43" spans="2:38" x14ac:dyDescent="0.2">
      <c r="B43" s="1432"/>
      <c r="C43" s="1965"/>
      <c r="D43" s="1965"/>
      <c r="E43" s="1965"/>
      <c r="F43" s="1965"/>
      <c r="G43" s="1965"/>
      <c r="H43" s="1965"/>
      <c r="I43" s="1965"/>
      <c r="J43" s="1965"/>
      <c r="K43" s="1965"/>
      <c r="L43" s="1965"/>
      <c r="M43" s="1965"/>
      <c r="N43" s="1965"/>
      <c r="O43" s="1965"/>
      <c r="P43" s="1965"/>
      <c r="Q43" s="1965"/>
      <c r="R43" s="1965"/>
      <c r="S43" s="1965"/>
      <c r="T43" s="1965"/>
      <c r="U43" s="1965"/>
      <c r="V43" s="1965"/>
      <c r="W43" s="1965"/>
      <c r="X43" s="1965"/>
      <c r="Y43" s="1965"/>
      <c r="Z43" s="1965"/>
      <c r="AA43" s="1965"/>
      <c r="AB43" s="1965"/>
      <c r="AC43" s="1965"/>
      <c r="AD43" s="1965"/>
      <c r="AE43" s="1965"/>
      <c r="AF43" s="1965"/>
      <c r="AG43" s="1965"/>
      <c r="AH43" s="1965"/>
      <c r="AI43" s="1965"/>
      <c r="AJ43" s="1965"/>
      <c r="AK43" s="1965"/>
    </row>
    <row r="44" spans="2:38" x14ac:dyDescent="0.2">
      <c r="B44" s="1432"/>
      <c r="C44" s="1965"/>
      <c r="D44" s="1965"/>
      <c r="E44" s="1965"/>
      <c r="F44" s="1965"/>
      <c r="G44" s="1965"/>
      <c r="H44" s="1965"/>
      <c r="I44" s="1965"/>
      <c r="J44" s="1965"/>
      <c r="K44" s="1965"/>
      <c r="L44" s="1965"/>
      <c r="M44" s="1965"/>
      <c r="N44" s="1965"/>
      <c r="O44" s="1965"/>
      <c r="P44" s="1965"/>
      <c r="Q44" s="1965"/>
      <c r="R44" s="1965"/>
      <c r="S44" s="1965"/>
      <c r="T44" s="1965"/>
      <c r="U44" s="1965"/>
      <c r="V44" s="1965"/>
      <c r="W44" s="1965"/>
      <c r="X44" s="1965"/>
      <c r="Y44" s="1965"/>
      <c r="Z44" s="1965"/>
      <c r="AA44" s="1965"/>
      <c r="AB44" s="1965"/>
      <c r="AC44" s="1965"/>
      <c r="AD44" s="1965"/>
      <c r="AE44" s="1965"/>
      <c r="AF44" s="1965"/>
      <c r="AG44" s="1965"/>
      <c r="AH44" s="1965"/>
      <c r="AI44" s="1965"/>
      <c r="AJ44" s="1965"/>
      <c r="AK44" s="1965"/>
    </row>
    <row r="45" spans="2:38" x14ac:dyDescent="0.2">
      <c r="B45" s="1432"/>
      <c r="C45" s="1965"/>
      <c r="D45" s="1965"/>
      <c r="E45" s="1965"/>
      <c r="F45" s="1965"/>
      <c r="G45" s="1965"/>
      <c r="H45" s="1965"/>
      <c r="I45" s="1965"/>
      <c r="J45" s="1965"/>
      <c r="K45" s="1965"/>
      <c r="L45" s="1965"/>
      <c r="M45" s="1965"/>
      <c r="N45" s="1965"/>
      <c r="O45" s="1965"/>
      <c r="P45" s="1965"/>
      <c r="Q45" s="1965"/>
      <c r="R45" s="1965"/>
      <c r="S45" s="1965"/>
      <c r="T45" s="1965"/>
      <c r="U45" s="1965"/>
      <c r="V45" s="1965"/>
      <c r="W45" s="1965"/>
      <c r="X45" s="1965"/>
      <c r="Y45" s="1965"/>
      <c r="Z45" s="1965"/>
      <c r="AA45" s="1965"/>
      <c r="AB45" s="1965"/>
      <c r="AC45" s="1965"/>
      <c r="AD45" s="1965"/>
      <c r="AE45" s="1965"/>
      <c r="AF45" s="1965"/>
      <c r="AG45" s="1965"/>
      <c r="AH45" s="1965"/>
      <c r="AI45" s="1965"/>
      <c r="AJ45" s="1965"/>
      <c r="AK45" s="1965"/>
    </row>
    <row r="46" spans="2:38" x14ac:dyDescent="0.2">
      <c r="B46" s="1432"/>
      <c r="C46" s="1965"/>
      <c r="D46" s="1965"/>
      <c r="E46" s="1965"/>
      <c r="F46" s="1965"/>
      <c r="G46" s="1965"/>
      <c r="H46" s="1965"/>
      <c r="I46" s="1965"/>
      <c r="J46" s="1965"/>
      <c r="K46" s="1965"/>
      <c r="L46" s="1965"/>
      <c r="M46" s="1965"/>
      <c r="N46" s="1965"/>
      <c r="O46" s="1965"/>
      <c r="P46" s="1965"/>
      <c r="Q46" s="1965"/>
      <c r="R46" s="1965"/>
      <c r="S46" s="1965"/>
      <c r="T46" s="1965"/>
      <c r="U46" s="1965"/>
      <c r="V46" s="1965"/>
      <c r="W46" s="1965"/>
      <c r="X46" s="1965"/>
      <c r="Y46" s="1965"/>
      <c r="Z46" s="1965"/>
      <c r="AA46" s="1965"/>
      <c r="AB46" s="1965"/>
      <c r="AC46" s="1965"/>
      <c r="AD46" s="1965"/>
      <c r="AE46" s="1965"/>
      <c r="AF46" s="1965"/>
      <c r="AG46" s="1965"/>
      <c r="AH46" s="1965"/>
      <c r="AI46" s="1965"/>
      <c r="AJ46" s="1965"/>
      <c r="AK46" s="1965"/>
    </row>
    <row r="47" spans="2:38" x14ac:dyDescent="0.2">
      <c r="B47" s="1432"/>
      <c r="C47" s="1965"/>
      <c r="D47" s="1965"/>
      <c r="E47" s="1965"/>
      <c r="F47" s="1965"/>
      <c r="G47" s="1965"/>
      <c r="H47" s="1965"/>
      <c r="I47" s="1965"/>
      <c r="J47" s="1965"/>
      <c r="K47" s="1965"/>
      <c r="L47" s="1965"/>
      <c r="M47" s="1965"/>
      <c r="N47" s="1965"/>
      <c r="O47" s="1965"/>
      <c r="P47" s="1965"/>
      <c r="Q47" s="1965"/>
      <c r="R47" s="1965"/>
      <c r="S47" s="1965"/>
      <c r="T47" s="1965"/>
      <c r="U47" s="1965"/>
      <c r="V47" s="1965"/>
      <c r="W47" s="1965"/>
      <c r="X47" s="1965"/>
      <c r="Y47" s="1965"/>
      <c r="Z47" s="1965"/>
      <c r="AA47" s="1965"/>
      <c r="AB47" s="1965"/>
      <c r="AC47" s="1965"/>
      <c r="AD47" s="1965"/>
      <c r="AE47" s="1965"/>
      <c r="AF47" s="1965"/>
      <c r="AG47" s="1965"/>
      <c r="AH47" s="1965"/>
      <c r="AI47" s="1965"/>
      <c r="AJ47" s="1965"/>
      <c r="AK47" s="1965"/>
    </row>
    <row r="48" spans="2:38" x14ac:dyDescent="0.2">
      <c r="B48" s="1432"/>
      <c r="C48" s="1965"/>
      <c r="D48" s="1965"/>
      <c r="E48" s="1965"/>
      <c r="F48" s="1965"/>
      <c r="G48" s="1965"/>
      <c r="H48" s="1965"/>
      <c r="I48" s="1965"/>
      <c r="J48" s="1965"/>
      <c r="K48" s="1965"/>
      <c r="L48" s="1965"/>
      <c r="M48" s="1965"/>
      <c r="N48" s="1965"/>
      <c r="O48" s="1965"/>
      <c r="P48" s="1965"/>
      <c r="Q48" s="1965"/>
      <c r="R48" s="1965"/>
      <c r="S48" s="1965"/>
      <c r="T48" s="1965"/>
      <c r="U48" s="1965"/>
      <c r="V48" s="1965"/>
      <c r="W48" s="1965"/>
      <c r="X48" s="1965"/>
      <c r="Y48" s="1965"/>
      <c r="Z48" s="1965"/>
      <c r="AA48" s="1965"/>
      <c r="AB48" s="1965"/>
      <c r="AC48" s="1965"/>
      <c r="AD48" s="1965"/>
      <c r="AE48" s="1965"/>
      <c r="AF48" s="1965"/>
      <c r="AG48" s="1965"/>
      <c r="AH48" s="1965"/>
      <c r="AI48" s="1965"/>
      <c r="AJ48" s="1965"/>
      <c r="AK48" s="1965"/>
    </row>
    <row r="49" spans="2:37" x14ac:dyDescent="0.2">
      <c r="B49" s="1432"/>
      <c r="C49" s="1965"/>
      <c r="D49" s="1965"/>
      <c r="E49" s="1965"/>
      <c r="F49" s="1965"/>
      <c r="G49" s="1965"/>
      <c r="H49" s="1965"/>
      <c r="I49" s="1965"/>
      <c r="J49" s="1965"/>
      <c r="K49" s="1965"/>
      <c r="L49" s="1965"/>
      <c r="M49" s="1965"/>
      <c r="N49" s="1965"/>
      <c r="O49" s="1965"/>
      <c r="P49" s="1965"/>
      <c r="Q49" s="1965"/>
      <c r="R49" s="1965"/>
      <c r="S49" s="1965"/>
      <c r="T49" s="1965"/>
      <c r="U49" s="1965"/>
      <c r="V49" s="1965"/>
      <c r="W49" s="1965"/>
      <c r="X49" s="1965"/>
      <c r="Y49" s="1965"/>
      <c r="Z49" s="1965"/>
      <c r="AA49" s="1965"/>
      <c r="AB49" s="1965"/>
      <c r="AC49" s="1965"/>
      <c r="AD49" s="1965"/>
      <c r="AE49" s="1965"/>
      <c r="AF49" s="1965"/>
      <c r="AG49" s="1965"/>
      <c r="AH49" s="1965"/>
      <c r="AI49" s="1965"/>
      <c r="AJ49" s="1965"/>
      <c r="AK49" s="1965"/>
    </row>
    <row r="50" spans="2:37" x14ac:dyDescent="0.2">
      <c r="B50" s="1432"/>
      <c r="C50" s="1965"/>
      <c r="D50" s="1965"/>
      <c r="E50" s="1965"/>
      <c r="F50" s="1965"/>
      <c r="G50" s="1965"/>
      <c r="H50" s="1965"/>
      <c r="I50" s="1965"/>
      <c r="J50" s="1965"/>
      <c r="K50" s="1965"/>
      <c r="L50" s="1965"/>
      <c r="M50" s="1965"/>
      <c r="N50" s="1965"/>
      <c r="O50" s="1965"/>
      <c r="P50" s="1965"/>
      <c r="Q50" s="1965"/>
      <c r="R50" s="1965"/>
      <c r="S50" s="1965"/>
      <c r="T50" s="1965"/>
      <c r="U50" s="1965"/>
      <c r="V50" s="1965"/>
      <c r="W50" s="1965"/>
      <c r="X50" s="1965"/>
      <c r="Y50" s="1965"/>
      <c r="Z50" s="1965"/>
      <c r="AA50" s="1965"/>
      <c r="AB50" s="1965"/>
      <c r="AC50" s="1965"/>
      <c r="AD50" s="1965"/>
      <c r="AE50" s="1965"/>
      <c r="AF50" s="1965"/>
      <c r="AG50" s="1965"/>
      <c r="AH50" s="1965"/>
      <c r="AI50" s="1965"/>
      <c r="AJ50" s="1965"/>
      <c r="AK50" s="1965"/>
    </row>
    <row r="51" spans="2:37" x14ac:dyDescent="0.2">
      <c r="B51" s="1432"/>
      <c r="C51" s="1965"/>
      <c r="D51" s="1965"/>
      <c r="E51" s="1965"/>
      <c r="F51" s="1965"/>
      <c r="G51" s="1965"/>
      <c r="H51" s="1965"/>
      <c r="I51" s="1965"/>
      <c r="J51" s="1965"/>
      <c r="K51" s="1965"/>
      <c r="L51" s="1965"/>
      <c r="M51" s="1965"/>
      <c r="N51" s="1965"/>
      <c r="O51" s="1965"/>
      <c r="P51" s="1965"/>
      <c r="Q51" s="1965"/>
      <c r="R51" s="1965"/>
      <c r="S51" s="1965"/>
      <c r="T51" s="1965"/>
      <c r="U51" s="1965"/>
      <c r="V51" s="1965"/>
      <c r="W51" s="1965"/>
      <c r="X51" s="1965"/>
      <c r="Y51" s="1965"/>
      <c r="Z51" s="1965"/>
      <c r="AA51" s="1965"/>
      <c r="AB51" s="1965"/>
      <c r="AC51" s="1965"/>
      <c r="AD51" s="1965"/>
      <c r="AE51" s="1965"/>
      <c r="AF51" s="1965"/>
      <c r="AG51" s="1965"/>
      <c r="AH51" s="1965"/>
      <c r="AI51" s="1965"/>
      <c r="AJ51" s="1965"/>
      <c r="AK51" s="1965"/>
    </row>
    <row r="52" spans="2:37" x14ac:dyDescent="0.2">
      <c r="B52" s="1432"/>
      <c r="C52" s="1965"/>
      <c r="D52" s="1965"/>
      <c r="E52" s="1965"/>
      <c r="F52" s="1965"/>
      <c r="G52" s="1965"/>
      <c r="H52" s="1965"/>
      <c r="I52" s="1965"/>
      <c r="J52" s="1965"/>
      <c r="K52" s="1965"/>
      <c r="L52" s="1965"/>
      <c r="M52" s="1965"/>
      <c r="N52" s="1965"/>
      <c r="O52" s="1965"/>
      <c r="P52" s="1965"/>
      <c r="Q52" s="1965"/>
      <c r="R52" s="1965"/>
      <c r="S52" s="1965"/>
      <c r="T52" s="1965"/>
      <c r="U52" s="1965"/>
      <c r="V52" s="1965"/>
      <c r="W52" s="1965"/>
      <c r="X52" s="1965"/>
      <c r="Y52" s="1965"/>
      <c r="Z52" s="1965"/>
      <c r="AA52" s="1965"/>
      <c r="AB52" s="1965"/>
      <c r="AC52" s="1965"/>
      <c r="AD52" s="1965"/>
      <c r="AE52" s="1965"/>
      <c r="AF52" s="1965"/>
      <c r="AG52" s="1965"/>
      <c r="AH52" s="1965"/>
      <c r="AI52" s="1965"/>
      <c r="AJ52" s="1965"/>
      <c r="AK52" s="1965"/>
    </row>
    <row r="53" spans="2:37" x14ac:dyDescent="0.2">
      <c r="B53" s="1432"/>
      <c r="C53" s="1965"/>
      <c r="D53" s="1965"/>
      <c r="E53" s="1965"/>
      <c r="F53" s="1965"/>
      <c r="G53" s="1965"/>
      <c r="H53" s="1965"/>
      <c r="I53" s="1965"/>
      <c r="J53" s="1965"/>
      <c r="K53" s="1965"/>
      <c r="L53" s="1965"/>
      <c r="M53" s="1965"/>
      <c r="N53" s="1965"/>
      <c r="O53" s="1965"/>
      <c r="P53" s="1965"/>
      <c r="Q53" s="1965"/>
      <c r="R53" s="1965"/>
      <c r="S53" s="1965"/>
      <c r="T53" s="1965"/>
      <c r="U53" s="1965"/>
      <c r="V53" s="1965"/>
      <c r="W53" s="1965"/>
      <c r="X53" s="1965"/>
      <c r="Y53" s="1965"/>
      <c r="Z53" s="1965"/>
      <c r="AA53" s="1965"/>
      <c r="AB53" s="1965"/>
      <c r="AC53" s="1965"/>
      <c r="AD53" s="1965"/>
      <c r="AE53" s="1965"/>
      <c r="AF53" s="1965"/>
      <c r="AG53" s="1965"/>
      <c r="AH53" s="1965"/>
      <c r="AI53" s="1965"/>
      <c r="AJ53" s="1965"/>
      <c r="AK53" s="1965"/>
    </row>
    <row r="54" spans="2:37" x14ac:dyDescent="0.2">
      <c r="B54" s="1432"/>
      <c r="C54" s="1965"/>
      <c r="D54" s="1965"/>
      <c r="E54" s="1965"/>
      <c r="F54" s="1965"/>
      <c r="G54" s="1965"/>
      <c r="H54" s="1965"/>
      <c r="I54" s="1965"/>
      <c r="J54" s="1965"/>
      <c r="K54" s="1965"/>
      <c r="L54" s="1965"/>
      <c r="M54" s="1965"/>
      <c r="N54" s="1965"/>
      <c r="O54" s="1965"/>
      <c r="P54" s="1965"/>
      <c r="Q54" s="1965"/>
      <c r="R54" s="1965"/>
      <c r="S54" s="1965"/>
      <c r="T54" s="1965"/>
      <c r="U54" s="1965"/>
      <c r="V54" s="1965"/>
      <c r="W54" s="1965"/>
      <c r="X54" s="1965"/>
      <c r="Y54" s="1965"/>
      <c r="Z54" s="1965"/>
      <c r="AA54" s="1965"/>
      <c r="AB54" s="1965"/>
      <c r="AC54" s="1965"/>
      <c r="AD54" s="1965"/>
      <c r="AE54" s="1965"/>
      <c r="AF54" s="1965"/>
      <c r="AG54" s="1965"/>
      <c r="AH54" s="1965"/>
      <c r="AI54" s="1965"/>
      <c r="AJ54" s="1965"/>
      <c r="AK54" s="1965"/>
    </row>
    <row r="55" spans="2:37" ht="30" customHeight="1" thickBot="1" x14ac:dyDescent="0.25">
      <c r="B55" s="1432"/>
      <c r="C55" s="1965"/>
      <c r="D55" s="1965"/>
      <c r="E55" s="1965"/>
      <c r="F55" s="1965"/>
      <c r="G55" s="1965"/>
      <c r="H55" s="1965"/>
      <c r="I55" s="1965"/>
      <c r="J55" s="1965"/>
      <c r="K55" s="1965"/>
      <c r="L55" s="1965"/>
      <c r="M55" s="1965"/>
      <c r="N55" s="1965"/>
      <c r="O55" s="1965"/>
      <c r="P55" s="1965"/>
      <c r="Q55" s="1965"/>
      <c r="R55" s="1965"/>
      <c r="S55" s="1965"/>
      <c r="T55" s="1965"/>
      <c r="U55" s="1965"/>
      <c r="V55" s="1965"/>
      <c r="W55" s="1965"/>
      <c r="X55" s="1965"/>
      <c r="Y55" s="1965"/>
      <c r="Z55" s="1965"/>
      <c r="AA55" s="1965"/>
      <c r="AB55" s="1965"/>
      <c r="AC55" s="1965"/>
      <c r="AD55" s="1965"/>
      <c r="AE55" s="1965"/>
      <c r="AF55" s="1965"/>
      <c r="AG55" s="1965"/>
      <c r="AH55" s="1965"/>
      <c r="AI55" s="1965"/>
      <c r="AJ55" s="1965"/>
      <c r="AK55" s="1965"/>
    </row>
    <row r="56" spans="2:37" x14ac:dyDescent="0.2">
      <c r="B56" s="1967" t="s">
        <v>390</v>
      </c>
      <c r="C56" s="1968"/>
      <c r="D56" s="1968"/>
      <c r="E56" s="1969"/>
      <c r="F56" s="1970"/>
      <c r="G56" s="1970"/>
      <c r="H56" s="1971"/>
      <c r="I56" s="682"/>
      <c r="J56" s="682"/>
      <c r="K56" s="682"/>
      <c r="L56" s="682"/>
      <c r="M56" s="682"/>
      <c r="N56" s="682"/>
      <c r="O56" s="682"/>
      <c r="P56" s="682"/>
      <c r="Q56" s="682"/>
      <c r="R56" s="682"/>
      <c r="S56" s="682"/>
      <c r="T56" s="682"/>
      <c r="U56" s="682"/>
      <c r="V56" s="682"/>
      <c r="W56" s="682"/>
      <c r="X56" s="682"/>
      <c r="Y56" s="682"/>
      <c r="Z56" s="682"/>
      <c r="AA56" s="682"/>
      <c r="AB56" s="682"/>
      <c r="AC56" s="682"/>
      <c r="AD56" s="682"/>
      <c r="AE56" s="682"/>
      <c r="AF56" s="682"/>
      <c r="AG56" s="682"/>
      <c r="AH56" s="682"/>
      <c r="AI56" s="682"/>
      <c r="AJ56" s="682"/>
    </row>
    <row r="57" spans="2:37" x14ac:dyDescent="0.2">
      <c r="B57" s="1972"/>
      <c r="C57" s="1973"/>
      <c r="D57" s="1973"/>
      <c r="E57" s="1973"/>
      <c r="F57" s="1973"/>
      <c r="G57" s="1973"/>
      <c r="H57" s="1974"/>
      <c r="I57" s="682"/>
      <c r="J57" s="682"/>
      <c r="K57" s="682"/>
      <c r="L57" s="682"/>
      <c r="M57" s="682"/>
      <c r="N57" s="682"/>
      <c r="O57" s="682"/>
      <c r="P57" s="682"/>
      <c r="Q57" s="682"/>
      <c r="R57" s="682"/>
      <c r="S57" s="682"/>
      <c r="T57" s="682"/>
      <c r="U57" s="682"/>
      <c r="V57" s="682"/>
      <c r="W57" s="682"/>
      <c r="X57" s="682"/>
      <c r="Y57" s="682"/>
      <c r="Z57" s="682"/>
      <c r="AA57" s="682"/>
      <c r="AB57" s="682"/>
      <c r="AC57" s="682"/>
      <c r="AD57" s="682"/>
      <c r="AE57" s="682"/>
      <c r="AF57" s="682"/>
      <c r="AG57" s="682"/>
      <c r="AH57" s="682"/>
      <c r="AI57" s="682"/>
      <c r="AJ57" s="682"/>
    </row>
    <row r="58" spans="2:37" x14ac:dyDescent="0.2">
      <c r="B58" s="1972"/>
      <c r="C58" s="1973"/>
      <c r="D58" s="1973"/>
      <c r="E58" s="1973"/>
      <c r="F58" s="1973"/>
      <c r="G58" s="1973"/>
      <c r="H58" s="1974"/>
      <c r="I58" s="682"/>
      <c r="J58" s="682"/>
      <c r="K58" s="682"/>
      <c r="L58" s="682"/>
      <c r="M58" s="682"/>
      <c r="N58" s="682"/>
      <c r="O58" s="682"/>
      <c r="P58" s="682"/>
      <c r="Q58" s="682"/>
      <c r="R58" s="682"/>
      <c r="S58" s="682"/>
      <c r="T58" s="682"/>
      <c r="U58" s="682"/>
      <c r="V58" s="682"/>
      <c r="W58" s="682"/>
      <c r="X58" s="682"/>
      <c r="Y58" s="682"/>
      <c r="Z58" s="682"/>
      <c r="AA58" s="682"/>
      <c r="AB58" s="682"/>
      <c r="AC58" s="682"/>
      <c r="AD58" s="682"/>
      <c r="AE58" s="682"/>
      <c r="AF58" s="682"/>
      <c r="AG58" s="682"/>
      <c r="AH58" s="682"/>
      <c r="AI58" s="682"/>
      <c r="AJ58" s="682"/>
    </row>
    <row r="59" spans="2:37" x14ac:dyDescent="0.2">
      <c r="B59" s="1972"/>
      <c r="C59" s="1973"/>
      <c r="D59" s="1973"/>
      <c r="E59" s="1973"/>
      <c r="F59" s="1973"/>
      <c r="G59" s="1973"/>
      <c r="H59" s="1974"/>
      <c r="I59" s="682"/>
      <c r="J59" s="682"/>
      <c r="K59" s="682"/>
      <c r="L59" s="682"/>
      <c r="M59" s="682"/>
      <c r="N59" s="682"/>
      <c r="O59" s="682"/>
      <c r="P59" s="682"/>
      <c r="Q59" s="682"/>
      <c r="R59" s="682"/>
      <c r="S59" s="682"/>
      <c r="T59" s="682"/>
      <c r="U59" s="682"/>
      <c r="V59" s="682"/>
      <c r="W59" s="682"/>
      <c r="X59" s="682"/>
      <c r="Y59" s="682"/>
      <c r="Z59" s="682"/>
      <c r="AA59" s="682"/>
      <c r="AB59" s="682"/>
      <c r="AC59" s="682"/>
      <c r="AD59" s="682"/>
      <c r="AE59" s="682"/>
      <c r="AF59" s="682"/>
      <c r="AG59" s="682"/>
      <c r="AH59" s="682"/>
      <c r="AI59" s="682"/>
      <c r="AJ59" s="682"/>
    </row>
    <row r="60" spans="2:37" x14ac:dyDescent="0.2">
      <c r="B60" s="1975"/>
      <c r="C60" s="1976"/>
      <c r="D60" s="1976"/>
      <c r="E60" s="1976"/>
      <c r="F60" s="1976"/>
      <c r="G60" s="1976"/>
      <c r="H60" s="1977"/>
      <c r="I60" s="682"/>
      <c r="J60" s="682"/>
      <c r="K60" s="682"/>
      <c r="L60" s="682"/>
      <c r="M60" s="682"/>
      <c r="N60" s="682"/>
      <c r="O60" s="682"/>
      <c r="P60" s="682"/>
      <c r="Q60" s="682"/>
      <c r="R60" s="682"/>
      <c r="S60" s="682"/>
      <c r="T60" s="682"/>
      <c r="U60" s="682"/>
      <c r="V60" s="682"/>
      <c r="W60" s="682"/>
      <c r="X60" s="682"/>
      <c r="Y60" s="682"/>
      <c r="Z60" s="682"/>
      <c r="AA60" s="682"/>
      <c r="AB60" s="682"/>
      <c r="AC60" s="682"/>
      <c r="AD60" s="682"/>
      <c r="AE60" s="682"/>
      <c r="AF60" s="682"/>
      <c r="AG60" s="682"/>
      <c r="AH60" s="682"/>
      <c r="AI60" s="682"/>
      <c r="AJ60" s="682"/>
    </row>
    <row r="61" spans="2:37" ht="13.5" thickBot="1" x14ac:dyDescent="0.25">
      <c r="B61" s="852"/>
      <c r="C61" s="853"/>
      <c r="D61" s="853"/>
      <c r="E61" s="853"/>
      <c r="F61" s="853"/>
      <c r="G61" s="853"/>
      <c r="H61" s="854"/>
      <c r="I61" s="682"/>
      <c r="J61" s="682"/>
      <c r="K61" s="682"/>
      <c r="L61" s="682"/>
      <c r="M61" s="682"/>
      <c r="N61" s="682"/>
      <c r="O61" s="682"/>
      <c r="P61" s="682"/>
      <c r="Q61" s="682"/>
      <c r="R61" s="682"/>
      <c r="S61" s="682"/>
      <c r="T61" s="682"/>
      <c r="U61" s="682"/>
      <c r="V61" s="682"/>
      <c r="W61" s="682"/>
      <c r="X61" s="682"/>
      <c r="Y61" s="682"/>
      <c r="Z61" s="682"/>
      <c r="AA61" s="682"/>
      <c r="AB61" s="682"/>
      <c r="AC61" s="682"/>
      <c r="AD61" s="682"/>
      <c r="AE61" s="682"/>
      <c r="AF61" s="682"/>
      <c r="AG61" s="682"/>
      <c r="AH61" s="682"/>
      <c r="AI61" s="682"/>
      <c r="AJ61" s="682"/>
    </row>
    <row r="62" spans="2:37" x14ac:dyDescent="0.2">
      <c r="B62" s="1"/>
      <c r="C62" s="1"/>
      <c r="D62" s="1"/>
      <c r="E62" s="1"/>
      <c r="F62" s="682"/>
      <c r="G62" s="682"/>
      <c r="H62" s="682"/>
      <c r="I62" s="682"/>
      <c r="J62" s="682"/>
      <c r="K62" s="682"/>
      <c r="L62" s="682"/>
      <c r="M62" s="682"/>
      <c r="N62" s="682"/>
      <c r="O62" s="682"/>
      <c r="P62" s="682"/>
      <c r="Q62" s="682"/>
      <c r="R62" s="682"/>
      <c r="S62" s="682"/>
      <c r="T62" s="682"/>
      <c r="U62" s="682"/>
      <c r="V62" s="682"/>
      <c r="W62" s="682"/>
      <c r="X62" s="682"/>
      <c r="Y62" s="682"/>
      <c r="Z62" s="682"/>
      <c r="AA62" s="682"/>
      <c r="AB62" s="682"/>
      <c r="AC62" s="682"/>
      <c r="AD62" s="682"/>
      <c r="AE62" s="682"/>
      <c r="AF62" s="682"/>
      <c r="AG62" s="682"/>
      <c r="AH62" s="682"/>
      <c r="AI62" s="682"/>
      <c r="AJ62" s="682"/>
      <c r="AK62" s="8"/>
    </row>
  </sheetData>
  <dataValidations count="1">
    <dataValidation allowBlank="1" showInputMessage="1" showErrorMessage="1" sqref="E10:AJ27 AK56:KA61 B1:B59 B68:AK65552 AL62:KB1048576 F62:AJ62 B60:D61 C56:D59 AL1:KB55 C42:AK55 C1:D36 E56:AJ56 I57:AJ61 E1:AJ8 E29:AJ36 AK1:AK36"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5" x14ac:dyDescent="0.25"/>
  <cols>
    <col min="1" max="1" width="1.140625" style="2204" customWidth="1"/>
    <col min="2" max="2" width="24.42578125" style="2204" customWidth="1"/>
    <col min="3" max="4" width="10.5703125" style="2204" customWidth="1"/>
    <col min="5" max="5" width="35.85546875" style="2204" customWidth="1"/>
    <col min="6" max="6" width="10.5703125" style="2204" customWidth="1"/>
    <col min="7" max="7" width="43.140625" style="2204" customWidth="1"/>
    <col min="8" max="8" width="34.85546875" style="2204" customWidth="1"/>
    <col min="9" max="9" width="28.140625" style="2204" customWidth="1"/>
    <col min="10" max="10" width="45.140625" style="2204" customWidth="1"/>
    <col min="11" max="16384" width="8.85546875" style="2204"/>
  </cols>
  <sheetData>
    <row r="1" spans="2:10" s="2201" customFormat="1" ht="19.5" x14ac:dyDescent="0.3">
      <c r="B1" s="2200"/>
      <c r="C1" s="2200"/>
      <c r="G1" s="2202"/>
      <c r="H1" s="2202"/>
      <c r="J1" s="14" t="s">
        <v>2521</v>
      </c>
    </row>
    <row r="2" spans="2:10" s="913" customFormat="1" ht="15.75" x14ac:dyDescent="0.2">
      <c r="B2" s="213" t="s">
        <v>1774</v>
      </c>
      <c r="G2" s="2203"/>
      <c r="H2" s="2203"/>
      <c r="J2" s="14" t="s">
        <v>2522</v>
      </c>
    </row>
    <row r="3" spans="2:10" x14ac:dyDescent="0.25">
      <c r="G3" s="2203"/>
      <c r="H3" s="2203"/>
      <c r="J3" s="14" t="s">
        <v>2144</v>
      </c>
    </row>
    <row r="4" spans="2:10" hidden="1" x14ac:dyDescent="0.25">
      <c r="G4" s="2203"/>
      <c r="H4" s="2203"/>
      <c r="J4" s="2429"/>
    </row>
    <row r="5" spans="2:10" hidden="1" x14ac:dyDescent="0.25">
      <c r="G5" s="2203"/>
      <c r="H5" s="2203"/>
      <c r="J5" s="2429"/>
    </row>
    <row r="6" spans="2:10" hidden="1" x14ac:dyDescent="0.25">
      <c r="G6" s="2203"/>
      <c r="H6" s="2203"/>
      <c r="J6" s="2429"/>
    </row>
    <row r="7" spans="2:10" hidden="1" x14ac:dyDescent="0.25">
      <c r="G7" s="2203"/>
      <c r="H7" s="2203"/>
      <c r="J7" s="2429"/>
    </row>
    <row r="8" spans="2:10" ht="15.75" thickBot="1" x14ac:dyDescent="0.3">
      <c r="B8" s="2446" t="s">
        <v>64</v>
      </c>
      <c r="G8" s="2203"/>
      <c r="H8" s="2203"/>
    </row>
    <row r="9" spans="2:10" ht="36.75" customHeight="1" thickBot="1" x14ac:dyDescent="0.3">
      <c r="B9" s="2489" t="s">
        <v>1775</v>
      </c>
      <c r="C9" s="2205" t="s">
        <v>61</v>
      </c>
      <c r="D9" s="2205" t="s">
        <v>1776</v>
      </c>
      <c r="E9" s="2205" t="s">
        <v>1777</v>
      </c>
      <c r="F9" s="2205" t="s">
        <v>1778</v>
      </c>
      <c r="G9" s="2205" t="s">
        <v>1779</v>
      </c>
      <c r="H9" s="2205" t="s">
        <v>1780</v>
      </c>
      <c r="I9" s="2206" t="s">
        <v>1781</v>
      </c>
      <c r="J9" s="2206" t="s">
        <v>1782</v>
      </c>
    </row>
    <row r="10" spans="2:10" ht="15.75" thickTop="1" x14ac:dyDescent="0.25">
      <c r="B10" s="2207"/>
      <c r="C10" s="2208"/>
      <c r="D10" s="2209"/>
      <c r="E10" s="2209"/>
      <c r="F10" s="2209"/>
      <c r="G10" s="2209"/>
      <c r="H10" s="2210"/>
      <c r="I10" s="2211"/>
      <c r="J10" s="2211"/>
    </row>
    <row r="11" spans="2:10" x14ac:dyDescent="0.25">
      <c r="B11" s="2212"/>
      <c r="C11" s="2213"/>
      <c r="D11" s="2214"/>
      <c r="E11" s="2214"/>
      <c r="F11" s="2214"/>
      <c r="G11" s="2214"/>
      <c r="H11" s="2215"/>
      <c r="I11" s="2216"/>
      <c r="J11" s="2216"/>
    </row>
    <row r="12" spans="2:10" x14ac:dyDescent="0.25">
      <c r="B12" s="2217"/>
      <c r="C12" s="2218"/>
      <c r="D12" s="2219"/>
      <c r="E12" s="2219"/>
      <c r="F12" s="2219"/>
      <c r="G12" s="2219"/>
      <c r="H12" s="2220"/>
      <c r="I12" s="2221"/>
      <c r="J12" s="2221"/>
    </row>
    <row r="13" spans="2:10" ht="15.75" thickBot="1" x14ac:dyDescent="0.3">
      <c r="B13" s="2222"/>
      <c r="C13" s="2223"/>
      <c r="D13" s="2224"/>
      <c r="E13" s="2224"/>
      <c r="F13" s="2224"/>
      <c r="G13" s="2224"/>
      <c r="H13" s="2225"/>
      <c r="I13" s="2226"/>
      <c r="J13" s="2226"/>
    </row>
    <row r="16" spans="2:10" x14ac:dyDescent="0.25">
      <c r="B16" s="2407"/>
    </row>
    <row r="19" spans="2:2" x14ac:dyDescent="0.25">
      <c r="B19" s="2406"/>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147</v>
      </c>
      <c r="C1" s="208"/>
      <c r="J1" s="226"/>
      <c r="K1" s="14" t="s">
        <v>2521</v>
      </c>
    </row>
    <row r="2" spans="2:12" ht="16.350000000000001" customHeight="1" x14ac:dyDescent="0.25">
      <c r="B2" s="13" t="s">
        <v>120</v>
      </c>
      <c r="J2" s="226"/>
      <c r="K2" s="14" t="s">
        <v>2522</v>
      </c>
    </row>
    <row r="3" spans="2:12" ht="16.350000000000001" customHeight="1" x14ac:dyDescent="0.25">
      <c r="B3" s="13" t="s">
        <v>196</v>
      </c>
      <c r="I3" s="226"/>
      <c r="J3" s="226"/>
      <c r="K3" s="14" t="s">
        <v>2144</v>
      </c>
    </row>
    <row r="4" spans="2:12" ht="12" customHeight="1" x14ac:dyDescent="0.25">
      <c r="B4" s="13"/>
      <c r="I4" s="226"/>
      <c r="J4" s="226"/>
      <c r="K4" s="226"/>
    </row>
    <row r="5" spans="2:12" ht="12" customHeight="1" x14ac:dyDescent="0.25">
      <c r="B5" s="535"/>
      <c r="I5" s="226"/>
      <c r="J5" s="226"/>
      <c r="K5" s="226"/>
    </row>
    <row r="6" spans="2:12" ht="12" customHeight="1" thickBot="1" x14ac:dyDescent="0.25">
      <c r="B6" s="2446" t="s">
        <v>64</v>
      </c>
    </row>
    <row r="7" spans="2:12" ht="12" customHeight="1" x14ac:dyDescent="0.2">
      <c r="B7" s="292" t="s">
        <v>65</v>
      </c>
      <c r="C7" s="177" t="s">
        <v>122</v>
      </c>
      <c r="D7" s="179"/>
      <c r="E7" s="177" t="s">
        <v>123</v>
      </c>
      <c r="F7" s="178"/>
      <c r="G7" s="178"/>
      <c r="H7" s="177" t="s">
        <v>124</v>
      </c>
      <c r="I7" s="178"/>
      <c r="J7" s="178"/>
      <c r="K7" s="2157" t="s">
        <v>2114</v>
      </c>
      <c r="L7" s="1840"/>
    </row>
    <row r="8" spans="2:12" ht="13.5" x14ac:dyDescent="0.2">
      <c r="B8" s="1841"/>
      <c r="C8" s="1842" t="s">
        <v>125</v>
      </c>
      <c r="D8" s="1843"/>
      <c r="E8" s="1721" t="s">
        <v>1940</v>
      </c>
      <c r="F8" s="1721" t="s">
        <v>67</v>
      </c>
      <c r="G8" s="1859" t="s">
        <v>68</v>
      </c>
      <c r="H8" s="1859" t="s">
        <v>2011</v>
      </c>
      <c r="I8" s="1721" t="s">
        <v>67</v>
      </c>
      <c r="J8" s="1721" t="s">
        <v>68</v>
      </c>
      <c r="K8" s="263" t="s">
        <v>66</v>
      </c>
    </row>
    <row r="9" spans="2:12" ht="14.25" thickBot="1" x14ac:dyDescent="0.25">
      <c r="B9" s="1845"/>
      <c r="C9" s="1846" t="s">
        <v>127</v>
      </c>
      <c r="D9" s="1747" t="s">
        <v>1947</v>
      </c>
      <c r="E9" s="1747" t="s">
        <v>129</v>
      </c>
      <c r="F9" s="1748" t="s">
        <v>130</v>
      </c>
      <c r="G9" s="1772"/>
      <c r="H9" s="1748" t="s">
        <v>73</v>
      </c>
      <c r="I9" s="344"/>
      <c r="J9" s="344"/>
      <c r="K9" s="345"/>
    </row>
    <row r="10" spans="2:12" ht="18" customHeight="1" thickTop="1" x14ac:dyDescent="0.2">
      <c r="B10" s="2193" t="s">
        <v>197</v>
      </c>
      <c r="C10" s="3109">
        <f>IF(SUM(C11:C16)=0,"NO",SUM(C11:C16))</f>
        <v>384417.7349712507</v>
      </c>
      <c r="D10" s="3109" t="s">
        <v>1814</v>
      </c>
      <c r="E10" s="2135"/>
      <c r="F10" s="2135"/>
      <c r="G10" s="2135"/>
      <c r="H10" s="3109">
        <f>IF(SUM(H11:H15)=0,"NO",SUM(H11:H15))</f>
        <v>18814.081690346993</v>
      </c>
      <c r="I10" s="3109">
        <f>IF(SUM(I11:I16)=0,"NO",SUM(I11:I16))</f>
        <v>49.087427960582239</v>
      </c>
      <c r="J10" s="3109">
        <f>IF(SUM(J11:J16)=0,"NO",SUM(J11:J16))</f>
        <v>0.66256796242867133</v>
      </c>
      <c r="K10" s="420" t="str">
        <f>IF(SUM(K11:K16)=0,"NO",SUM(K11:K16))</f>
        <v>NO</v>
      </c>
    </row>
    <row r="11" spans="2:12" ht="18" customHeight="1" x14ac:dyDescent="0.2">
      <c r="B11" s="282" t="s">
        <v>132</v>
      </c>
      <c r="C11" s="1913">
        <f>IF(SUM(C18,C39,C60)=0,"NO",SUM(C18,C39,C60))</f>
        <v>138568.01456571789</v>
      </c>
      <c r="D11" s="3109" t="s">
        <v>1814</v>
      </c>
      <c r="E11" s="1913">
        <f t="shared" ref="E11:E16" si="0">IFERROR(H11*1000/$C11,"NA")</f>
        <v>68.447709478702407</v>
      </c>
      <c r="F11" s="1913">
        <f t="shared" ref="F11:G16" si="1">IFERROR(I11*1000000/$C11,"NA")</f>
        <v>9.4740153415113415</v>
      </c>
      <c r="G11" s="1913">
        <f t="shared" si="1"/>
        <v>2.7031232543121697</v>
      </c>
      <c r="H11" s="1913">
        <f>IF(SUM(H18,H39,H60)=0,"NO",SUM(H18,H39,H60))</f>
        <v>9484.6632040348613</v>
      </c>
      <c r="I11" s="1913">
        <f>IF(SUM(I18,I39,I60)=0,"NO",SUM(I18,I39,I60))</f>
        <v>1.3127954958383783</v>
      </c>
      <c r="J11" s="1913">
        <f>IF(SUM(J18,J39,J60)=0,"NO",SUM(J18,J39,J60))</f>
        <v>0.37456642247645949</v>
      </c>
      <c r="K11" s="3085" t="str">
        <f>IF(SUM(K18,K39,K60)=0,"NO",SUM(K18,K39,K60))</f>
        <v>NO</v>
      </c>
    </row>
    <row r="12" spans="2:12" ht="18" customHeight="1" x14ac:dyDescent="0.2">
      <c r="B12" s="282" t="s">
        <v>133</v>
      </c>
      <c r="C12" s="1913">
        <f t="shared" ref="C12:C16" si="2">IF(SUM(C19,C40,C61)=0,"NO",SUM(C19,C40,C61))</f>
        <v>2431.5400000000004</v>
      </c>
      <c r="D12" s="3109" t="s">
        <v>1814</v>
      </c>
      <c r="E12" s="1913">
        <f t="shared" si="0"/>
        <v>92.96053118599734</v>
      </c>
      <c r="F12" s="1913">
        <f t="shared" si="1"/>
        <v>0.952380952380952</v>
      </c>
      <c r="G12" s="1913">
        <f t="shared" si="1"/>
        <v>0.66666666666666663</v>
      </c>
      <c r="H12" s="1913">
        <f t="shared" ref="H12:K16" si="3">IF(SUM(H19,H40,H61)=0,"NO",SUM(H19,H40,H61))</f>
        <v>226.03725</v>
      </c>
      <c r="I12" s="1913">
        <f t="shared" si="3"/>
        <v>2.3157523809523807E-3</v>
      </c>
      <c r="J12" s="1913">
        <f t="shared" si="3"/>
        <v>1.6210266666666668E-3</v>
      </c>
      <c r="K12" s="3085" t="str">
        <f t="shared" si="3"/>
        <v>NO</v>
      </c>
    </row>
    <row r="13" spans="2:12" ht="18" customHeight="1" x14ac:dyDescent="0.2">
      <c r="B13" s="282" t="s">
        <v>134</v>
      </c>
      <c r="C13" s="1913">
        <f t="shared" si="2"/>
        <v>176887.23356263086</v>
      </c>
      <c r="D13" s="3109" t="s">
        <v>1814</v>
      </c>
      <c r="E13" s="1913">
        <f t="shared" si="0"/>
        <v>51.464320250612531</v>
      </c>
      <c r="F13" s="1913">
        <f t="shared" si="1"/>
        <v>0.90909090909090895</v>
      </c>
      <c r="G13" s="1913">
        <f t="shared" si="1"/>
        <v>0.90909090909090895</v>
      </c>
      <c r="H13" s="1913">
        <f t="shared" si="3"/>
        <v>9103.3812363121324</v>
      </c>
      <c r="I13" s="1913">
        <f t="shared" si="3"/>
        <v>0.16080657596602804</v>
      </c>
      <c r="J13" s="1913">
        <f t="shared" si="3"/>
        <v>0.16080657596602804</v>
      </c>
      <c r="K13" s="3085" t="str">
        <f t="shared" si="3"/>
        <v>NO</v>
      </c>
    </row>
    <row r="14" spans="2:12" ht="18" customHeight="1" x14ac:dyDescent="0.2">
      <c r="B14" s="282" t="s">
        <v>135</v>
      </c>
      <c r="C14" s="1913" t="str">
        <f t="shared" si="2"/>
        <v>NO</v>
      </c>
      <c r="D14" s="3109" t="s">
        <v>1814</v>
      </c>
      <c r="E14" s="1913" t="str">
        <f t="shared" si="0"/>
        <v>NA</v>
      </c>
      <c r="F14" s="1913" t="str">
        <f t="shared" si="1"/>
        <v>NA</v>
      </c>
      <c r="G14" s="1913" t="str">
        <f t="shared" si="1"/>
        <v>NA</v>
      </c>
      <c r="H14" s="1913" t="str">
        <f t="shared" si="3"/>
        <v>NO</v>
      </c>
      <c r="I14" s="1913" t="str">
        <f t="shared" si="3"/>
        <v>NO</v>
      </c>
      <c r="J14" s="1913" t="str">
        <f t="shared" si="3"/>
        <v>NO</v>
      </c>
      <c r="K14" s="3085" t="str">
        <f t="shared" si="3"/>
        <v>NO</v>
      </c>
    </row>
    <row r="15" spans="2:12" ht="18" customHeight="1" x14ac:dyDescent="0.2">
      <c r="B15" s="282" t="s">
        <v>1941</v>
      </c>
      <c r="C15" s="1913" t="str">
        <f t="shared" si="2"/>
        <v>NO</v>
      </c>
      <c r="D15" s="3109" t="s">
        <v>1814</v>
      </c>
      <c r="E15" s="1913" t="str">
        <f t="shared" si="0"/>
        <v>NA</v>
      </c>
      <c r="F15" s="1913" t="str">
        <f t="shared" si="1"/>
        <v>NA</v>
      </c>
      <c r="G15" s="1913" t="str">
        <f t="shared" si="1"/>
        <v>NA</v>
      </c>
      <c r="H15" s="1913" t="str">
        <f t="shared" si="3"/>
        <v>NO</v>
      </c>
      <c r="I15" s="1913" t="str">
        <f t="shared" si="3"/>
        <v>NO</v>
      </c>
      <c r="J15" s="1913" t="str">
        <f t="shared" si="3"/>
        <v>NO</v>
      </c>
      <c r="K15" s="3085" t="str">
        <f t="shared" si="3"/>
        <v>NO</v>
      </c>
    </row>
    <row r="16" spans="2:12" ht="18" customHeight="1" x14ac:dyDescent="0.2">
      <c r="B16" s="282" t="s">
        <v>199</v>
      </c>
      <c r="C16" s="1913">
        <f t="shared" si="2"/>
        <v>66530.946842901918</v>
      </c>
      <c r="D16" s="3109" t="s">
        <v>1814</v>
      </c>
      <c r="E16" s="1913">
        <f t="shared" si="0"/>
        <v>77.341942575191098</v>
      </c>
      <c r="F16" s="1913">
        <f t="shared" si="1"/>
        <v>715.62952874879272</v>
      </c>
      <c r="G16" s="1913">
        <f t="shared" si="1"/>
        <v>1.8874515286251989</v>
      </c>
      <c r="H16" s="1913">
        <f t="shared" si="3"/>
        <v>5145.6326701968119</v>
      </c>
      <c r="I16" s="1913">
        <f t="shared" si="3"/>
        <v>47.61151013639688</v>
      </c>
      <c r="J16" s="1913">
        <f t="shared" si="3"/>
        <v>0.12557393731951708</v>
      </c>
      <c r="K16" s="3085" t="str">
        <f t="shared" si="3"/>
        <v>NO</v>
      </c>
    </row>
    <row r="17" spans="2:11" ht="18" customHeight="1" x14ac:dyDescent="0.2">
      <c r="B17" s="1241" t="s">
        <v>1942</v>
      </c>
      <c r="C17" s="3109">
        <f>IF(SUM(C18:C23)=0,"NO",SUM(C18:C23))</f>
        <v>78237.435727693228</v>
      </c>
      <c r="D17" s="3109" t="s">
        <v>1814</v>
      </c>
      <c r="E17" s="628"/>
      <c r="F17" s="628"/>
      <c r="G17" s="628"/>
      <c r="H17" s="3078">
        <f>IF(SUM(H18:H22)=0,"NO",SUM(H18:H22))</f>
        <v>4623.8725658947997</v>
      </c>
      <c r="I17" s="3078">
        <f>IF(SUM(I18:I23)=0,"NO",SUM(I18:I23))</f>
        <v>8.9172376979454626E-2</v>
      </c>
      <c r="J17" s="3110">
        <f>IF(SUM(J18:J23)=0,"NO",SUM(J18:J23))</f>
        <v>8.9417113939653958E-2</v>
      </c>
      <c r="K17" s="3085" t="str">
        <f>IF(SUM(K18:K23)=0,"NO",SUM(K18:K23))</f>
        <v>NO</v>
      </c>
    </row>
    <row r="18" spans="2:11" ht="18" customHeight="1" x14ac:dyDescent="0.2">
      <c r="B18" s="282" t="s">
        <v>132</v>
      </c>
      <c r="C18" s="3109">
        <f>IF(SUM(C26,C33)=0,"NO",SUM(C26,C33))</f>
        <v>31456.572165062367</v>
      </c>
      <c r="D18" s="3109" t="s">
        <v>1814</v>
      </c>
      <c r="E18" s="1913">
        <f t="shared" ref="E18" si="4">IFERROR(H18*1000/$C18,"NA")</f>
        <v>68.952394442820591</v>
      </c>
      <c r="F18" s="1913">
        <f t="shared" ref="F18:G23" si="5">IFERROR(I18*1000000/$C18,"NA")</f>
        <v>1.387849615932734</v>
      </c>
      <c r="G18" s="1913">
        <f t="shared" si="5"/>
        <v>1.4536760541152232</v>
      </c>
      <c r="H18" s="3109">
        <f>IF(SUM(H26,H33)=0,"NO",SUM(H26,H33))</f>
        <v>2169.005971744431</v>
      </c>
      <c r="I18" s="3109">
        <f>IF(SUM(I26,I33)=0,"NO",SUM(I26,I33))</f>
        <v>4.3656991597842143E-2</v>
      </c>
      <c r="J18" s="3109">
        <f>IF(SUM(J26,J33)=0,"NO",SUM(J26,J33))</f>
        <v>4.5727665700898625E-2</v>
      </c>
      <c r="K18" s="3085" t="str">
        <f>IF(SUM(K26,K33)=0,"NO",SUM(K26,K33))</f>
        <v>NO</v>
      </c>
    </row>
    <row r="19" spans="2:11" ht="18" customHeight="1" x14ac:dyDescent="0.2">
      <c r="B19" s="282" t="s">
        <v>133</v>
      </c>
      <c r="C19" s="3109">
        <f t="shared" ref="C19:C21" si="6">IF(SUM(C27,C34)=0,"NO",SUM(C27,C34))</f>
        <v>2311.5300000000002</v>
      </c>
      <c r="D19" s="3109" t="s">
        <v>1814</v>
      </c>
      <c r="E19" s="1913">
        <f t="shared" ref="E19:E23" si="7">IFERROR(H19*1000/$C19,"NA")</f>
        <v>92.964270418294376</v>
      </c>
      <c r="F19" s="1913">
        <f t="shared" si="5"/>
        <v>0.95238095238095222</v>
      </c>
      <c r="G19" s="1913">
        <f t="shared" si="5"/>
        <v>0.66666666666666674</v>
      </c>
      <c r="H19" s="3109">
        <f t="shared" ref="H19:K21" si="8">IF(SUM(H27,H34)=0,"NO",SUM(H27,H34))</f>
        <v>214.8897</v>
      </c>
      <c r="I19" s="3109">
        <f t="shared" si="8"/>
        <v>2.2014571428571428E-3</v>
      </c>
      <c r="J19" s="3109">
        <f t="shared" si="8"/>
        <v>1.5410200000000002E-3</v>
      </c>
      <c r="K19" s="3085" t="str">
        <f t="shared" si="8"/>
        <v>NO</v>
      </c>
    </row>
    <row r="20" spans="2:11" ht="18" customHeight="1" x14ac:dyDescent="0.2">
      <c r="B20" s="282" t="s">
        <v>134</v>
      </c>
      <c r="C20" s="3109">
        <f t="shared" si="6"/>
        <v>43518.583562630869</v>
      </c>
      <c r="D20" s="3109" t="s">
        <v>1814</v>
      </c>
      <c r="E20" s="1913">
        <f t="shared" si="7"/>
        <v>51.471732551374267</v>
      </c>
      <c r="F20" s="1913">
        <f t="shared" si="5"/>
        <v>0.90909090909090906</v>
      </c>
      <c r="G20" s="1913">
        <f t="shared" si="5"/>
        <v>0.90909090909090906</v>
      </c>
      <c r="H20" s="3109">
        <f t="shared" si="8"/>
        <v>2239.9768941503685</v>
      </c>
      <c r="I20" s="3109">
        <f t="shared" si="8"/>
        <v>3.9562348693300789E-2</v>
      </c>
      <c r="J20" s="3109">
        <f t="shared" si="8"/>
        <v>3.9562348693300789E-2</v>
      </c>
      <c r="K20" s="3085" t="str">
        <f t="shared" si="8"/>
        <v>NO</v>
      </c>
    </row>
    <row r="21" spans="2:11" ht="18" customHeight="1" x14ac:dyDescent="0.2">
      <c r="B21" s="282" t="s">
        <v>135</v>
      </c>
      <c r="C21" s="3109" t="str">
        <f t="shared" si="6"/>
        <v>NO</v>
      </c>
      <c r="D21" s="3109" t="s">
        <v>1814</v>
      </c>
      <c r="E21" s="1913" t="str">
        <f t="shared" si="7"/>
        <v>NA</v>
      </c>
      <c r="F21" s="1913" t="str">
        <f t="shared" si="5"/>
        <v>NA</v>
      </c>
      <c r="G21" s="1913" t="str">
        <f t="shared" si="5"/>
        <v>NA</v>
      </c>
      <c r="H21" s="3109" t="str">
        <f t="shared" si="8"/>
        <v>NO</v>
      </c>
      <c r="I21" s="3109" t="str">
        <f t="shared" si="8"/>
        <v>NO</v>
      </c>
      <c r="J21" s="3109" t="str">
        <f t="shared" si="8"/>
        <v>NO</v>
      </c>
      <c r="K21" s="3085" t="str">
        <f t="shared" si="8"/>
        <v>NO</v>
      </c>
    </row>
    <row r="22" spans="2:11" ht="18" customHeight="1" x14ac:dyDescent="0.2">
      <c r="B22" s="282" t="s">
        <v>1941</v>
      </c>
      <c r="C22" s="3109" t="str">
        <f>IF(SUM(C30)=0,"NO",SUM(C30))</f>
        <v>NO</v>
      </c>
      <c r="D22" s="3109" t="s">
        <v>1814</v>
      </c>
      <c r="E22" s="1913" t="str">
        <f t="shared" si="7"/>
        <v>NA</v>
      </c>
      <c r="F22" s="1913" t="str">
        <f t="shared" si="5"/>
        <v>NA</v>
      </c>
      <c r="G22" s="1913" t="str">
        <f t="shared" si="5"/>
        <v>NA</v>
      </c>
      <c r="H22" s="3109" t="str">
        <f>IF(SUM(H30)=0,"NO",SUM(H30))</f>
        <v>NO</v>
      </c>
      <c r="I22" s="3109" t="str">
        <f>IF(SUM(I30)=0,"NO",SUM(I30))</f>
        <v>NO</v>
      </c>
      <c r="J22" s="3109" t="str">
        <f>IF(SUM(J30)=0,"NO",SUM(J30))</f>
        <v>NO</v>
      </c>
      <c r="K22" s="3085" t="str">
        <f>IF(SUM(K30)=0,"NO",SUM(K30))</f>
        <v>NO</v>
      </c>
    </row>
    <row r="23" spans="2:11" ht="18" customHeight="1" x14ac:dyDescent="0.2">
      <c r="B23" s="282" t="s">
        <v>1943</v>
      </c>
      <c r="C23" s="3109">
        <f>IF(SUM(C31,C37)=0,"NO",SUM(C31,C37))</f>
        <v>950.75</v>
      </c>
      <c r="D23" s="3109" t="s">
        <v>1814</v>
      </c>
      <c r="E23" s="1913">
        <f t="shared" si="7"/>
        <v>66.10933466366086</v>
      </c>
      <c r="F23" s="1913">
        <f t="shared" si="5"/>
        <v>3.9459159037123808</v>
      </c>
      <c r="G23" s="1913">
        <f t="shared" si="5"/>
        <v>2.7200415939569234</v>
      </c>
      <c r="H23" s="3109">
        <f>IF(SUM(H31,H37)=0,"NO",SUM(H31,H37))</f>
        <v>62.853449931475559</v>
      </c>
      <c r="I23" s="3109">
        <f>IF(SUM(I31,I37)=0,"NO",SUM(I31,I37))</f>
        <v>3.7515795454545458E-3</v>
      </c>
      <c r="J23" s="3109">
        <f>IF(SUM(J31,J37)=0,"NO",SUM(J31,J37))</f>
        <v>2.5860795454545451E-3</v>
      </c>
      <c r="K23" s="3085" t="str">
        <f>IF(SUM(K31,K37)=0,"NO",SUM(K31,K37))</f>
        <v>NO</v>
      </c>
    </row>
    <row r="24" spans="2:11" ht="18" customHeight="1" x14ac:dyDescent="0.2">
      <c r="B24" s="1275" t="s">
        <v>200</v>
      </c>
      <c r="C24" s="3096"/>
      <c r="D24" s="3097"/>
      <c r="E24" s="3097"/>
      <c r="F24" s="3097"/>
      <c r="G24" s="3097"/>
      <c r="H24" s="3097"/>
      <c r="I24" s="3097"/>
      <c r="J24" s="3097"/>
      <c r="K24" s="3111"/>
    </row>
    <row r="25" spans="2:11" ht="18" customHeight="1" x14ac:dyDescent="0.2">
      <c r="B25" s="1242" t="s">
        <v>201</v>
      </c>
      <c r="C25" s="3078">
        <f>IF(SUM(C26:C31)=0,"NO",SUM(C26:C31))</f>
        <v>78237.435727693228</v>
      </c>
      <c r="D25" s="3078" t="s">
        <v>1814</v>
      </c>
      <c r="E25" s="628"/>
      <c r="F25" s="628"/>
      <c r="G25" s="628"/>
      <c r="H25" s="3078">
        <f>IF(SUM(H26:H30)=0,"NO",SUM(H26:H30))</f>
        <v>4623.8725658947997</v>
      </c>
      <c r="I25" s="3078">
        <f>IF(SUM(I26:I31)=0,"NO",SUM(I26:I31))</f>
        <v>8.9172376979454626E-2</v>
      </c>
      <c r="J25" s="3110">
        <f>IF(SUM(J26:J31)=0,"NO",SUM(J26:J31))</f>
        <v>8.9417113939653958E-2</v>
      </c>
      <c r="K25" s="3085" t="str">
        <f>IF(SUM(K26:K31)=0,"NO",SUM(K26:K31))</f>
        <v>NO</v>
      </c>
    </row>
    <row r="26" spans="2:11" ht="18" customHeight="1" x14ac:dyDescent="0.2">
      <c r="B26" s="282" t="s">
        <v>132</v>
      </c>
      <c r="C26" s="691">
        <v>31456.572165062367</v>
      </c>
      <c r="D26" s="3078" t="s">
        <v>1814</v>
      </c>
      <c r="E26" s="1913">
        <f t="shared" ref="E26:E31" si="9">IFERROR(H26*1000/$C26,"NA")</f>
        <v>68.952394442820591</v>
      </c>
      <c r="F26" s="1913">
        <f t="shared" ref="F26:G31" si="10">IFERROR(I26*1000000/$C26,"NA")</f>
        <v>1.387849615932734</v>
      </c>
      <c r="G26" s="1913">
        <f t="shared" si="10"/>
        <v>1.4536760541152232</v>
      </c>
      <c r="H26" s="691">
        <v>2169.005971744431</v>
      </c>
      <c r="I26" s="691">
        <v>4.3656991597842143E-2</v>
      </c>
      <c r="J26" s="691">
        <v>4.5727665700898625E-2</v>
      </c>
      <c r="K26" s="2911" t="s">
        <v>2146</v>
      </c>
    </row>
    <row r="27" spans="2:11" ht="18" customHeight="1" x14ac:dyDescent="0.2">
      <c r="B27" s="282" t="s">
        <v>133</v>
      </c>
      <c r="C27" s="691">
        <v>2311.5300000000002</v>
      </c>
      <c r="D27" s="3078" t="s">
        <v>1814</v>
      </c>
      <c r="E27" s="1913">
        <f t="shared" si="9"/>
        <v>92.964270418294376</v>
      </c>
      <c r="F27" s="1913">
        <f t="shared" si="10"/>
        <v>0.95238095238095222</v>
      </c>
      <c r="G27" s="1913">
        <f t="shared" si="10"/>
        <v>0.66666666666666674</v>
      </c>
      <c r="H27" s="691">
        <v>214.8897</v>
      </c>
      <c r="I27" s="691">
        <v>2.2014571428571428E-3</v>
      </c>
      <c r="J27" s="691">
        <v>1.5410200000000002E-3</v>
      </c>
      <c r="K27" s="2911" t="s">
        <v>2146</v>
      </c>
    </row>
    <row r="28" spans="2:11" ht="18" customHeight="1" x14ac:dyDescent="0.2">
      <c r="B28" s="282" t="s">
        <v>134</v>
      </c>
      <c r="C28" s="691">
        <v>43518.583562630869</v>
      </c>
      <c r="D28" s="3078" t="s">
        <v>1814</v>
      </c>
      <c r="E28" s="1913">
        <f t="shared" si="9"/>
        <v>51.471732551374267</v>
      </c>
      <c r="F28" s="1913">
        <f t="shared" si="10"/>
        <v>0.90909090909090906</v>
      </c>
      <c r="G28" s="1913">
        <f t="shared" si="10"/>
        <v>0.90909090909090906</v>
      </c>
      <c r="H28" s="691">
        <v>2239.9768941503685</v>
      </c>
      <c r="I28" s="691">
        <v>3.9562348693300789E-2</v>
      </c>
      <c r="J28" s="691">
        <v>3.9562348693300789E-2</v>
      </c>
      <c r="K28" s="2911" t="s">
        <v>2146</v>
      </c>
    </row>
    <row r="29" spans="2:11" ht="18" customHeight="1" x14ac:dyDescent="0.2">
      <c r="B29" s="282" t="s">
        <v>135</v>
      </c>
      <c r="C29" s="691" t="s">
        <v>2146</v>
      </c>
      <c r="D29" s="3078" t="s">
        <v>1814</v>
      </c>
      <c r="E29" s="1913" t="str">
        <f t="shared" si="9"/>
        <v>NA</v>
      </c>
      <c r="F29" s="1913" t="str">
        <f t="shared" si="10"/>
        <v>NA</v>
      </c>
      <c r="G29" s="1913" t="str">
        <f t="shared" si="10"/>
        <v>NA</v>
      </c>
      <c r="H29" s="691" t="s">
        <v>2146</v>
      </c>
      <c r="I29" s="691" t="s">
        <v>2146</v>
      </c>
      <c r="J29" s="691" t="s">
        <v>2146</v>
      </c>
      <c r="K29" s="2911" t="s">
        <v>2146</v>
      </c>
    </row>
    <row r="30" spans="2:11" ht="18" customHeight="1" x14ac:dyDescent="0.2">
      <c r="B30" s="282" t="s">
        <v>1941</v>
      </c>
      <c r="C30" s="691" t="s">
        <v>2146</v>
      </c>
      <c r="D30" s="3078" t="s">
        <v>1814</v>
      </c>
      <c r="E30" s="1913" t="str">
        <f t="shared" si="9"/>
        <v>NA</v>
      </c>
      <c r="F30" s="1913" t="str">
        <f t="shared" si="10"/>
        <v>NA</v>
      </c>
      <c r="G30" s="1913" t="str">
        <f t="shared" si="10"/>
        <v>NA</v>
      </c>
      <c r="H30" s="691" t="s">
        <v>2146</v>
      </c>
      <c r="I30" s="691" t="s">
        <v>2146</v>
      </c>
      <c r="J30" s="691" t="s">
        <v>2146</v>
      </c>
      <c r="K30" s="2911" t="s">
        <v>2146</v>
      </c>
    </row>
    <row r="31" spans="2:11" ht="18" customHeight="1" x14ac:dyDescent="0.2">
      <c r="B31" s="282" t="s">
        <v>1943</v>
      </c>
      <c r="C31" s="691">
        <v>950.75</v>
      </c>
      <c r="D31" s="3078" t="s">
        <v>1814</v>
      </c>
      <c r="E31" s="1913">
        <f t="shared" si="9"/>
        <v>66.10933466366086</v>
      </c>
      <c r="F31" s="1913">
        <f t="shared" si="10"/>
        <v>3.9459159037123808</v>
      </c>
      <c r="G31" s="1913">
        <f t="shared" si="10"/>
        <v>2.7200415939569234</v>
      </c>
      <c r="H31" s="691">
        <v>62.853449931475559</v>
      </c>
      <c r="I31" s="691">
        <v>3.7515795454545458E-3</v>
      </c>
      <c r="J31" s="691">
        <v>2.5860795454545451E-3</v>
      </c>
      <c r="K31" s="2911" t="s">
        <v>2146</v>
      </c>
    </row>
    <row r="32" spans="2:11" ht="18" customHeight="1" x14ac:dyDescent="0.2">
      <c r="B32" s="1242" t="s">
        <v>202</v>
      </c>
      <c r="C32" s="3078" t="str">
        <f>IF(SUM(C33:C37)=0,"NO",SUM(C33:C37))</f>
        <v>NO</v>
      </c>
      <c r="D32" s="3078" t="s">
        <v>1814</v>
      </c>
      <c r="E32" s="628"/>
      <c r="F32" s="628"/>
      <c r="G32" s="628"/>
      <c r="H32" s="3078" t="str">
        <f>IF(SUM(H33:H36)=0,"NO",SUM(H33:H36))</f>
        <v>NO</v>
      </c>
      <c r="I32" s="3078" t="str">
        <f>IF(SUM(I33:I37)=0,"NO",SUM(I33:I37))</f>
        <v>NO</v>
      </c>
      <c r="J32" s="3078" t="str">
        <f>IF(SUM(J33:J37)=0,"NO",SUM(J33:J37))</f>
        <v>NO</v>
      </c>
      <c r="K32" s="2921"/>
    </row>
    <row r="33" spans="2:11" ht="18" customHeight="1" x14ac:dyDescent="0.2">
      <c r="B33" s="282" t="s">
        <v>132</v>
      </c>
      <c r="C33" s="691" t="s">
        <v>2153</v>
      </c>
      <c r="D33" s="3078" t="s">
        <v>1814</v>
      </c>
      <c r="E33" s="1913" t="str">
        <f t="shared" ref="E33:E37" si="11">IFERROR(H33*1000/$C33,"NA")</f>
        <v>NA</v>
      </c>
      <c r="F33" s="1913" t="str">
        <f t="shared" ref="F33:G37" si="12">IFERROR(I33*1000000/$C33,"NA")</f>
        <v>NA</v>
      </c>
      <c r="G33" s="1913" t="str">
        <f t="shared" si="12"/>
        <v>NA</v>
      </c>
      <c r="H33" s="691" t="s">
        <v>2153</v>
      </c>
      <c r="I33" s="691" t="s">
        <v>2153</v>
      </c>
      <c r="J33" s="691" t="s">
        <v>2153</v>
      </c>
      <c r="K33" s="2921"/>
    </row>
    <row r="34" spans="2:11" ht="18" customHeight="1" x14ac:dyDescent="0.2">
      <c r="B34" s="282" t="s">
        <v>133</v>
      </c>
      <c r="C34" s="691" t="s">
        <v>2146</v>
      </c>
      <c r="D34" s="3078" t="s">
        <v>1814</v>
      </c>
      <c r="E34" s="1913" t="str">
        <f t="shared" si="11"/>
        <v>NA</v>
      </c>
      <c r="F34" s="1913" t="str">
        <f t="shared" si="12"/>
        <v>NA</v>
      </c>
      <c r="G34" s="1913" t="str">
        <f t="shared" si="12"/>
        <v>NA</v>
      </c>
      <c r="H34" s="691" t="s">
        <v>2146</v>
      </c>
      <c r="I34" s="691" t="s">
        <v>2146</v>
      </c>
      <c r="J34" s="691" t="s">
        <v>2146</v>
      </c>
      <c r="K34" s="2921"/>
    </row>
    <row r="35" spans="2:11" ht="18" customHeight="1" x14ac:dyDescent="0.2">
      <c r="B35" s="282" t="s">
        <v>134</v>
      </c>
      <c r="C35" s="691" t="s">
        <v>2146</v>
      </c>
      <c r="D35" s="3078" t="s">
        <v>1814</v>
      </c>
      <c r="E35" s="1913" t="str">
        <f t="shared" si="11"/>
        <v>NA</v>
      </c>
      <c r="F35" s="1913" t="str">
        <f t="shared" si="12"/>
        <v>NA</v>
      </c>
      <c r="G35" s="1913" t="str">
        <f t="shared" si="12"/>
        <v>NA</v>
      </c>
      <c r="H35" s="691" t="s">
        <v>2146</v>
      </c>
      <c r="I35" s="691" t="s">
        <v>2146</v>
      </c>
      <c r="J35" s="691" t="s">
        <v>2146</v>
      </c>
      <c r="K35" s="2921"/>
    </row>
    <row r="36" spans="2:11" ht="18" customHeight="1" x14ac:dyDescent="0.2">
      <c r="B36" s="282" t="s">
        <v>135</v>
      </c>
      <c r="C36" s="691" t="s">
        <v>2146</v>
      </c>
      <c r="D36" s="3078" t="s">
        <v>1814</v>
      </c>
      <c r="E36" s="1913" t="str">
        <f t="shared" si="11"/>
        <v>NA</v>
      </c>
      <c r="F36" s="1913" t="str">
        <f t="shared" si="12"/>
        <v>NA</v>
      </c>
      <c r="G36" s="1913" t="str">
        <f t="shared" si="12"/>
        <v>NA</v>
      </c>
      <c r="H36" s="691" t="s">
        <v>2146</v>
      </c>
      <c r="I36" s="691" t="s">
        <v>2146</v>
      </c>
      <c r="J36" s="691" t="s">
        <v>2146</v>
      </c>
      <c r="K36" s="2921"/>
    </row>
    <row r="37" spans="2:11" ht="18" customHeight="1" x14ac:dyDescent="0.2">
      <c r="B37" s="282" t="s">
        <v>1943</v>
      </c>
      <c r="C37" s="691" t="s">
        <v>2153</v>
      </c>
      <c r="D37" s="3078" t="s">
        <v>1814</v>
      </c>
      <c r="E37" s="1913" t="str">
        <f t="shared" si="11"/>
        <v>NA</v>
      </c>
      <c r="F37" s="1913" t="str">
        <f t="shared" si="12"/>
        <v>NA</v>
      </c>
      <c r="G37" s="1913" t="str">
        <f t="shared" si="12"/>
        <v>NA</v>
      </c>
      <c r="H37" s="691" t="s">
        <v>2153</v>
      </c>
      <c r="I37" s="691" t="s">
        <v>2153</v>
      </c>
      <c r="J37" s="691" t="s">
        <v>2153</v>
      </c>
      <c r="K37" s="2921"/>
    </row>
    <row r="38" spans="2:11" ht="18" customHeight="1" x14ac:dyDescent="0.2">
      <c r="B38" s="1241" t="s">
        <v>1944</v>
      </c>
      <c r="C38" s="3078">
        <f>IF(SUM(C39:C44)=0,"NO",SUM(C39:C44))</f>
        <v>218319.99924355745</v>
      </c>
      <c r="D38" s="3078" t="s">
        <v>1814</v>
      </c>
      <c r="E38" s="628"/>
      <c r="F38" s="628"/>
      <c r="G38" s="628"/>
      <c r="H38" s="1913">
        <f>IF(SUM(H39:H43)=0,"NO",SUM(H39:H43))</f>
        <v>8077.287691687613</v>
      </c>
      <c r="I38" s="1913">
        <f>IF(SUM(I39:I44)=0,"NO",SUM(I39:I44))</f>
        <v>48.474306214771616</v>
      </c>
      <c r="J38" s="1913">
        <f>IF(SUM(J39:J44)=0,"NO",SUM(J39:J44))</f>
        <v>0.2553394129911819</v>
      </c>
      <c r="K38" s="3085" t="str">
        <f>IF(SUM(K39:K44)=0,"NO",SUM(K39:K44))</f>
        <v>NO</v>
      </c>
    </row>
    <row r="39" spans="2:11" ht="18" customHeight="1" x14ac:dyDescent="0.2">
      <c r="B39" s="282" t="s">
        <v>132</v>
      </c>
      <c r="C39" s="3109">
        <f>IF(SUM(C47,C54)=0,"NO",SUM(C47,C54))</f>
        <v>19349.542400655548</v>
      </c>
      <c r="D39" s="3078" t="s">
        <v>1814</v>
      </c>
      <c r="E39" s="1913">
        <f t="shared" ref="E39:E44" si="13">IFERROR(H39*1000/$C39,"NA")</f>
        <v>62.419808555757513</v>
      </c>
      <c r="F39" s="1913">
        <f t="shared" ref="F39:G44" si="14">IFERROR(I39*1000000/$C39,"NA")</f>
        <v>38.516600264902003</v>
      </c>
      <c r="G39" s="1913">
        <f t="shared" si="14"/>
        <v>0.57452396511472037</v>
      </c>
      <c r="H39" s="1913">
        <f>IF(SUM(H47,H54)=0,"NO",SUM(H47,H54))</f>
        <v>1207.794732290432</v>
      </c>
      <c r="I39" s="1913">
        <f>IF(SUM(I47,I54)=0,"NO",SUM(I47,I54))</f>
        <v>0.74527858995482199</v>
      </c>
      <c r="J39" s="1913">
        <f>IF(SUM(J47,J54)=0,"NO",SUM(J47,J54))</f>
        <v>1.111677582318003E-2</v>
      </c>
      <c r="K39" s="3085" t="str">
        <f>IF(SUM(K47,K54)=0,"NO",SUM(K47,K54))</f>
        <v>NO</v>
      </c>
    </row>
    <row r="40" spans="2:11" ht="18" customHeight="1" x14ac:dyDescent="0.2">
      <c r="B40" s="282" t="s">
        <v>133</v>
      </c>
      <c r="C40" s="3109">
        <f t="shared" ref="C40:C42" si="15">IF(SUM(C48,C55)=0,"NO",SUM(C48,C55))</f>
        <v>120.01</v>
      </c>
      <c r="D40" s="3078" t="s">
        <v>1814</v>
      </c>
      <c r="E40" s="1913">
        <f t="shared" si="13"/>
        <v>92.888509290892443</v>
      </c>
      <c r="F40" s="1913">
        <f t="shared" si="14"/>
        <v>0.95238095238095233</v>
      </c>
      <c r="G40" s="1913">
        <f t="shared" si="14"/>
        <v>0.66666666666666674</v>
      </c>
      <c r="H40" s="1913">
        <f t="shared" ref="H40:K42" si="16">IF(SUM(H48,H55)=0,"NO",SUM(H48,H55))</f>
        <v>11.147550000000003</v>
      </c>
      <c r="I40" s="1913">
        <f t="shared" si="16"/>
        <v>1.1429523809523809E-4</v>
      </c>
      <c r="J40" s="1913">
        <f t="shared" si="16"/>
        <v>8.0006666666666674E-5</v>
      </c>
      <c r="K40" s="3085" t="str">
        <f t="shared" si="16"/>
        <v>NO</v>
      </c>
    </row>
    <row r="41" spans="2:11" ht="18" customHeight="1" x14ac:dyDescent="0.2">
      <c r="B41" s="282" t="s">
        <v>134</v>
      </c>
      <c r="C41" s="3109">
        <f t="shared" si="15"/>
        <v>133270.25</v>
      </c>
      <c r="D41" s="3078" t="s">
        <v>1814</v>
      </c>
      <c r="E41" s="1913">
        <f t="shared" si="13"/>
        <v>51.46193850013173</v>
      </c>
      <c r="F41" s="1913">
        <f t="shared" si="14"/>
        <v>0.90909090909090895</v>
      </c>
      <c r="G41" s="1913">
        <f t="shared" si="14"/>
        <v>0.90909090909090884</v>
      </c>
      <c r="H41" s="1913">
        <f t="shared" si="16"/>
        <v>6858.3454093971814</v>
      </c>
      <c r="I41" s="1913">
        <f t="shared" si="16"/>
        <v>0.12115477272727271</v>
      </c>
      <c r="J41" s="1913">
        <f t="shared" si="16"/>
        <v>0.12115477272727269</v>
      </c>
      <c r="K41" s="3085" t="str">
        <f t="shared" si="16"/>
        <v>NO</v>
      </c>
    </row>
    <row r="42" spans="2:11" ht="18" customHeight="1" x14ac:dyDescent="0.2">
      <c r="B42" s="282" t="s">
        <v>135</v>
      </c>
      <c r="C42" s="3109" t="str">
        <f t="shared" si="15"/>
        <v>NO</v>
      </c>
      <c r="D42" s="3078" t="s">
        <v>1814</v>
      </c>
      <c r="E42" s="1913" t="str">
        <f t="shared" si="13"/>
        <v>NA</v>
      </c>
      <c r="F42" s="1913" t="str">
        <f t="shared" si="14"/>
        <v>NA</v>
      </c>
      <c r="G42" s="1913" t="str">
        <f t="shared" si="14"/>
        <v>NA</v>
      </c>
      <c r="H42" s="1913" t="str">
        <f t="shared" si="16"/>
        <v>NO</v>
      </c>
      <c r="I42" s="1913" t="str">
        <f t="shared" si="16"/>
        <v>NO</v>
      </c>
      <c r="J42" s="1913" t="str">
        <f t="shared" si="16"/>
        <v>NO</v>
      </c>
      <c r="K42" s="3085" t="str">
        <f t="shared" si="16"/>
        <v>NO</v>
      </c>
    </row>
    <row r="43" spans="2:11" ht="18" customHeight="1" x14ac:dyDescent="0.2">
      <c r="B43" s="282" t="s">
        <v>1941</v>
      </c>
      <c r="C43" s="3109" t="str">
        <f>IF(SUM(C51)=0,"NO",SUM(C51))</f>
        <v>NO</v>
      </c>
      <c r="D43" s="3078" t="s">
        <v>1814</v>
      </c>
      <c r="E43" s="1913" t="str">
        <f t="shared" si="13"/>
        <v>NA</v>
      </c>
      <c r="F43" s="1913" t="str">
        <f t="shared" si="14"/>
        <v>NA</v>
      </c>
      <c r="G43" s="1913" t="str">
        <f t="shared" si="14"/>
        <v>NA</v>
      </c>
      <c r="H43" s="1913" t="str">
        <f>IF(SUM(H51)=0,"NO",SUM(H51))</f>
        <v>NO</v>
      </c>
      <c r="I43" s="1913" t="str">
        <f>IF(SUM(I51)=0,"NO",SUM(I51))</f>
        <v>NO</v>
      </c>
      <c r="J43" s="1913" t="str">
        <f>IF(SUM(J51)=0,"NO",SUM(J51))</f>
        <v>NO</v>
      </c>
      <c r="K43" s="3085" t="str">
        <f>IF(SUM(K51)=0,"NO",SUM(K51))</f>
        <v>NO</v>
      </c>
    </row>
    <row r="44" spans="2:11" ht="18" customHeight="1" x14ac:dyDescent="0.2">
      <c r="B44" s="282" t="s">
        <v>1943</v>
      </c>
      <c r="C44" s="3109">
        <f>IF(SUM(C52,C58)=0,"NO",SUM(C52,C58))</f>
        <v>65580.196842901918</v>
      </c>
      <c r="D44" s="3078" t="s">
        <v>1814</v>
      </c>
      <c r="E44" s="1913">
        <f t="shared" si="13"/>
        <v>77.504787496158173</v>
      </c>
      <c r="F44" s="1913">
        <f t="shared" si="14"/>
        <v>725.9471738228591</v>
      </c>
      <c r="G44" s="1913">
        <f t="shared" si="14"/>
        <v>1.8753810402350772</v>
      </c>
      <c r="H44" s="1913">
        <f>IF(SUM(H52,H58)=0,"NO",SUM(H52,H58))</f>
        <v>5082.7792202653363</v>
      </c>
      <c r="I44" s="1913">
        <f>IF(SUM(I52,I58)=0,"NO",SUM(I52,I58))</f>
        <v>47.607758556851429</v>
      </c>
      <c r="J44" s="1913">
        <f>IF(SUM(J52,J58)=0,"NO",SUM(J52,J58))</f>
        <v>0.12298785777406253</v>
      </c>
      <c r="K44" s="3085" t="str">
        <f>IF(SUM(K52,K58)=0,"NO",SUM(K52,K58))</f>
        <v>NO</v>
      </c>
    </row>
    <row r="45" spans="2:11" ht="18" customHeight="1" x14ac:dyDescent="0.2">
      <c r="B45" s="1241" t="s">
        <v>203</v>
      </c>
      <c r="C45" s="3096"/>
      <c r="D45" s="3097"/>
      <c r="E45" s="3097"/>
      <c r="F45" s="3097"/>
      <c r="G45" s="3097"/>
      <c r="H45" s="3097"/>
      <c r="I45" s="3097"/>
      <c r="J45" s="3097"/>
      <c r="K45" s="3111"/>
    </row>
    <row r="46" spans="2:11" ht="18" customHeight="1" x14ac:dyDescent="0.2">
      <c r="B46" s="1242" t="s">
        <v>204</v>
      </c>
      <c r="C46" s="3078">
        <f>IF(SUM(C47:C52)=0,"NO",SUM(C47:C52))</f>
        <v>214196.43</v>
      </c>
      <c r="D46" s="3078" t="s">
        <v>1814</v>
      </c>
      <c r="E46" s="628"/>
      <c r="F46" s="628"/>
      <c r="G46" s="628"/>
      <c r="H46" s="1913">
        <f>IF(SUM(H47:H51)=0,"NO",SUM(H47:H51))</f>
        <v>7798.966362397181</v>
      </c>
      <c r="I46" s="1913">
        <f>IF(SUM(I47:I52)=0,"NO",SUM(I47:I52))</f>
        <v>47.744340859164623</v>
      </c>
      <c r="J46" s="1913">
        <f>IF(SUM(J47:J52)=0,"NO",SUM(J47:J52))</f>
        <v>0.25371660723920664</v>
      </c>
      <c r="K46" s="3085" t="str">
        <f>IF(SUM(K47:K52)=0,"NO",SUM(K47:K52))</f>
        <v>NO</v>
      </c>
    </row>
    <row r="47" spans="2:11" ht="18" customHeight="1" x14ac:dyDescent="0.2">
      <c r="B47" s="282" t="s">
        <v>132</v>
      </c>
      <c r="C47" s="691">
        <v>15226.169999999996</v>
      </c>
      <c r="D47" s="3078" t="s">
        <v>1814</v>
      </c>
      <c r="E47" s="1913">
        <f t="shared" ref="E47:E52" si="17">IFERROR(H47*1000/$C47,"NA")</f>
        <v>61.044465088725545</v>
      </c>
      <c r="F47" s="1913">
        <f t="shared" ref="F47:G52" si="18">IFERROR(I47*1000000/$C47,"NA")</f>
        <v>1.0152847429943381</v>
      </c>
      <c r="G47" s="1913">
        <f t="shared" si="18"/>
        <v>0.62359439607690514</v>
      </c>
      <c r="H47" s="691">
        <v>929.47340300000008</v>
      </c>
      <c r="I47" s="691">
        <v>1.5458898095238097E-2</v>
      </c>
      <c r="J47" s="691">
        <v>9.4949542857142872E-3</v>
      </c>
      <c r="K47" s="2911" t="s">
        <v>2146</v>
      </c>
    </row>
    <row r="48" spans="2:11" ht="18" customHeight="1" x14ac:dyDescent="0.2">
      <c r="B48" s="282" t="s">
        <v>133</v>
      </c>
      <c r="C48" s="691">
        <v>120.01</v>
      </c>
      <c r="D48" s="3078" t="s">
        <v>1814</v>
      </c>
      <c r="E48" s="1913">
        <f t="shared" si="17"/>
        <v>92.888509290892443</v>
      </c>
      <c r="F48" s="1913">
        <f t="shared" si="18"/>
        <v>0.95238095238095233</v>
      </c>
      <c r="G48" s="1913">
        <f t="shared" si="18"/>
        <v>0.66666666666666674</v>
      </c>
      <c r="H48" s="691">
        <v>11.147550000000003</v>
      </c>
      <c r="I48" s="691">
        <v>1.1429523809523809E-4</v>
      </c>
      <c r="J48" s="691">
        <v>8.0006666666666674E-5</v>
      </c>
      <c r="K48" s="2911" t="s">
        <v>2146</v>
      </c>
    </row>
    <row r="49" spans="2:11" ht="18" customHeight="1" x14ac:dyDescent="0.2">
      <c r="B49" s="282" t="s">
        <v>134</v>
      </c>
      <c r="C49" s="691">
        <v>133270.25</v>
      </c>
      <c r="D49" s="3078" t="s">
        <v>1814</v>
      </c>
      <c r="E49" s="1913">
        <f t="shared" si="17"/>
        <v>51.46193850013173</v>
      </c>
      <c r="F49" s="1913">
        <f t="shared" si="18"/>
        <v>0.90909090909090895</v>
      </c>
      <c r="G49" s="1913">
        <f t="shared" si="18"/>
        <v>0.90909090909090884</v>
      </c>
      <c r="H49" s="691">
        <v>6858.3454093971814</v>
      </c>
      <c r="I49" s="691">
        <v>0.12115477272727271</v>
      </c>
      <c r="J49" s="691">
        <v>0.12115477272727269</v>
      </c>
      <c r="K49" s="2911" t="s">
        <v>2146</v>
      </c>
    </row>
    <row r="50" spans="2:11" ht="18" customHeight="1" x14ac:dyDescent="0.2">
      <c r="B50" s="282" t="s">
        <v>135</v>
      </c>
      <c r="C50" s="691" t="s">
        <v>2146</v>
      </c>
      <c r="D50" s="3078" t="s">
        <v>1814</v>
      </c>
      <c r="E50" s="1913" t="str">
        <f t="shared" si="17"/>
        <v>NA</v>
      </c>
      <c r="F50" s="1913" t="str">
        <f t="shared" si="18"/>
        <v>NA</v>
      </c>
      <c r="G50" s="1913" t="str">
        <f t="shared" si="18"/>
        <v>NA</v>
      </c>
      <c r="H50" s="691" t="s">
        <v>2146</v>
      </c>
      <c r="I50" s="691" t="s">
        <v>2146</v>
      </c>
      <c r="J50" s="691" t="s">
        <v>2146</v>
      </c>
      <c r="K50" s="2911" t="s">
        <v>2146</v>
      </c>
    </row>
    <row r="51" spans="2:11" ht="18" customHeight="1" x14ac:dyDescent="0.2">
      <c r="B51" s="282" t="s">
        <v>1941</v>
      </c>
      <c r="C51" s="691" t="s">
        <v>2146</v>
      </c>
      <c r="D51" s="3078" t="s">
        <v>1814</v>
      </c>
      <c r="E51" s="1913" t="str">
        <f t="shared" si="17"/>
        <v>NA</v>
      </c>
      <c r="F51" s="1913" t="str">
        <f t="shared" si="18"/>
        <v>NA</v>
      </c>
      <c r="G51" s="1913" t="str">
        <f t="shared" si="18"/>
        <v>NA</v>
      </c>
      <c r="H51" s="691" t="s">
        <v>2146</v>
      </c>
      <c r="I51" s="691" t="s">
        <v>2146</v>
      </c>
      <c r="J51" s="691" t="s">
        <v>2146</v>
      </c>
      <c r="K51" s="2911" t="s">
        <v>2146</v>
      </c>
    </row>
    <row r="52" spans="2:11" ht="18" customHeight="1" x14ac:dyDescent="0.2">
      <c r="B52" s="282" t="s">
        <v>1943</v>
      </c>
      <c r="C52" s="691">
        <v>65580.000000000015</v>
      </c>
      <c r="D52" s="3078" t="s">
        <v>1814</v>
      </c>
      <c r="E52" s="1913">
        <f t="shared" si="17"/>
        <v>77.504818246595804</v>
      </c>
      <c r="F52" s="1913">
        <f t="shared" si="18"/>
        <v>725.94713164233008</v>
      </c>
      <c r="G52" s="1913">
        <f t="shared" si="18"/>
        <v>1.8753716614753424</v>
      </c>
      <c r="H52" s="691">
        <v>5082.7659806117535</v>
      </c>
      <c r="I52" s="691">
        <v>47.607612893104019</v>
      </c>
      <c r="J52" s="691">
        <v>0.12298687355955298</v>
      </c>
      <c r="K52" s="2911" t="s">
        <v>2146</v>
      </c>
    </row>
    <row r="53" spans="2:11" ht="18" customHeight="1" x14ac:dyDescent="0.2">
      <c r="B53" s="1242" t="s">
        <v>205</v>
      </c>
      <c r="C53" s="3078">
        <f>IF(SUM(C54:C58)=0,"NO",SUM(C54:C58))</f>
        <v>4123.5692435574601</v>
      </c>
      <c r="D53" s="3078" t="s">
        <v>1814</v>
      </c>
      <c r="E53" s="628"/>
      <c r="F53" s="628"/>
      <c r="G53" s="628"/>
      <c r="H53" s="3078">
        <f>IF(SUM(H54:H57)=0,"NO",SUM(H54:H57))</f>
        <v>278.32132929043183</v>
      </c>
      <c r="I53" s="3078">
        <f>IF(SUM(I54:I58)=0,"NO",SUM(I54:I58))</f>
        <v>0.72996535560699694</v>
      </c>
      <c r="J53" s="3078">
        <f>IF(SUM(J54:J58)=0,"NO",SUM(J54:J58))</f>
        <v>1.6228057519752904E-3</v>
      </c>
      <c r="K53" s="2921"/>
    </row>
    <row r="54" spans="2:11" ht="18" customHeight="1" x14ac:dyDescent="0.2">
      <c r="B54" s="282" t="s">
        <v>132</v>
      </c>
      <c r="C54" s="691">
        <v>4123.3724006555503</v>
      </c>
      <c r="D54" s="3078" t="s">
        <v>1814</v>
      </c>
      <c r="E54" s="1913">
        <f t="shared" ref="E54:E58" si="19">IFERROR(H54*1000/$C54,"NA")</f>
        <v>67.498470243964178</v>
      </c>
      <c r="F54" s="1913">
        <f t="shared" ref="F54:G58" si="20">IFERROR(I54*1000000/$C54,"NA")</f>
        <v>176.99582306549712</v>
      </c>
      <c r="G54" s="1913">
        <f t="shared" si="20"/>
        <v>0.39332405125666026</v>
      </c>
      <c r="H54" s="691">
        <v>278.32132929043183</v>
      </c>
      <c r="I54" s="691">
        <v>0.72981969185958384</v>
      </c>
      <c r="J54" s="691">
        <v>1.6218215374657421E-3</v>
      </c>
      <c r="K54" s="2921"/>
    </row>
    <row r="55" spans="2:11" ht="18" customHeight="1" x14ac:dyDescent="0.2">
      <c r="B55" s="282" t="s">
        <v>133</v>
      </c>
      <c r="C55" s="691" t="s">
        <v>2146</v>
      </c>
      <c r="D55" s="3078" t="s">
        <v>1814</v>
      </c>
      <c r="E55" s="1913" t="str">
        <f t="shared" si="19"/>
        <v>NA</v>
      </c>
      <c r="F55" s="1913" t="str">
        <f t="shared" si="20"/>
        <v>NA</v>
      </c>
      <c r="G55" s="1913" t="str">
        <f t="shared" si="20"/>
        <v>NA</v>
      </c>
      <c r="H55" s="691" t="s">
        <v>2146</v>
      </c>
      <c r="I55" s="691" t="s">
        <v>2146</v>
      </c>
      <c r="J55" s="691" t="s">
        <v>2146</v>
      </c>
      <c r="K55" s="2921"/>
    </row>
    <row r="56" spans="2:11" ht="18" customHeight="1" x14ac:dyDescent="0.2">
      <c r="B56" s="282" t="s">
        <v>134</v>
      </c>
      <c r="C56" s="691" t="s">
        <v>2146</v>
      </c>
      <c r="D56" s="3078" t="s">
        <v>1814</v>
      </c>
      <c r="E56" s="1913" t="str">
        <f t="shared" si="19"/>
        <v>NA</v>
      </c>
      <c r="F56" s="1913" t="str">
        <f t="shared" si="20"/>
        <v>NA</v>
      </c>
      <c r="G56" s="1913" t="str">
        <f t="shared" si="20"/>
        <v>NA</v>
      </c>
      <c r="H56" s="691" t="s">
        <v>2146</v>
      </c>
      <c r="I56" s="691" t="s">
        <v>2146</v>
      </c>
      <c r="J56" s="691" t="s">
        <v>2146</v>
      </c>
      <c r="K56" s="2921"/>
    </row>
    <row r="57" spans="2:11" ht="18" customHeight="1" x14ac:dyDescent="0.2">
      <c r="B57" s="282" t="s">
        <v>135</v>
      </c>
      <c r="C57" s="691" t="s">
        <v>2146</v>
      </c>
      <c r="D57" s="3078" t="s">
        <v>1814</v>
      </c>
      <c r="E57" s="1913" t="str">
        <f t="shared" si="19"/>
        <v>NA</v>
      </c>
      <c r="F57" s="1913" t="str">
        <f t="shared" si="20"/>
        <v>NA</v>
      </c>
      <c r="G57" s="1913" t="str">
        <f t="shared" si="20"/>
        <v>NA</v>
      </c>
      <c r="H57" s="691" t="s">
        <v>2146</v>
      </c>
      <c r="I57" s="691" t="s">
        <v>2146</v>
      </c>
      <c r="J57" s="691" t="s">
        <v>2146</v>
      </c>
      <c r="K57" s="2921"/>
    </row>
    <row r="58" spans="2:11" ht="18" customHeight="1" x14ac:dyDescent="0.2">
      <c r="B58" s="282" t="s">
        <v>1943</v>
      </c>
      <c r="C58" s="691">
        <v>0.19684290190964801</v>
      </c>
      <c r="D58" s="3078" t="s">
        <v>1814</v>
      </c>
      <c r="E58" s="1913">
        <f t="shared" si="19"/>
        <v>67.260000000000048</v>
      </c>
      <c r="F58" s="1913">
        <f t="shared" si="20"/>
        <v>740.00000000000045</v>
      </c>
      <c r="G58" s="1913">
        <f t="shared" si="20"/>
        <v>5.0000000000000044</v>
      </c>
      <c r="H58" s="691">
        <v>1.3239653582442935E-2</v>
      </c>
      <c r="I58" s="691">
        <v>1.4566374741313963E-4</v>
      </c>
      <c r="J58" s="691">
        <v>9.8421450954824085E-7</v>
      </c>
      <c r="K58" s="2921"/>
    </row>
    <row r="59" spans="2:11" ht="18" customHeight="1" x14ac:dyDescent="0.2">
      <c r="B59" s="1245" t="s">
        <v>206</v>
      </c>
      <c r="C59" s="3078">
        <f>IF(SUM(C60:C65)=0,"NO",SUM(C60:C65))</f>
        <v>87860.299999999959</v>
      </c>
      <c r="D59" s="3078" t="s">
        <v>1814</v>
      </c>
      <c r="E59" s="628"/>
      <c r="F59" s="628"/>
      <c r="G59" s="628"/>
      <c r="H59" s="1913">
        <f>IF(SUM(H60:H64)=0,"NO",SUM(H60:H64))</f>
        <v>6112.9214327645823</v>
      </c>
      <c r="I59" s="1913">
        <f>IF(SUM(I60:I65)=0,"NO",SUM(I60:I65))</f>
        <v>0.5239493688311686</v>
      </c>
      <c r="J59" s="1913">
        <f>IF(SUM(J60:J65)=0,"NO",SUM(J60:J65))</f>
        <v>0.31781143549783542</v>
      </c>
      <c r="K59" s="3085" t="str">
        <f>IF(SUM(K60:K65)=0,"NO",SUM(K60:K65))</f>
        <v>NO</v>
      </c>
    </row>
    <row r="60" spans="2:11" ht="18" customHeight="1" x14ac:dyDescent="0.2">
      <c r="B60" s="282" t="s">
        <v>132</v>
      </c>
      <c r="C60" s="1913">
        <f>IF(SUM(C67,C74:C77,C84:C87)=0,"NO",SUM(C67,C74:C77,C84:C87))</f>
        <v>87761.899999999965</v>
      </c>
      <c r="D60" s="3078" t="s">
        <v>1814</v>
      </c>
      <c r="E60" s="1913">
        <f t="shared" ref="E60:E65" si="21">IFERROR(H60*1000/$C60,"NA")</f>
        <v>69.595832587945338</v>
      </c>
      <c r="F60" s="1913">
        <f t="shared" ref="F60:G65" si="22">IFERROR(I60*1000000/$C60,"NA")</f>
        <v>5.9691040677755876</v>
      </c>
      <c r="G60" s="1913">
        <f t="shared" si="22"/>
        <v>3.6202723613821144</v>
      </c>
      <c r="H60" s="1913">
        <f>IF(SUM(H67,H74:H77,H84:H87)=0,"NO",SUM(H67,H74:H77,H84:H87))</f>
        <v>6107.8624999999984</v>
      </c>
      <c r="I60" s="1913">
        <f>IF(SUM(I67,I74:I77,I84:I87)=0,"NO",SUM(I67,I74:I77,I84:I87))</f>
        <v>0.5238599142857141</v>
      </c>
      <c r="J60" s="1913">
        <f>IF(SUM(J67,J74:J77,J84:J87)=0,"NO",SUM(J67,J74:J77,J84:J87))</f>
        <v>0.31772198095238086</v>
      </c>
      <c r="K60" s="3085" t="str">
        <f>IF(SUM(K67,K74:K77,K84:K87)=0,"NO",SUM(K67,K74:K77,K84:K87))</f>
        <v>NO</v>
      </c>
    </row>
    <row r="61" spans="2:11" ht="18" customHeight="1" x14ac:dyDescent="0.2">
      <c r="B61" s="282" t="s">
        <v>133</v>
      </c>
      <c r="C61" s="1913" t="str">
        <f>IF(SUM(C68)=0,"NO",SUM(C68))</f>
        <v>NO</v>
      </c>
      <c r="D61" s="3078" t="s">
        <v>1814</v>
      </c>
      <c r="E61" s="1913" t="str">
        <f t="shared" si="21"/>
        <v>NA</v>
      </c>
      <c r="F61" s="1913" t="str">
        <f t="shared" si="22"/>
        <v>NA</v>
      </c>
      <c r="G61" s="1913" t="str">
        <f t="shared" si="22"/>
        <v>NA</v>
      </c>
      <c r="H61" s="1913" t="str">
        <f>IF(SUM(H68)=0,"NO",SUM(H68))</f>
        <v>NO</v>
      </c>
      <c r="I61" s="1913" t="str">
        <f>IF(SUM(I68)=0,"NO",SUM(I68))</f>
        <v>NO</v>
      </c>
      <c r="J61" s="1913" t="str">
        <f>IF(SUM(J68)=0,"NO",SUM(J68))</f>
        <v>NO</v>
      </c>
      <c r="K61" s="3085" t="str">
        <f>IF(SUM(K68)=0,"NO",SUM(K68))</f>
        <v>NO</v>
      </c>
    </row>
    <row r="62" spans="2:11" ht="18" customHeight="1" x14ac:dyDescent="0.2">
      <c r="B62" s="282" t="s">
        <v>134</v>
      </c>
      <c r="C62" s="1913">
        <f>IF(SUM(C69,C79,C89)=0,"NO",SUM(C69,C79,C89))</f>
        <v>98.40000000000002</v>
      </c>
      <c r="D62" s="3078" t="s">
        <v>1814</v>
      </c>
      <c r="E62" s="1913">
        <f t="shared" si="21"/>
        <v>51.411918339264993</v>
      </c>
      <c r="F62" s="1913">
        <f t="shared" si="22"/>
        <v>0.90909090909090917</v>
      </c>
      <c r="G62" s="1913">
        <f t="shared" si="22"/>
        <v>0.90909090909090917</v>
      </c>
      <c r="H62" s="1913">
        <f>IF(SUM(H69,H79,H89)=0,"NO",SUM(H69,H79,H89))</f>
        <v>5.0589327645836768</v>
      </c>
      <c r="I62" s="1913">
        <f>IF(SUM(I69,I79,I89)=0,"NO",SUM(I69,I79,I89))</f>
        <v>8.9454545454545478E-5</v>
      </c>
      <c r="J62" s="1913">
        <f>IF(SUM(J69,J79,J89)=0,"NO",SUM(J69,J79,J89))</f>
        <v>8.9454545454545478E-5</v>
      </c>
      <c r="K62" s="3085" t="str">
        <f>IF(SUM(K69,K79,K89)=0,"NO",SUM(K69,K79,K89))</f>
        <v>NO</v>
      </c>
    </row>
    <row r="63" spans="2:11" ht="18" customHeight="1" x14ac:dyDescent="0.2">
      <c r="B63" s="282" t="s">
        <v>135</v>
      </c>
      <c r="C63" s="1913" t="str">
        <f>IF(SUM(C70,C81,C91)=0,"NO",SUM(C70,C81,C91))</f>
        <v>NO</v>
      </c>
      <c r="D63" s="3078" t="s">
        <v>1814</v>
      </c>
      <c r="E63" s="1913" t="str">
        <f t="shared" si="21"/>
        <v>NA</v>
      </c>
      <c r="F63" s="1913" t="str">
        <f t="shared" si="22"/>
        <v>NA</v>
      </c>
      <c r="G63" s="1913" t="str">
        <f t="shared" si="22"/>
        <v>NA</v>
      </c>
      <c r="H63" s="1913" t="str">
        <f>IF(SUM(H70,H81,H91)=0,"NO",SUM(H70,H81,H91))</f>
        <v>NO</v>
      </c>
      <c r="I63" s="1913" t="str">
        <f>IF(SUM(I70,I81,I91)=0,"NO",SUM(I70,I81,I91))</f>
        <v>NO</v>
      </c>
      <c r="J63" s="1913" t="str">
        <f>IF(SUM(J70,J81,J91)=0,"NO",SUM(J70,J81,J91))</f>
        <v>NO</v>
      </c>
      <c r="K63" s="3085" t="str">
        <f>IF(SUM(K70,K81,K91)=0,"NO",SUM(K70,K81,K91))</f>
        <v>NO</v>
      </c>
    </row>
    <row r="64" spans="2:11" ht="18" customHeight="1" x14ac:dyDescent="0.2">
      <c r="B64" s="282" t="s">
        <v>1941</v>
      </c>
      <c r="C64" s="1913" t="str">
        <f>IF(SUM(C71)=0,"NO",SUM(C71))</f>
        <v>NO</v>
      </c>
      <c r="D64" s="3078" t="s">
        <v>1814</v>
      </c>
      <c r="E64" s="1913" t="str">
        <f t="shared" si="21"/>
        <v>NA</v>
      </c>
      <c r="F64" s="1913" t="str">
        <f t="shared" si="22"/>
        <v>NA</v>
      </c>
      <c r="G64" s="1913" t="str">
        <f t="shared" si="22"/>
        <v>NA</v>
      </c>
      <c r="H64" s="1913" t="str">
        <f>IF(SUM(H71)=0,"NO",SUM(H71))</f>
        <v>NO</v>
      </c>
      <c r="I64" s="1913" t="str">
        <f>IF(SUM(I71)=0,"NO",SUM(I71))</f>
        <v>NO</v>
      </c>
      <c r="J64" s="1913" t="str">
        <f>IF(SUM(J71)=0,"NO",SUM(J71))</f>
        <v>NO</v>
      </c>
      <c r="K64" s="3085" t="str">
        <f>IF(SUM(K71)=0,"NO",SUM(K71))</f>
        <v>NO</v>
      </c>
    </row>
    <row r="65" spans="2:11" ht="18" customHeight="1" x14ac:dyDescent="0.2">
      <c r="B65" s="282" t="s">
        <v>1943</v>
      </c>
      <c r="C65" s="1913" t="str">
        <f>IF(SUM(C72,C80,C90)=0,"NO",SUM(C72,C80,C90))</f>
        <v>NO</v>
      </c>
      <c r="D65" s="3078" t="s">
        <v>1814</v>
      </c>
      <c r="E65" s="1913" t="str">
        <f t="shared" si="21"/>
        <v>NA</v>
      </c>
      <c r="F65" s="1913" t="str">
        <f t="shared" si="22"/>
        <v>NA</v>
      </c>
      <c r="G65" s="1913" t="str">
        <f t="shared" si="22"/>
        <v>NA</v>
      </c>
      <c r="H65" s="1913" t="str">
        <f>IF(SUM(H72,H80,H90)=0,"NO",SUM(H72,H80,H90))</f>
        <v>NO</v>
      </c>
      <c r="I65" s="1913" t="str">
        <f>IF(SUM(I72,I80,I90)=0,"NO",SUM(I72,I80,I90))</f>
        <v>NO</v>
      </c>
      <c r="J65" s="1913" t="str">
        <f>IF(SUM(J72,J80,J90)=0,"NO",SUM(J72,J80,J90))</f>
        <v>NO</v>
      </c>
      <c r="K65" s="3085" t="str">
        <f>IF(SUM(K72,K80,K90)=0,"NO",SUM(K72,K80,K90))</f>
        <v>NO</v>
      </c>
    </row>
    <row r="66" spans="2:11" ht="18" customHeight="1" x14ac:dyDescent="0.2">
      <c r="B66" s="1246" t="s">
        <v>207</v>
      </c>
      <c r="C66" s="1913">
        <f>IF(SUM(C67:C72)=0,"NO",SUM(C67:C72))</f>
        <v>87860.299999999959</v>
      </c>
      <c r="D66" s="3078" t="s">
        <v>1814</v>
      </c>
      <c r="E66" s="2108"/>
      <c r="F66" s="2108"/>
      <c r="G66" s="2108"/>
      <c r="H66" s="1913">
        <f>IF(SUM(H67:H71)=0,"NO",SUM(H67:H71))</f>
        <v>6112.9214327645823</v>
      </c>
      <c r="I66" s="1913">
        <f>IF(SUM(I67:I72)=0,"NO",SUM(I67:I72))</f>
        <v>0.5239493688311686</v>
      </c>
      <c r="J66" s="1913">
        <f>IF(SUM(J67:J72)=0,"NO",SUM(J67:J72))</f>
        <v>0.31781143549783542</v>
      </c>
      <c r="K66" s="3085" t="str">
        <f>IF(SUM(K67:K72)=0,"NO",SUM(K67:K72))</f>
        <v>NO</v>
      </c>
    </row>
    <row r="67" spans="2:11" ht="18" customHeight="1" x14ac:dyDescent="0.2">
      <c r="B67" s="282" t="s">
        <v>132</v>
      </c>
      <c r="C67" s="691">
        <v>87761.899999999965</v>
      </c>
      <c r="D67" s="3078" t="s">
        <v>1814</v>
      </c>
      <c r="E67" s="1913">
        <f t="shared" ref="E67:E72" si="23">IFERROR(H67*1000/$C67,"NA")</f>
        <v>69.595832587945338</v>
      </c>
      <c r="F67" s="1913">
        <f t="shared" ref="F67:G72" si="24">IFERROR(I67*1000000/$C67,"NA")</f>
        <v>5.9691040677755876</v>
      </c>
      <c r="G67" s="1913">
        <f t="shared" si="24"/>
        <v>3.6202723613821144</v>
      </c>
      <c r="H67" s="691">
        <v>6107.8624999999984</v>
      </c>
      <c r="I67" s="691">
        <v>0.5238599142857141</v>
      </c>
      <c r="J67" s="691">
        <v>0.31772198095238086</v>
      </c>
      <c r="K67" s="2911" t="s">
        <v>2146</v>
      </c>
    </row>
    <row r="68" spans="2:11" ht="18" customHeight="1" x14ac:dyDescent="0.2">
      <c r="B68" s="282" t="s">
        <v>133</v>
      </c>
      <c r="C68" s="691" t="s">
        <v>2146</v>
      </c>
      <c r="D68" s="3078" t="s">
        <v>1814</v>
      </c>
      <c r="E68" s="1913" t="str">
        <f t="shared" si="23"/>
        <v>NA</v>
      </c>
      <c r="F68" s="1913" t="str">
        <f t="shared" si="24"/>
        <v>NA</v>
      </c>
      <c r="G68" s="1913" t="str">
        <f t="shared" si="24"/>
        <v>NA</v>
      </c>
      <c r="H68" s="691" t="s">
        <v>2146</v>
      </c>
      <c r="I68" s="691" t="s">
        <v>2146</v>
      </c>
      <c r="J68" s="691" t="s">
        <v>2146</v>
      </c>
      <c r="K68" s="2911" t="s">
        <v>2146</v>
      </c>
    </row>
    <row r="69" spans="2:11" ht="18" customHeight="1" x14ac:dyDescent="0.2">
      <c r="B69" s="282" t="s">
        <v>134</v>
      </c>
      <c r="C69" s="691">
        <v>98.40000000000002</v>
      </c>
      <c r="D69" s="3078" t="s">
        <v>1814</v>
      </c>
      <c r="E69" s="1913">
        <f t="shared" si="23"/>
        <v>51.411918339264993</v>
      </c>
      <c r="F69" s="1913">
        <f t="shared" si="24"/>
        <v>0.90909090909090917</v>
      </c>
      <c r="G69" s="1913">
        <f t="shared" si="24"/>
        <v>0.90909090909090917</v>
      </c>
      <c r="H69" s="691">
        <v>5.0589327645836768</v>
      </c>
      <c r="I69" s="691">
        <v>8.9454545454545478E-5</v>
      </c>
      <c r="J69" s="691">
        <v>8.9454545454545478E-5</v>
      </c>
      <c r="K69" s="2911" t="s">
        <v>2146</v>
      </c>
    </row>
    <row r="70" spans="2:11" ht="18" customHeight="1" x14ac:dyDescent="0.2">
      <c r="B70" s="282" t="s">
        <v>135</v>
      </c>
      <c r="C70" s="691" t="s">
        <v>2146</v>
      </c>
      <c r="D70" s="3078" t="s">
        <v>1814</v>
      </c>
      <c r="E70" s="1913" t="str">
        <f t="shared" si="23"/>
        <v>NA</v>
      </c>
      <c r="F70" s="1913" t="str">
        <f t="shared" si="24"/>
        <v>NA</v>
      </c>
      <c r="G70" s="1913" t="str">
        <f t="shared" si="24"/>
        <v>NA</v>
      </c>
      <c r="H70" s="691" t="s">
        <v>2146</v>
      </c>
      <c r="I70" s="691" t="s">
        <v>2146</v>
      </c>
      <c r="J70" s="691" t="s">
        <v>2146</v>
      </c>
      <c r="K70" s="2911" t="s">
        <v>2146</v>
      </c>
    </row>
    <row r="71" spans="2:11" ht="18" customHeight="1" x14ac:dyDescent="0.2">
      <c r="B71" s="282" t="s">
        <v>1941</v>
      </c>
      <c r="C71" s="691" t="s">
        <v>2146</v>
      </c>
      <c r="D71" s="3078" t="s">
        <v>1814</v>
      </c>
      <c r="E71" s="1913" t="str">
        <f t="shared" si="23"/>
        <v>NA</v>
      </c>
      <c r="F71" s="1913" t="str">
        <f t="shared" si="24"/>
        <v>NA</v>
      </c>
      <c r="G71" s="1913" t="str">
        <f t="shared" si="24"/>
        <v>NA</v>
      </c>
      <c r="H71" s="691" t="s">
        <v>2146</v>
      </c>
      <c r="I71" s="691" t="s">
        <v>2146</v>
      </c>
      <c r="J71" s="691" t="s">
        <v>2146</v>
      </c>
      <c r="K71" s="2911" t="s">
        <v>2146</v>
      </c>
    </row>
    <row r="72" spans="2:11" ht="18" customHeight="1" x14ac:dyDescent="0.2">
      <c r="B72" s="282" t="s">
        <v>1943</v>
      </c>
      <c r="C72" s="691" t="s">
        <v>2146</v>
      </c>
      <c r="D72" s="3078" t="s">
        <v>1814</v>
      </c>
      <c r="E72" s="1913" t="str">
        <f t="shared" si="23"/>
        <v>NA</v>
      </c>
      <c r="F72" s="1913" t="str">
        <f t="shared" si="24"/>
        <v>NA</v>
      </c>
      <c r="G72" s="1913" t="str">
        <f t="shared" si="24"/>
        <v>NA</v>
      </c>
      <c r="H72" s="691" t="s">
        <v>2146</v>
      </c>
      <c r="I72" s="691" t="s">
        <v>2146</v>
      </c>
      <c r="J72" s="691" t="s">
        <v>2146</v>
      </c>
      <c r="K72" s="2911" t="s">
        <v>2146</v>
      </c>
    </row>
    <row r="73" spans="2:11" ht="18" customHeight="1" x14ac:dyDescent="0.2">
      <c r="B73" s="1246" t="s">
        <v>208</v>
      </c>
      <c r="C73" s="1913" t="str">
        <f>IF(SUM(C74:C77,C79:C81)=0,"NO",SUM(C74:C77,C79:C81))</f>
        <v>NO</v>
      </c>
      <c r="D73" s="3078" t="s">
        <v>1814</v>
      </c>
      <c r="E73" s="2108"/>
      <c r="F73" s="2108"/>
      <c r="G73" s="2108"/>
      <c r="H73" s="1913" t="str">
        <f>IF(SUM(H74:H77,H79,H81)=0,"IE",SUM(H74:H77,H79,H81))</f>
        <v>IE</v>
      </c>
      <c r="I73" s="1913" t="str">
        <f>IF(SUM(I74:I77,I79,I81)=0,"IE",SUM(I74:I77,I79,I81))</f>
        <v>IE</v>
      </c>
      <c r="J73" s="1913" t="str">
        <f>IF(SUM(J74:J77,J79,J81)=0,"IE",SUM(J74:J77,J79,J81))</f>
        <v>IE</v>
      </c>
      <c r="K73" s="2921"/>
    </row>
    <row r="74" spans="2:11" ht="18" customHeight="1" x14ac:dyDescent="0.2">
      <c r="B74" s="282" t="s">
        <v>167</v>
      </c>
      <c r="C74" s="691" t="s">
        <v>2153</v>
      </c>
      <c r="D74" s="3078" t="s">
        <v>1814</v>
      </c>
      <c r="E74" s="1913" t="str">
        <f t="shared" ref="E74:E80" si="25">IFERROR(H74*1000/$C74,"NA")</f>
        <v>NA</v>
      </c>
      <c r="F74" s="1913" t="str">
        <f t="shared" ref="F74:G80" si="26">IFERROR(I74*1000000/$C74,"NA")</f>
        <v>NA</v>
      </c>
      <c r="G74" s="1913" t="str">
        <f t="shared" si="26"/>
        <v>NA</v>
      </c>
      <c r="H74" s="691" t="s">
        <v>2153</v>
      </c>
      <c r="I74" s="691" t="s">
        <v>2153</v>
      </c>
      <c r="J74" s="691" t="s">
        <v>2153</v>
      </c>
      <c r="K74" s="2921"/>
    </row>
    <row r="75" spans="2:11" ht="18" customHeight="1" x14ac:dyDescent="0.2">
      <c r="B75" s="282" t="s">
        <v>168</v>
      </c>
      <c r="C75" s="691" t="s">
        <v>2153</v>
      </c>
      <c r="D75" s="3078" t="s">
        <v>1814</v>
      </c>
      <c r="E75" s="1913" t="str">
        <f t="shared" si="25"/>
        <v>NA</v>
      </c>
      <c r="F75" s="1913" t="str">
        <f t="shared" si="26"/>
        <v>NA</v>
      </c>
      <c r="G75" s="1913" t="str">
        <f t="shared" si="26"/>
        <v>NA</v>
      </c>
      <c r="H75" s="691" t="s">
        <v>2153</v>
      </c>
      <c r="I75" s="691" t="s">
        <v>2153</v>
      </c>
      <c r="J75" s="691" t="s">
        <v>2153</v>
      </c>
      <c r="K75" s="2921"/>
    </row>
    <row r="76" spans="2:11" ht="18" customHeight="1" x14ac:dyDescent="0.2">
      <c r="B76" s="282" t="s">
        <v>169</v>
      </c>
      <c r="C76" s="691" t="s">
        <v>2153</v>
      </c>
      <c r="D76" s="3078" t="s">
        <v>1814</v>
      </c>
      <c r="E76" s="1913" t="str">
        <f t="shared" si="25"/>
        <v>NA</v>
      </c>
      <c r="F76" s="1913" t="str">
        <f t="shared" si="26"/>
        <v>NA</v>
      </c>
      <c r="G76" s="1913" t="str">
        <f t="shared" si="26"/>
        <v>NA</v>
      </c>
      <c r="H76" s="691" t="s">
        <v>2153</v>
      </c>
      <c r="I76" s="691" t="s">
        <v>2153</v>
      </c>
      <c r="J76" s="691" t="s">
        <v>2153</v>
      </c>
      <c r="K76" s="2921"/>
    </row>
    <row r="77" spans="2:11" ht="18" customHeight="1" x14ac:dyDescent="0.2">
      <c r="B77" s="282" t="s">
        <v>170</v>
      </c>
      <c r="C77" s="1913" t="str">
        <f>C78</f>
        <v>NO</v>
      </c>
      <c r="D77" s="3078" t="s">
        <v>1814</v>
      </c>
      <c r="E77" s="1913" t="str">
        <f t="shared" si="25"/>
        <v>NA</v>
      </c>
      <c r="F77" s="1913" t="str">
        <f t="shared" si="26"/>
        <v>NA</v>
      </c>
      <c r="G77" s="1913" t="str">
        <f t="shared" si="26"/>
        <v>NA</v>
      </c>
      <c r="H77" s="1913" t="str">
        <f>H78</f>
        <v>NO</v>
      </c>
      <c r="I77" s="1913" t="str">
        <f>I78</f>
        <v>NO</v>
      </c>
      <c r="J77" s="1913" t="str">
        <f>J78</f>
        <v>NO</v>
      </c>
      <c r="K77" s="2921"/>
    </row>
    <row r="78" spans="2:11" ht="18" customHeight="1" x14ac:dyDescent="0.2">
      <c r="B78" s="3107" t="s">
        <v>2147</v>
      </c>
      <c r="C78" s="691" t="s">
        <v>2146</v>
      </c>
      <c r="D78" s="3078" t="s">
        <v>1814</v>
      </c>
      <c r="E78" s="1913" t="str">
        <f t="shared" si="25"/>
        <v>NA</v>
      </c>
      <c r="F78" s="1913" t="str">
        <f t="shared" si="26"/>
        <v>NA</v>
      </c>
      <c r="G78" s="1913" t="str">
        <f t="shared" si="26"/>
        <v>NA</v>
      </c>
      <c r="H78" s="691" t="s">
        <v>2146</v>
      </c>
      <c r="I78" s="691" t="s">
        <v>2146</v>
      </c>
      <c r="J78" s="691" t="s">
        <v>2146</v>
      </c>
      <c r="K78" s="2921"/>
    </row>
    <row r="79" spans="2:11" ht="18" customHeight="1" x14ac:dyDescent="0.2">
      <c r="B79" s="282" t="s">
        <v>134</v>
      </c>
      <c r="C79" s="691" t="s">
        <v>2153</v>
      </c>
      <c r="D79" s="3078" t="s">
        <v>1814</v>
      </c>
      <c r="E79" s="1913" t="str">
        <f t="shared" si="25"/>
        <v>NA</v>
      </c>
      <c r="F79" s="1913" t="str">
        <f t="shared" si="26"/>
        <v>NA</v>
      </c>
      <c r="G79" s="1913" t="str">
        <f t="shared" si="26"/>
        <v>NA</v>
      </c>
      <c r="H79" s="691" t="s">
        <v>2153</v>
      </c>
      <c r="I79" s="691" t="s">
        <v>2153</v>
      </c>
      <c r="J79" s="691" t="s">
        <v>2153</v>
      </c>
      <c r="K79" s="2921"/>
    </row>
    <row r="80" spans="2:11" ht="18" customHeight="1" x14ac:dyDescent="0.2">
      <c r="B80" s="282" t="s">
        <v>1943</v>
      </c>
      <c r="C80" s="691" t="s">
        <v>2146</v>
      </c>
      <c r="D80" s="3078" t="s">
        <v>1814</v>
      </c>
      <c r="E80" s="1913" t="str">
        <f t="shared" si="25"/>
        <v>NA</v>
      </c>
      <c r="F80" s="1913" t="str">
        <f t="shared" si="26"/>
        <v>NA</v>
      </c>
      <c r="G80" s="1913" t="str">
        <f t="shared" si="26"/>
        <v>NA</v>
      </c>
      <c r="H80" s="691" t="s">
        <v>2146</v>
      </c>
      <c r="I80" s="691" t="s">
        <v>2146</v>
      </c>
      <c r="J80" s="691" t="s">
        <v>2146</v>
      </c>
      <c r="K80" s="2921"/>
    </row>
    <row r="81" spans="2:11" ht="18" customHeight="1" x14ac:dyDescent="0.2">
      <c r="B81" s="282" t="s">
        <v>209</v>
      </c>
      <c r="C81" s="1913" t="str">
        <f>C82</f>
        <v>NO</v>
      </c>
      <c r="D81" s="3078" t="s">
        <v>1814</v>
      </c>
      <c r="E81" s="2108"/>
      <c r="F81" s="2108"/>
      <c r="G81" s="2108"/>
      <c r="H81" s="1913" t="str">
        <f>H82</f>
        <v>NO</v>
      </c>
      <c r="I81" s="1913" t="str">
        <f>I82</f>
        <v>NO</v>
      </c>
      <c r="J81" s="1913" t="str">
        <f>J82</f>
        <v>NO</v>
      </c>
      <c r="K81" s="2921"/>
    </row>
    <row r="82" spans="2:11" ht="18" customHeight="1" x14ac:dyDescent="0.2">
      <c r="B82" s="3107" t="s">
        <v>2147</v>
      </c>
      <c r="C82" s="691" t="s">
        <v>2146</v>
      </c>
      <c r="D82" s="3078" t="s">
        <v>1814</v>
      </c>
      <c r="E82" s="1913" t="str">
        <f t="shared" ref="E82" si="27">IFERROR(H82*1000/$C82,"NA")</f>
        <v>NA</v>
      </c>
      <c r="F82" s="1913" t="str">
        <f>IFERROR(I82*1000000/$C82,"NA")</f>
        <v>NA</v>
      </c>
      <c r="G82" s="1913" t="str">
        <f>IFERROR(J82*1000000/$C82,"NA")</f>
        <v>NA</v>
      </c>
      <c r="H82" s="691" t="s">
        <v>2146</v>
      </c>
      <c r="I82" s="691" t="s">
        <v>2146</v>
      </c>
      <c r="J82" s="691" t="s">
        <v>2146</v>
      </c>
      <c r="K82" s="2921"/>
    </row>
    <row r="83" spans="2:11" ht="18" customHeight="1" x14ac:dyDescent="0.2">
      <c r="B83" s="1246" t="s">
        <v>210</v>
      </c>
      <c r="C83" s="1913" t="str">
        <f>IF(SUM(C84:C87,C89:C91)=0,"NO",SUM(C84:C87,C89:C91))</f>
        <v>NO</v>
      </c>
      <c r="D83" s="3078" t="s">
        <v>1814</v>
      </c>
      <c r="E83" s="2108"/>
      <c r="F83" s="2108"/>
      <c r="G83" s="2108"/>
      <c r="H83" s="1913" t="str">
        <f>IF(SUM(H84:H87,H89,H91)=0,"IE",SUM(H84:H87,H89,H91))</f>
        <v>IE</v>
      </c>
      <c r="I83" s="1913" t="str">
        <f>IF(SUM(I84:I87,I89,I91)=0,"IE",SUM(I84:I87,I89,I91))</f>
        <v>IE</v>
      </c>
      <c r="J83" s="1913" t="str">
        <f>IF(SUM(J84:J87,J89,J91)=0,"IE",SUM(J84:J87,J89,J91))</f>
        <v>IE</v>
      </c>
      <c r="K83" s="2921"/>
    </row>
    <row r="84" spans="2:11" ht="18" customHeight="1" x14ac:dyDescent="0.2">
      <c r="B84" s="282" t="s">
        <v>190</v>
      </c>
      <c r="C84" s="691" t="s">
        <v>2153</v>
      </c>
      <c r="D84" s="3078" t="s">
        <v>1814</v>
      </c>
      <c r="E84" s="1913" t="str">
        <f t="shared" ref="E84:E86" si="28">IFERROR(H84*1000/$C84,"NA")</f>
        <v>NA</v>
      </c>
      <c r="F84" s="1913" t="str">
        <f t="shared" ref="F84:G86" si="29">IFERROR(I84*1000000/$C84,"NA")</f>
        <v>NA</v>
      </c>
      <c r="G84" s="1913" t="str">
        <f t="shared" si="29"/>
        <v>NA</v>
      </c>
      <c r="H84" s="691" t="s">
        <v>2153</v>
      </c>
      <c r="I84" s="691" t="s">
        <v>2153</v>
      </c>
      <c r="J84" s="691" t="s">
        <v>2153</v>
      </c>
      <c r="K84" s="2921"/>
    </row>
    <row r="85" spans="2:11" ht="18" customHeight="1" x14ac:dyDescent="0.2">
      <c r="B85" s="282" t="s">
        <v>191</v>
      </c>
      <c r="C85" s="691" t="s">
        <v>2153</v>
      </c>
      <c r="D85" s="3078" t="s">
        <v>1814</v>
      </c>
      <c r="E85" s="1913" t="str">
        <f t="shared" si="28"/>
        <v>NA</v>
      </c>
      <c r="F85" s="1913" t="str">
        <f t="shared" si="29"/>
        <v>NA</v>
      </c>
      <c r="G85" s="1913" t="str">
        <f t="shared" si="29"/>
        <v>NA</v>
      </c>
      <c r="H85" s="691" t="s">
        <v>2153</v>
      </c>
      <c r="I85" s="691" t="s">
        <v>2153</v>
      </c>
      <c r="J85" s="691" t="s">
        <v>2153</v>
      </c>
      <c r="K85" s="2921"/>
    </row>
    <row r="86" spans="2:11" ht="18" customHeight="1" x14ac:dyDescent="0.2">
      <c r="B86" s="282" t="s">
        <v>167</v>
      </c>
      <c r="C86" s="691" t="s">
        <v>2153</v>
      </c>
      <c r="D86" s="3078" t="s">
        <v>1814</v>
      </c>
      <c r="E86" s="1913" t="str">
        <f t="shared" si="28"/>
        <v>NA</v>
      </c>
      <c r="F86" s="1913" t="str">
        <f t="shared" si="29"/>
        <v>NA</v>
      </c>
      <c r="G86" s="1913" t="str">
        <f t="shared" si="29"/>
        <v>NA</v>
      </c>
      <c r="H86" s="691" t="s">
        <v>2153</v>
      </c>
      <c r="I86" s="691" t="s">
        <v>2153</v>
      </c>
      <c r="J86" s="691" t="s">
        <v>2153</v>
      </c>
      <c r="K86" s="2921"/>
    </row>
    <row r="87" spans="2:11" ht="18" customHeight="1" x14ac:dyDescent="0.2">
      <c r="B87" s="282" t="s">
        <v>192</v>
      </c>
      <c r="C87" s="1913" t="str">
        <f>C88</f>
        <v>NO</v>
      </c>
      <c r="D87" s="3078" t="s">
        <v>1814</v>
      </c>
      <c r="E87" s="2108"/>
      <c r="F87" s="2108"/>
      <c r="G87" s="2108"/>
      <c r="H87" s="1913" t="str">
        <f>H88</f>
        <v>NO</v>
      </c>
      <c r="I87" s="1913" t="str">
        <f>I88</f>
        <v>NO</v>
      </c>
      <c r="J87" s="1913" t="str">
        <f>J88</f>
        <v>NO</v>
      </c>
      <c r="K87" s="2921"/>
    </row>
    <row r="88" spans="2:11" ht="18" customHeight="1" x14ac:dyDescent="0.2">
      <c r="B88" s="3107" t="s">
        <v>2147</v>
      </c>
      <c r="C88" s="691" t="s">
        <v>2146</v>
      </c>
      <c r="D88" s="3078" t="s">
        <v>1814</v>
      </c>
      <c r="E88" s="1913" t="str">
        <f t="shared" ref="E88:E92" si="30">IFERROR(H88*1000/$C88,"NA")</f>
        <v>NA</v>
      </c>
      <c r="F88" s="1913" t="str">
        <f t="shared" ref="F88:G92" si="31">IFERROR(I88*1000000/$C88,"NA")</f>
        <v>NA</v>
      </c>
      <c r="G88" s="1913" t="str">
        <f t="shared" si="31"/>
        <v>NA</v>
      </c>
      <c r="H88" s="691" t="s">
        <v>2146</v>
      </c>
      <c r="I88" s="691" t="s">
        <v>2146</v>
      </c>
      <c r="J88" s="691" t="s">
        <v>2146</v>
      </c>
      <c r="K88" s="2921"/>
    </row>
    <row r="89" spans="2:11" ht="18" customHeight="1" x14ac:dyDescent="0.2">
      <c r="B89" s="282" t="s">
        <v>134</v>
      </c>
      <c r="C89" s="691" t="s">
        <v>2153</v>
      </c>
      <c r="D89" s="3078" t="s">
        <v>1814</v>
      </c>
      <c r="E89" s="1913" t="str">
        <f t="shared" si="30"/>
        <v>NA</v>
      </c>
      <c r="F89" s="1913" t="str">
        <f t="shared" si="31"/>
        <v>NA</v>
      </c>
      <c r="G89" s="1913" t="str">
        <f t="shared" si="31"/>
        <v>NA</v>
      </c>
      <c r="H89" s="691" t="s">
        <v>2153</v>
      </c>
      <c r="I89" s="691" t="s">
        <v>2153</v>
      </c>
      <c r="J89" s="691" t="s">
        <v>2153</v>
      </c>
      <c r="K89" s="2921"/>
    </row>
    <row r="90" spans="2:11" ht="18" customHeight="1" x14ac:dyDescent="0.2">
      <c r="B90" s="282" t="s">
        <v>199</v>
      </c>
      <c r="C90" s="691" t="s">
        <v>2146</v>
      </c>
      <c r="D90" s="3078" t="s">
        <v>1814</v>
      </c>
      <c r="E90" s="1913" t="str">
        <f t="shared" si="30"/>
        <v>NA</v>
      </c>
      <c r="F90" s="1913" t="str">
        <f t="shared" si="31"/>
        <v>NA</v>
      </c>
      <c r="G90" s="1913" t="str">
        <f t="shared" si="31"/>
        <v>NA</v>
      </c>
      <c r="H90" s="691" t="s">
        <v>2146</v>
      </c>
      <c r="I90" s="691" t="s">
        <v>2146</v>
      </c>
      <c r="J90" s="691" t="s">
        <v>2146</v>
      </c>
      <c r="K90" s="2921"/>
    </row>
    <row r="91" spans="2:11" ht="18" customHeight="1" x14ac:dyDescent="0.2">
      <c r="B91" s="282" t="s">
        <v>209</v>
      </c>
      <c r="C91" s="1913" t="str">
        <f>C92</f>
        <v>NO</v>
      </c>
      <c r="D91" s="3078" t="s">
        <v>1814</v>
      </c>
      <c r="E91" s="1913" t="str">
        <f t="shared" si="30"/>
        <v>NA</v>
      </c>
      <c r="F91" s="1913" t="str">
        <f t="shared" si="31"/>
        <v>NA</v>
      </c>
      <c r="G91" s="1913" t="str">
        <f t="shared" si="31"/>
        <v>NA</v>
      </c>
      <c r="H91" s="1913" t="str">
        <f>H92</f>
        <v>NO</v>
      </c>
      <c r="I91" s="1913" t="str">
        <f>I92</f>
        <v>NO</v>
      </c>
      <c r="J91" s="1913" t="str">
        <f>J92</f>
        <v>NO</v>
      </c>
      <c r="K91" s="2921"/>
    </row>
    <row r="92" spans="2:11" ht="18" customHeight="1" thickBot="1" x14ac:dyDescent="0.25">
      <c r="B92" s="3108" t="s">
        <v>2147</v>
      </c>
      <c r="C92" s="1559" t="s">
        <v>2146</v>
      </c>
      <c r="D92" s="2880" t="s">
        <v>1814</v>
      </c>
      <c r="E92" s="3104" t="str">
        <f t="shared" si="30"/>
        <v>NA</v>
      </c>
      <c r="F92" s="3104" t="str">
        <f t="shared" si="31"/>
        <v>NA</v>
      </c>
      <c r="G92" s="3104" t="str">
        <f t="shared" si="31"/>
        <v>NA</v>
      </c>
      <c r="H92" s="1559" t="s">
        <v>2146</v>
      </c>
      <c r="I92" s="1559" t="s">
        <v>2146</v>
      </c>
      <c r="J92" s="1559" t="s">
        <v>2146</v>
      </c>
      <c r="K92" s="3112"/>
    </row>
    <row r="93" spans="2:11" ht="18" customHeight="1" x14ac:dyDescent="0.2">
      <c r="B93" s="1276" t="s">
        <v>211</v>
      </c>
      <c r="C93" s="3109">
        <f>IF(SUM(C94:C99)=0,"NO",SUM(C94:C99))</f>
        <v>9324.9496410790671</v>
      </c>
      <c r="D93" s="3078" t="s">
        <v>1814</v>
      </c>
      <c r="E93" s="2134"/>
      <c r="F93" s="2134"/>
      <c r="G93" s="2134"/>
      <c r="H93" s="3109">
        <f>IF(SUM(H94:H98)=0,"NO",SUM(H94:H98))</f>
        <v>649.05487369003185</v>
      </c>
      <c r="I93" s="3109">
        <f>IF(SUM(I94:I99)=0,"NO",SUM(I94:I99))</f>
        <v>2.2270184726905787E-2</v>
      </c>
      <c r="J93" s="3113">
        <f>IF(SUM(J94:J99)=0,"NO",SUM(J94:J99))</f>
        <v>1.7996913127003019E-2</v>
      </c>
      <c r="K93" s="449" t="str">
        <f>IF(SUM(K94:K99)=0,"NO",SUM(K94:K99))</f>
        <v>NO</v>
      </c>
    </row>
    <row r="94" spans="2:11" ht="18" customHeight="1" x14ac:dyDescent="0.2">
      <c r="B94" s="282" t="s">
        <v>132</v>
      </c>
      <c r="C94" s="691">
        <f>IF(SUM(C102,C110)=0,"NO",SUM(C102,C110))</f>
        <v>9324.9405415941455</v>
      </c>
      <c r="D94" s="1913" t="s">
        <v>1814</v>
      </c>
      <c r="E94" s="1913">
        <f t="shared" ref="E94:E99" si="32">IFERROR(H94*1000/$C94,"NA")</f>
        <v>69.604183618641343</v>
      </c>
      <c r="F94" s="1913">
        <f t="shared" ref="F94:G99" si="33">IFERROR(I94*1000000/$C94,"NA")</f>
        <v>2.3874649640990495</v>
      </c>
      <c r="G94" s="1913">
        <f t="shared" si="33"/>
        <v>1.9299732527272071</v>
      </c>
      <c r="H94" s="691">
        <f t="shared" ref="H94:K97" si="34">IF(SUM(H102,H110)=0,"NO",SUM(H102,H110))</f>
        <v>649.05487369003185</v>
      </c>
      <c r="I94" s="691">
        <f t="shared" si="34"/>
        <v>2.2262968835362835E-2</v>
      </c>
      <c r="J94" s="691">
        <f t="shared" si="34"/>
        <v>1.7996885828548255E-2</v>
      </c>
      <c r="K94" s="2911" t="str">
        <f t="shared" si="34"/>
        <v>NO</v>
      </c>
    </row>
    <row r="95" spans="2:11" ht="18" customHeight="1" x14ac:dyDescent="0.2">
      <c r="B95" s="282" t="s">
        <v>133</v>
      </c>
      <c r="C95" s="691" t="str">
        <f>IF(SUM(C103,C111)=0,"NO",SUM(C103,C111))</f>
        <v>NO</v>
      </c>
      <c r="D95" s="1913" t="s">
        <v>1814</v>
      </c>
      <c r="E95" s="1913" t="str">
        <f t="shared" si="32"/>
        <v>NA</v>
      </c>
      <c r="F95" s="1913" t="str">
        <f t="shared" si="33"/>
        <v>NA</v>
      </c>
      <c r="G95" s="1913" t="str">
        <f t="shared" si="33"/>
        <v>NA</v>
      </c>
      <c r="H95" s="691" t="str">
        <f t="shared" si="34"/>
        <v>NO</v>
      </c>
      <c r="I95" s="691" t="str">
        <f t="shared" si="34"/>
        <v>NO</v>
      </c>
      <c r="J95" s="691" t="str">
        <f t="shared" si="34"/>
        <v>NO</v>
      </c>
      <c r="K95" s="2911" t="str">
        <f t="shared" si="34"/>
        <v>NO</v>
      </c>
    </row>
    <row r="96" spans="2:11" ht="18" customHeight="1" x14ac:dyDescent="0.2">
      <c r="B96" s="282" t="s">
        <v>134</v>
      </c>
      <c r="C96" s="691" t="str">
        <f>IF(SUM(C104,C112)=0,"NO",SUM(C104,C112))</f>
        <v>NO</v>
      </c>
      <c r="D96" s="1913" t="s">
        <v>1814</v>
      </c>
      <c r="E96" s="1913" t="str">
        <f t="shared" si="32"/>
        <v>NA</v>
      </c>
      <c r="F96" s="1913" t="str">
        <f t="shared" si="33"/>
        <v>NA</v>
      </c>
      <c r="G96" s="1913" t="str">
        <f t="shared" si="33"/>
        <v>NA</v>
      </c>
      <c r="H96" s="691" t="str">
        <f t="shared" si="34"/>
        <v>NO</v>
      </c>
      <c r="I96" s="691" t="str">
        <f t="shared" si="34"/>
        <v>NO</v>
      </c>
      <c r="J96" s="691" t="str">
        <f t="shared" si="34"/>
        <v>NO</v>
      </c>
      <c r="K96" s="2911" t="str">
        <f t="shared" si="34"/>
        <v>NO</v>
      </c>
    </row>
    <row r="97" spans="2:11" ht="18" customHeight="1" x14ac:dyDescent="0.2">
      <c r="B97" s="282" t="s">
        <v>198</v>
      </c>
      <c r="C97" s="691" t="str">
        <f>IF(SUM(C105,C113)=0,"NO",SUM(C105,C113))</f>
        <v>NO</v>
      </c>
      <c r="D97" s="1913" t="s">
        <v>1814</v>
      </c>
      <c r="E97" s="1913" t="str">
        <f t="shared" si="32"/>
        <v>NA</v>
      </c>
      <c r="F97" s="1913" t="str">
        <f t="shared" si="33"/>
        <v>NA</v>
      </c>
      <c r="G97" s="1913" t="str">
        <f t="shared" si="33"/>
        <v>NA</v>
      </c>
      <c r="H97" s="691" t="str">
        <f t="shared" si="34"/>
        <v>NO</v>
      </c>
      <c r="I97" s="691" t="str">
        <f t="shared" si="34"/>
        <v>NO</v>
      </c>
      <c r="J97" s="691" t="str">
        <f t="shared" si="34"/>
        <v>NO</v>
      </c>
      <c r="K97" s="2911" t="str">
        <f t="shared" si="34"/>
        <v>NO</v>
      </c>
    </row>
    <row r="98" spans="2:11" ht="18" customHeight="1" x14ac:dyDescent="0.2">
      <c r="B98" s="282" t="s">
        <v>1941</v>
      </c>
      <c r="C98" s="691" t="str">
        <f>IF(SUM(C106)=0,"NO",SUM(C106))</f>
        <v>NO</v>
      </c>
      <c r="D98" s="1913" t="s">
        <v>1814</v>
      </c>
      <c r="E98" s="1913" t="str">
        <f t="shared" si="32"/>
        <v>NA</v>
      </c>
      <c r="F98" s="1913" t="str">
        <f t="shared" si="33"/>
        <v>NA</v>
      </c>
      <c r="G98" s="1913" t="str">
        <f t="shared" si="33"/>
        <v>NA</v>
      </c>
      <c r="H98" s="691" t="str">
        <f>IF(SUM(H106)=0,"NO",SUM(H106))</f>
        <v>NO</v>
      </c>
      <c r="I98" s="691" t="str">
        <f>IF(SUM(I106)=0,"NO",SUM(I106))</f>
        <v>NO</v>
      </c>
      <c r="J98" s="691" t="str">
        <f>IF(SUM(J106)=0,"NO",SUM(J106))</f>
        <v>NO</v>
      </c>
      <c r="K98" s="2911" t="str">
        <f>IF(SUM(K106)=0,"NO",SUM(K106))</f>
        <v>NO</v>
      </c>
    </row>
    <row r="99" spans="2:11" ht="18" customHeight="1" x14ac:dyDescent="0.2">
      <c r="B99" s="282" t="s">
        <v>1943</v>
      </c>
      <c r="C99" s="691">
        <f>IF(SUM(C107,C114)=0,"NO",SUM(C107,C114))</f>
        <v>9.0994849217558901E-3</v>
      </c>
      <c r="D99" s="1913" t="s">
        <v>1814</v>
      </c>
      <c r="E99" s="1913">
        <f t="shared" si="32"/>
        <v>67.260000000000005</v>
      </c>
      <c r="F99" s="1913">
        <f t="shared" si="33"/>
        <v>793.00000000000023</v>
      </c>
      <c r="G99" s="1913">
        <f t="shared" si="33"/>
        <v>3.0000000000000004</v>
      </c>
      <c r="H99" s="691">
        <f>IF(SUM(H107,H114)=0,"NO",SUM(H107,H114))</f>
        <v>6.1203135583730122E-4</v>
      </c>
      <c r="I99" s="691">
        <f>IF(SUM(I107,I114)=0,"NO",SUM(I107,I114))</f>
        <v>7.2158915429524223E-6</v>
      </c>
      <c r="J99" s="691">
        <f>IF(SUM(J107,J114)=0,"NO",SUM(J107,J114))</f>
        <v>2.7298454765267675E-8</v>
      </c>
      <c r="K99" s="2911" t="str">
        <f>IF(SUM(K107,K114)=0,"NO",SUM(K107,K114))</f>
        <v>NO</v>
      </c>
    </row>
    <row r="100" spans="2:11" ht="18" customHeight="1" x14ac:dyDescent="0.2">
      <c r="B100" s="1247" t="s">
        <v>212</v>
      </c>
      <c r="C100" s="3078" t="str">
        <f>C101</f>
        <v>NO</v>
      </c>
      <c r="D100" s="1913" t="s">
        <v>1814</v>
      </c>
      <c r="E100" s="1931"/>
      <c r="F100" s="1931"/>
      <c r="G100" s="1931"/>
      <c r="H100" s="3078" t="str">
        <f>H101</f>
        <v>NO</v>
      </c>
      <c r="I100" s="3078" t="str">
        <f>I101</f>
        <v>NO</v>
      </c>
      <c r="J100" s="3110" t="str">
        <f>J101</f>
        <v>NO</v>
      </c>
      <c r="K100" s="3085" t="str">
        <f>K101</f>
        <v>NO</v>
      </c>
    </row>
    <row r="101" spans="2:11" ht="18" customHeight="1" x14ac:dyDescent="0.2">
      <c r="B101" s="3125" t="s">
        <v>2147</v>
      </c>
      <c r="C101" s="3099" t="str">
        <f>IF(SUM(C102:C107)=0,"NO",SUM(C102:C107))</f>
        <v>NO</v>
      </c>
      <c r="D101" s="1913" t="s">
        <v>1814</v>
      </c>
      <c r="E101" s="628"/>
      <c r="F101" s="628"/>
      <c r="G101" s="628"/>
      <c r="H101" s="3099" t="str">
        <f>IF(SUM(H102:H106)=0,"NO",SUM(H102:H106))</f>
        <v>NO</v>
      </c>
      <c r="I101" s="3099" t="str">
        <f>IF(SUM(I102:I107)=0,"NO",SUM(I102:I107))</f>
        <v>NO</v>
      </c>
      <c r="J101" s="3099" t="str">
        <f>IF(SUM(J102:J107)=0,"NO",SUM(J102:J107))</f>
        <v>NO</v>
      </c>
      <c r="K101" s="3100" t="str">
        <f>IF(SUM(K102:K107)=0,"NO",SUM(K102:K107))</f>
        <v>NO</v>
      </c>
    </row>
    <row r="102" spans="2:11" ht="18" customHeight="1" x14ac:dyDescent="0.2">
      <c r="B102" s="282" t="s">
        <v>132</v>
      </c>
      <c r="C102" s="691" t="s">
        <v>2146</v>
      </c>
      <c r="D102" s="1913" t="s">
        <v>1814</v>
      </c>
      <c r="E102" s="1913" t="str">
        <f t="shared" ref="E102:E107" si="35">IFERROR(H102*1000/$C102,"NA")</f>
        <v>NA</v>
      </c>
      <c r="F102" s="1913" t="str">
        <f t="shared" ref="F102:G107" si="36">IFERROR(I102*1000000/$C102,"NA")</f>
        <v>NA</v>
      </c>
      <c r="G102" s="1913" t="str">
        <f t="shared" si="36"/>
        <v>NA</v>
      </c>
      <c r="H102" s="691" t="s">
        <v>2146</v>
      </c>
      <c r="I102" s="691" t="s">
        <v>2146</v>
      </c>
      <c r="J102" s="691" t="s">
        <v>2146</v>
      </c>
      <c r="K102" s="2911" t="s">
        <v>2146</v>
      </c>
    </row>
    <row r="103" spans="2:11" ht="18" customHeight="1" x14ac:dyDescent="0.2">
      <c r="B103" s="282" t="s">
        <v>133</v>
      </c>
      <c r="C103" s="691" t="s">
        <v>2146</v>
      </c>
      <c r="D103" s="1913" t="s">
        <v>1814</v>
      </c>
      <c r="E103" s="1913" t="str">
        <f t="shared" si="35"/>
        <v>NA</v>
      </c>
      <c r="F103" s="1913" t="str">
        <f t="shared" si="36"/>
        <v>NA</v>
      </c>
      <c r="G103" s="1913" t="str">
        <f t="shared" si="36"/>
        <v>NA</v>
      </c>
      <c r="H103" s="691" t="s">
        <v>2146</v>
      </c>
      <c r="I103" s="691" t="s">
        <v>2146</v>
      </c>
      <c r="J103" s="691" t="s">
        <v>2146</v>
      </c>
      <c r="K103" s="2911" t="s">
        <v>2146</v>
      </c>
    </row>
    <row r="104" spans="2:11" ht="18" customHeight="1" x14ac:dyDescent="0.2">
      <c r="B104" s="282" t="s">
        <v>134</v>
      </c>
      <c r="C104" s="691" t="s">
        <v>2146</v>
      </c>
      <c r="D104" s="1913" t="s">
        <v>1814</v>
      </c>
      <c r="E104" s="1913" t="str">
        <f t="shared" si="35"/>
        <v>NA</v>
      </c>
      <c r="F104" s="1913" t="str">
        <f t="shared" si="36"/>
        <v>NA</v>
      </c>
      <c r="G104" s="1913" t="str">
        <f t="shared" si="36"/>
        <v>NA</v>
      </c>
      <c r="H104" s="691" t="s">
        <v>2146</v>
      </c>
      <c r="I104" s="691" t="s">
        <v>2146</v>
      </c>
      <c r="J104" s="691" t="s">
        <v>2146</v>
      </c>
      <c r="K104" s="2911" t="s">
        <v>2146</v>
      </c>
    </row>
    <row r="105" spans="2:11" ht="18" customHeight="1" x14ac:dyDescent="0.2">
      <c r="B105" s="282" t="s">
        <v>198</v>
      </c>
      <c r="C105" s="691" t="s">
        <v>2146</v>
      </c>
      <c r="D105" s="1913" t="s">
        <v>1814</v>
      </c>
      <c r="E105" s="1913" t="str">
        <f t="shared" si="35"/>
        <v>NA</v>
      </c>
      <c r="F105" s="1913" t="str">
        <f t="shared" si="36"/>
        <v>NA</v>
      </c>
      <c r="G105" s="1913" t="str">
        <f t="shared" si="36"/>
        <v>NA</v>
      </c>
      <c r="H105" s="691" t="s">
        <v>2146</v>
      </c>
      <c r="I105" s="691" t="s">
        <v>2146</v>
      </c>
      <c r="J105" s="691" t="s">
        <v>2146</v>
      </c>
      <c r="K105" s="2911" t="s">
        <v>2146</v>
      </c>
    </row>
    <row r="106" spans="2:11" ht="18" customHeight="1" x14ac:dyDescent="0.2">
      <c r="B106" s="282" t="s">
        <v>1941</v>
      </c>
      <c r="C106" s="691" t="s">
        <v>2146</v>
      </c>
      <c r="D106" s="1913" t="s">
        <v>1814</v>
      </c>
      <c r="E106" s="1913" t="str">
        <f t="shared" si="35"/>
        <v>NA</v>
      </c>
      <c r="F106" s="1913" t="str">
        <f t="shared" si="36"/>
        <v>NA</v>
      </c>
      <c r="G106" s="1913" t="str">
        <f t="shared" si="36"/>
        <v>NA</v>
      </c>
      <c r="H106" s="691" t="s">
        <v>2146</v>
      </c>
      <c r="I106" s="691" t="s">
        <v>2146</v>
      </c>
      <c r="J106" s="691" t="s">
        <v>2146</v>
      </c>
      <c r="K106" s="2911" t="s">
        <v>2146</v>
      </c>
    </row>
    <row r="107" spans="2:11" ht="18" customHeight="1" x14ac:dyDescent="0.2">
      <c r="B107" s="282" t="s">
        <v>1943</v>
      </c>
      <c r="C107" s="691" t="s">
        <v>2146</v>
      </c>
      <c r="D107" s="1913" t="s">
        <v>1814</v>
      </c>
      <c r="E107" s="1913" t="str">
        <f t="shared" si="35"/>
        <v>NA</v>
      </c>
      <c r="F107" s="1913" t="str">
        <f t="shared" si="36"/>
        <v>NA</v>
      </c>
      <c r="G107" s="1913" t="str">
        <f t="shared" si="36"/>
        <v>NA</v>
      </c>
      <c r="H107" s="691" t="s">
        <v>2146</v>
      </c>
      <c r="I107" s="691" t="s">
        <v>2146</v>
      </c>
      <c r="J107" s="691" t="s">
        <v>2146</v>
      </c>
      <c r="K107" s="2911" t="s">
        <v>2146</v>
      </c>
    </row>
    <row r="108" spans="2:11" ht="18" customHeight="1" x14ac:dyDescent="0.2">
      <c r="B108" s="1247" t="s">
        <v>213</v>
      </c>
      <c r="C108" s="3078">
        <f>C109</f>
        <v>9324.9496410790671</v>
      </c>
      <c r="D108" s="1913" t="s">
        <v>1814</v>
      </c>
      <c r="E108" s="1931"/>
      <c r="F108" s="1931"/>
      <c r="G108" s="1931"/>
      <c r="H108" s="3078">
        <f>H109</f>
        <v>649.05487369003185</v>
      </c>
      <c r="I108" s="3078">
        <f>I109</f>
        <v>2.2270184726905787E-2</v>
      </c>
      <c r="J108" s="3110">
        <f>J109</f>
        <v>1.7996913127003019E-2</v>
      </c>
      <c r="K108" s="2921"/>
    </row>
    <row r="109" spans="2:11" ht="18" customHeight="1" x14ac:dyDescent="0.2">
      <c r="B109" s="3125" t="s">
        <v>2149</v>
      </c>
      <c r="C109" s="3099">
        <f>IF(SUM(C110:C114)=0,"NO",SUM(C110:C114))</f>
        <v>9324.9496410790671</v>
      </c>
      <c r="D109" s="1913" t="s">
        <v>1814</v>
      </c>
      <c r="E109" s="628"/>
      <c r="F109" s="628"/>
      <c r="G109" s="628"/>
      <c r="H109" s="3099">
        <f>IF(SUM(H110:H113)=0,"NO",SUM(H110:H113))</f>
        <v>649.05487369003185</v>
      </c>
      <c r="I109" s="3099">
        <f>IF(SUM(I110:I114)=0,"NO",SUM(I110:I114))</f>
        <v>2.2270184726905787E-2</v>
      </c>
      <c r="J109" s="3099">
        <f>IF(SUM(J110:J114)=0,"NO",SUM(J110:J114))</f>
        <v>1.7996913127003019E-2</v>
      </c>
      <c r="K109" s="2921"/>
    </row>
    <row r="110" spans="2:11" ht="18" customHeight="1" x14ac:dyDescent="0.2">
      <c r="B110" s="282" t="s">
        <v>132</v>
      </c>
      <c r="C110" s="691">
        <v>9324.9405415941455</v>
      </c>
      <c r="D110" s="1913" t="s">
        <v>1814</v>
      </c>
      <c r="E110" s="1913">
        <f t="shared" ref="E110:E114" si="37">IFERROR(H110*1000/$C110,"NA")</f>
        <v>69.604183618641343</v>
      </c>
      <c r="F110" s="1913">
        <f t="shared" ref="F110:G114" si="38">IFERROR(I110*1000000/$C110,"NA")</f>
        <v>2.3874649640990495</v>
      </c>
      <c r="G110" s="1913">
        <f t="shared" si="38"/>
        <v>1.9299732527272071</v>
      </c>
      <c r="H110" s="691">
        <v>649.05487369003185</v>
      </c>
      <c r="I110" s="691">
        <v>2.2262968835362835E-2</v>
      </c>
      <c r="J110" s="691">
        <v>1.7996885828548255E-2</v>
      </c>
      <c r="K110" s="3114"/>
    </row>
    <row r="111" spans="2:11" ht="18" customHeight="1" x14ac:dyDescent="0.2">
      <c r="B111" s="282" t="s">
        <v>133</v>
      </c>
      <c r="C111" s="691" t="s">
        <v>2146</v>
      </c>
      <c r="D111" s="1913" t="s">
        <v>1814</v>
      </c>
      <c r="E111" s="1913" t="str">
        <f t="shared" si="37"/>
        <v>NA</v>
      </c>
      <c r="F111" s="1913" t="str">
        <f t="shared" si="38"/>
        <v>NA</v>
      </c>
      <c r="G111" s="1913" t="str">
        <f t="shared" si="38"/>
        <v>NA</v>
      </c>
      <c r="H111" s="691" t="s">
        <v>2146</v>
      </c>
      <c r="I111" s="691" t="s">
        <v>2146</v>
      </c>
      <c r="J111" s="691" t="s">
        <v>2146</v>
      </c>
      <c r="K111" s="3114"/>
    </row>
    <row r="112" spans="2:11" ht="18" customHeight="1" x14ac:dyDescent="0.2">
      <c r="B112" s="282" t="s">
        <v>134</v>
      </c>
      <c r="C112" s="691" t="s">
        <v>2146</v>
      </c>
      <c r="D112" s="1913" t="s">
        <v>1814</v>
      </c>
      <c r="E112" s="1913" t="str">
        <f t="shared" si="37"/>
        <v>NA</v>
      </c>
      <c r="F112" s="1913" t="str">
        <f t="shared" si="38"/>
        <v>NA</v>
      </c>
      <c r="G112" s="1913" t="str">
        <f t="shared" si="38"/>
        <v>NA</v>
      </c>
      <c r="H112" s="691" t="s">
        <v>2146</v>
      </c>
      <c r="I112" s="691" t="s">
        <v>2146</v>
      </c>
      <c r="J112" s="691" t="s">
        <v>2146</v>
      </c>
      <c r="K112" s="3114"/>
    </row>
    <row r="113" spans="2:11" ht="18" customHeight="1" x14ac:dyDescent="0.2">
      <c r="B113" s="282" t="s">
        <v>135</v>
      </c>
      <c r="C113" s="691" t="s">
        <v>2146</v>
      </c>
      <c r="D113" s="1913" t="s">
        <v>1814</v>
      </c>
      <c r="E113" s="1913" t="str">
        <f t="shared" si="37"/>
        <v>NA</v>
      </c>
      <c r="F113" s="1913" t="str">
        <f t="shared" si="38"/>
        <v>NA</v>
      </c>
      <c r="G113" s="1913" t="str">
        <f t="shared" si="38"/>
        <v>NA</v>
      </c>
      <c r="H113" s="691" t="s">
        <v>2146</v>
      </c>
      <c r="I113" s="691" t="s">
        <v>2146</v>
      </c>
      <c r="J113" s="691" t="s">
        <v>2146</v>
      </c>
      <c r="K113" s="3114"/>
    </row>
    <row r="114" spans="2:11" ht="18" customHeight="1" thickBot="1" x14ac:dyDescent="0.25">
      <c r="B114" s="2185" t="s">
        <v>199</v>
      </c>
      <c r="C114" s="1559">
        <v>9.0994849217558901E-3</v>
      </c>
      <c r="D114" s="2880" t="s">
        <v>1814</v>
      </c>
      <c r="E114" s="2880">
        <f t="shared" si="37"/>
        <v>67.260000000000005</v>
      </c>
      <c r="F114" s="2880">
        <f t="shared" si="38"/>
        <v>793.00000000000023</v>
      </c>
      <c r="G114" s="2880">
        <f t="shared" si="38"/>
        <v>3.0000000000000004</v>
      </c>
      <c r="H114" s="1559">
        <v>6.1203135583730122E-4</v>
      </c>
      <c r="I114" s="1559">
        <v>7.2158915429524223E-6</v>
      </c>
      <c r="J114" s="1559">
        <v>2.7298454765267675E-8</v>
      </c>
      <c r="K114" s="3115"/>
    </row>
    <row r="115" spans="2:11" s="2195" customFormat="1" ht="18" customHeight="1" x14ac:dyDescent="0.2">
      <c r="B115" s="2194" t="s">
        <v>1945</v>
      </c>
      <c r="C115" s="3116"/>
      <c r="D115" s="3117"/>
      <c r="E115" s="3117"/>
      <c r="F115" s="3117"/>
      <c r="G115" s="3117"/>
      <c r="H115" s="3117"/>
      <c r="I115" s="3117"/>
      <c r="J115" s="3117"/>
      <c r="K115" s="3118"/>
    </row>
    <row r="116" spans="2:11" s="2195" customFormat="1" ht="18" customHeight="1" x14ac:dyDescent="0.2">
      <c r="B116" s="2196" t="s">
        <v>214</v>
      </c>
      <c r="C116" s="3119"/>
      <c r="D116" s="3120"/>
      <c r="E116" s="3120"/>
      <c r="F116" s="3120"/>
      <c r="G116" s="3120"/>
      <c r="H116" s="3120"/>
      <c r="I116" s="3120"/>
      <c r="J116" s="3120"/>
      <c r="K116" s="3121"/>
    </row>
    <row r="117" spans="2:11" s="2195" customFormat="1" ht="18" customHeight="1" x14ac:dyDescent="0.2">
      <c r="B117" s="282" t="s">
        <v>1943</v>
      </c>
      <c r="C117" s="3122" t="s">
        <v>2146</v>
      </c>
      <c r="D117" s="1913" t="s">
        <v>1814</v>
      </c>
      <c r="E117" s="1913" t="str">
        <f t="shared" ref="E117:E118" si="39">IFERROR(H117*1000/$C117,"NA")</f>
        <v>NA</v>
      </c>
      <c r="F117" s="1913" t="str">
        <f>IFERROR(I117*1000000/$C117,"NA")</f>
        <v>NA</v>
      </c>
      <c r="G117" s="1913" t="str">
        <f>IFERROR(J117*1000000/$C117,"NA")</f>
        <v>NA</v>
      </c>
      <c r="H117" s="3122" t="s">
        <v>2146</v>
      </c>
      <c r="I117" s="3122" t="s">
        <v>2146</v>
      </c>
      <c r="J117" s="3122" t="s">
        <v>2146</v>
      </c>
      <c r="K117" s="2911" t="s">
        <v>2146</v>
      </c>
    </row>
    <row r="118" spans="2:11" s="2195" customFormat="1" ht="18" customHeight="1" thickBot="1" x14ac:dyDescent="0.25">
      <c r="B118" s="2185" t="s">
        <v>1946</v>
      </c>
      <c r="C118" s="3123" t="s">
        <v>2146</v>
      </c>
      <c r="D118" s="2880" t="s">
        <v>1814</v>
      </c>
      <c r="E118" s="2880" t="str">
        <f t="shared" si="39"/>
        <v>NA</v>
      </c>
      <c r="F118" s="2880" t="str">
        <f>IFERROR(I118*1000000/$C118,"NA")</f>
        <v>NA</v>
      </c>
      <c r="G118" s="2880" t="str">
        <f>IFERROR(J118*1000000/$C118,"NA")</f>
        <v>NA</v>
      </c>
      <c r="H118" s="3123" t="s">
        <v>2146</v>
      </c>
      <c r="I118" s="3123" t="s">
        <v>2146</v>
      </c>
      <c r="J118" s="3123" t="s">
        <v>2146</v>
      </c>
      <c r="K118" s="1561" t="s">
        <v>2146</v>
      </c>
    </row>
    <row r="119" spans="2:11" s="2195" customFormat="1" ht="12" customHeight="1" x14ac:dyDescent="0.2">
      <c r="B119" s="2197"/>
      <c r="C119" s="2198"/>
      <c r="D119" s="2198"/>
      <c r="E119" s="2198"/>
      <c r="F119" s="2198"/>
      <c r="G119" s="2198"/>
      <c r="H119" s="2198"/>
      <c r="I119" s="2198"/>
      <c r="J119" s="2198"/>
      <c r="K119" s="2198"/>
    </row>
    <row r="120" spans="2:11" ht="12" customHeight="1" x14ac:dyDescent="0.2">
      <c r="B120" s="994"/>
      <c r="C120" s="994"/>
      <c r="D120" s="994"/>
    </row>
    <row r="121" spans="2:11" ht="12" customHeight="1" x14ac:dyDescent="0.2">
      <c r="B121" s="72"/>
    </row>
    <row r="122" spans="2:11" ht="12" customHeight="1" x14ac:dyDescent="0.2">
      <c r="B122" s="994"/>
      <c r="C122" s="994"/>
      <c r="D122" s="994"/>
      <c r="E122" s="994"/>
      <c r="F122" s="994"/>
      <c r="G122" s="994"/>
      <c r="H122" s="994"/>
      <c r="I122" s="994"/>
      <c r="J122" s="994"/>
    </row>
    <row r="123" spans="2:11" ht="12" customHeight="1" x14ac:dyDescent="0.2">
      <c r="B123" s="994"/>
      <c r="C123" s="994"/>
      <c r="D123" s="994"/>
      <c r="E123" s="994"/>
      <c r="F123" s="994"/>
      <c r="G123" s="994"/>
    </row>
    <row r="124" spans="2:11" ht="12" customHeight="1" x14ac:dyDescent="0.2">
      <c r="B124" s="994"/>
      <c r="C124" s="994"/>
      <c r="D124" s="994"/>
      <c r="E124" s="994"/>
      <c r="F124" s="994"/>
      <c r="G124" s="994"/>
      <c r="H124" s="994"/>
      <c r="I124" s="994"/>
    </row>
    <row r="125" spans="2:11" ht="12" customHeight="1" x14ac:dyDescent="0.2">
      <c r="B125" s="72"/>
      <c r="C125" s="72"/>
      <c r="D125" s="72"/>
      <c r="E125" s="72"/>
      <c r="F125" s="72"/>
      <c r="G125" s="72"/>
      <c r="H125" s="72"/>
      <c r="I125" s="72"/>
      <c r="J125" s="72"/>
    </row>
    <row r="126" spans="2:11" ht="12" customHeight="1" x14ac:dyDescent="0.2">
      <c r="B126" s="1023"/>
      <c r="C126" s="961"/>
      <c r="D126" s="961"/>
      <c r="E126" s="961"/>
      <c r="F126" s="961"/>
      <c r="G126" s="961"/>
      <c r="H126" s="961"/>
      <c r="I126" s="961"/>
      <c r="J126" s="961"/>
      <c r="K126" s="2187"/>
    </row>
    <row r="127" spans="2:11" ht="12" customHeight="1" x14ac:dyDescent="0.2">
      <c r="B127" s="1023"/>
      <c r="C127" s="961"/>
      <c r="D127" s="961"/>
      <c r="E127" s="961"/>
      <c r="F127" s="961"/>
      <c r="G127" s="961"/>
      <c r="H127" s="961"/>
      <c r="I127" s="961"/>
      <c r="J127" s="961"/>
      <c r="K127" s="2187"/>
    </row>
    <row r="128" spans="2:11" ht="12" customHeight="1" x14ac:dyDescent="0.2">
      <c r="B128" s="1023"/>
      <c r="C128" s="961"/>
      <c r="D128" s="961"/>
      <c r="E128" s="961"/>
      <c r="F128" s="961"/>
      <c r="G128" s="961"/>
      <c r="H128" s="961"/>
      <c r="I128" s="961"/>
      <c r="J128" s="961"/>
      <c r="K128" s="2187"/>
    </row>
    <row r="129" spans="2:11" ht="12" customHeight="1" x14ac:dyDescent="0.2">
      <c r="B129" s="809"/>
      <c r="C129" s="809"/>
      <c r="D129" s="809"/>
      <c r="E129" s="809"/>
      <c r="F129" s="809"/>
      <c r="G129" s="809"/>
      <c r="H129" s="809"/>
    </row>
    <row r="130" spans="2:11" ht="12" customHeight="1" x14ac:dyDescent="0.2">
      <c r="B130" s="809"/>
      <c r="C130" s="809"/>
      <c r="D130" s="809"/>
      <c r="E130" s="809"/>
      <c r="F130" s="809"/>
      <c r="G130" s="809"/>
      <c r="H130" s="809"/>
    </row>
    <row r="131" spans="2:11" ht="12" customHeight="1" x14ac:dyDescent="0.2">
      <c r="B131" s="1023"/>
      <c r="C131" s="961"/>
      <c r="D131" s="961"/>
      <c r="E131" s="961"/>
      <c r="F131" s="961"/>
      <c r="G131" s="961"/>
      <c r="H131" s="961"/>
      <c r="I131" s="961"/>
      <c r="J131" s="961"/>
      <c r="K131" s="2187"/>
    </row>
    <row r="132" spans="2:11" ht="12" customHeight="1" x14ac:dyDescent="0.2">
      <c r="B132" s="1023"/>
      <c r="C132" s="961"/>
      <c r="D132" s="961"/>
      <c r="E132" s="961"/>
      <c r="F132" s="961"/>
      <c r="G132" s="961"/>
      <c r="H132" s="961"/>
      <c r="I132" s="961"/>
      <c r="J132" s="961"/>
      <c r="K132" s="2187"/>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215</v>
      </c>
      <c r="C145" s="224"/>
      <c r="D145" s="224"/>
      <c r="E145" s="224"/>
      <c r="F145" s="224"/>
      <c r="G145" s="224"/>
      <c r="H145" s="224"/>
      <c r="I145" s="224"/>
      <c r="J145" s="224"/>
      <c r="K145" s="225"/>
    </row>
    <row r="146" spans="2:11" ht="12" customHeight="1" x14ac:dyDescent="0.2">
      <c r="B146" s="1460"/>
      <c r="C146" s="1461"/>
      <c r="D146" s="1461"/>
      <c r="E146" s="1461"/>
      <c r="F146" s="1461"/>
      <c r="G146" s="1461"/>
      <c r="H146" s="1461"/>
      <c r="I146" s="1461"/>
      <c r="J146" s="1461"/>
      <c r="K146" s="1462"/>
    </row>
    <row r="147" spans="2:11" ht="12" customHeight="1" x14ac:dyDescent="0.2">
      <c r="B147" s="1460"/>
      <c r="C147" s="1461"/>
      <c r="D147" s="1461"/>
      <c r="E147" s="1461"/>
      <c r="F147" s="1461"/>
      <c r="G147" s="1461"/>
      <c r="H147" s="1461"/>
      <c r="I147" s="1461"/>
      <c r="J147" s="1461"/>
      <c r="K147" s="1462"/>
    </row>
    <row r="148" spans="2:11" ht="12" customHeight="1" x14ac:dyDescent="0.2">
      <c r="B148" s="1460"/>
      <c r="C148" s="1461"/>
      <c r="D148" s="1461"/>
      <c r="E148" s="1461"/>
      <c r="F148" s="1461"/>
      <c r="G148" s="1461"/>
      <c r="H148" s="1461"/>
      <c r="I148" s="1461"/>
      <c r="J148" s="1461"/>
      <c r="K148" s="1462"/>
    </row>
    <row r="149" spans="2:11" ht="12" customHeight="1" x14ac:dyDescent="0.2">
      <c r="B149" s="1460"/>
      <c r="C149" s="1461"/>
      <c r="D149" s="1461"/>
      <c r="E149" s="1461"/>
      <c r="F149" s="1461"/>
      <c r="G149" s="1461"/>
      <c r="H149" s="1461"/>
      <c r="I149" s="1461"/>
      <c r="J149" s="1461"/>
      <c r="K149" s="1462"/>
    </row>
    <row r="150" spans="2:11" ht="12" customHeight="1" x14ac:dyDescent="0.2">
      <c r="B150" s="1051"/>
      <c r="C150" s="1052"/>
      <c r="D150" s="1052"/>
      <c r="E150" s="1052"/>
      <c r="F150" s="1052"/>
      <c r="G150" s="1052"/>
      <c r="H150" s="1052"/>
      <c r="I150" s="1052"/>
      <c r="J150" s="1052"/>
      <c r="K150" s="1053"/>
    </row>
    <row r="151" spans="2:11" ht="12" customHeight="1" thickBot="1" x14ac:dyDescent="0.25">
      <c r="B151" s="1054"/>
      <c r="C151" s="1055"/>
      <c r="D151" s="1055"/>
      <c r="E151" s="1055"/>
      <c r="F151" s="1055"/>
      <c r="G151" s="1055"/>
      <c r="H151" s="1055"/>
      <c r="I151" s="1055"/>
      <c r="J151" s="1055"/>
      <c r="K151" s="2199"/>
    </row>
    <row r="152" spans="2:11" ht="41.25" customHeight="1" thickBot="1" x14ac:dyDescent="0.25">
      <c r="B152" s="4471" t="s">
        <v>2273</v>
      </c>
      <c r="C152" s="4472"/>
      <c r="D152" s="4472"/>
      <c r="E152" s="4472"/>
      <c r="F152" s="4472"/>
      <c r="G152" s="4472"/>
      <c r="H152" s="4472"/>
      <c r="I152" s="4472"/>
      <c r="J152" s="4472"/>
      <c r="K152" s="4473"/>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showGridLines="0" zoomScale="80" zoomScaleNormal="80" workbookViewId="0">
      <pane xSplit="5" ySplit="10" topLeftCell="F11" activePane="bottomRight" state="frozen"/>
      <selection pane="topRight" activeCell="F1" sqref="F1"/>
      <selection pane="bottomLeft" activeCell="A11" sqref="A11"/>
      <selection pane="bottomRight" activeCell="F11" sqref="F11"/>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216</v>
      </c>
      <c r="C1" s="209"/>
      <c r="D1" s="209"/>
      <c r="E1" s="209"/>
      <c r="F1" s="209"/>
      <c r="G1" s="209"/>
      <c r="H1" s="209"/>
      <c r="S1" s="28"/>
      <c r="T1" s="14" t="s">
        <v>2521</v>
      </c>
    </row>
    <row r="2" spans="2:20" ht="16.350000000000001" customHeight="1" x14ac:dyDescent="0.3">
      <c r="B2" s="209" t="s">
        <v>217</v>
      </c>
      <c r="C2" s="209"/>
      <c r="D2" s="209"/>
      <c r="E2" s="209"/>
      <c r="F2" s="209"/>
      <c r="G2" s="209"/>
      <c r="H2" s="209"/>
      <c r="I2" s="209"/>
      <c r="J2" s="209"/>
      <c r="S2" s="28"/>
      <c r="T2" s="14" t="s">
        <v>2522</v>
      </c>
    </row>
    <row r="3" spans="2:20" ht="16.350000000000001" customHeight="1" x14ac:dyDescent="0.25">
      <c r="B3" s="209" t="s">
        <v>62</v>
      </c>
      <c r="C3" s="209"/>
      <c r="D3" s="209"/>
      <c r="S3" s="2"/>
      <c r="T3" s="14" t="s">
        <v>2144</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46" t="s">
        <v>64</v>
      </c>
    </row>
    <row r="8" spans="2:20" ht="36" x14ac:dyDescent="0.2">
      <c r="B8" s="991" t="s">
        <v>218</v>
      </c>
      <c r="C8" s="992"/>
      <c r="D8" s="1123"/>
      <c r="E8" s="1724" t="s">
        <v>219</v>
      </c>
      <c r="F8" s="1724" t="s">
        <v>220</v>
      </c>
      <c r="G8" s="1722" t="s">
        <v>221</v>
      </c>
      <c r="H8" s="1724" t="s">
        <v>222</v>
      </c>
      <c r="I8" s="1722" t="s">
        <v>223</v>
      </c>
      <c r="J8" s="1722" t="s">
        <v>224</v>
      </c>
      <c r="K8" s="1722" t="s">
        <v>225</v>
      </c>
      <c r="L8" s="1722" t="s">
        <v>226</v>
      </c>
      <c r="M8" s="1565" t="s">
        <v>1937</v>
      </c>
      <c r="N8" s="1722" t="s">
        <v>225</v>
      </c>
      <c r="O8" s="1723" t="s">
        <v>227</v>
      </c>
      <c r="P8" s="1722" t="s">
        <v>228</v>
      </c>
      <c r="Q8" s="1722" t="s">
        <v>229</v>
      </c>
      <c r="R8" s="1722" t="s">
        <v>230</v>
      </c>
      <c r="S8" s="1722" t="s">
        <v>231</v>
      </c>
      <c r="T8" s="1725" t="s">
        <v>232</v>
      </c>
    </row>
    <row r="9" spans="2:20" ht="15" thickBot="1" x14ac:dyDescent="0.25">
      <c r="B9" s="1151"/>
      <c r="C9" s="1152"/>
      <c r="D9" s="1153"/>
      <c r="E9" s="29"/>
      <c r="F9" s="30"/>
      <c r="G9" s="30"/>
      <c r="H9" s="30"/>
      <c r="I9" s="30"/>
      <c r="J9" s="30"/>
      <c r="K9" s="30"/>
      <c r="L9" s="2236" t="s">
        <v>1939</v>
      </c>
      <c r="M9" s="1566"/>
      <c r="N9" s="6" t="s">
        <v>127</v>
      </c>
      <c r="O9" s="2236" t="s">
        <v>233</v>
      </c>
      <c r="P9" s="6" t="s">
        <v>73</v>
      </c>
      <c r="Q9" s="6" t="s">
        <v>234</v>
      </c>
      <c r="R9" s="6" t="s">
        <v>235</v>
      </c>
      <c r="S9" s="6" t="s">
        <v>236</v>
      </c>
      <c r="T9" s="2237" t="s">
        <v>237</v>
      </c>
    </row>
    <row r="10" spans="2:20" ht="18" customHeight="1" thickTop="1" x14ac:dyDescent="0.2">
      <c r="B10" s="2342" t="s">
        <v>238</v>
      </c>
      <c r="C10" s="2340" t="s">
        <v>239</v>
      </c>
      <c r="D10" s="2338" t="s">
        <v>200</v>
      </c>
      <c r="E10" s="2336"/>
      <c r="F10" s="2336"/>
      <c r="G10" s="2336"/>
      <c r="H10" s="2336"/>
      <c r="I10" s="2336"/>
      <c r="J10" s="2336"/>
      <c r="K10" s="2336"/>
      <c r="L10" s="2336"/>
      <c r="M10" s="2336"/>
      <c r="N10" s="2336"/>
      <c r="O10" s="2336"/>
      <c r="P10" s="2336"/>
      <c r="Q10" s="2336"/>
      <c r="R10" s="2336"/>
      <c r="S10" s="2336"/>
      <c r="T10" s="2337"/>
    </row>
    <row r="11" spans="2:20" ht="18" customHeight="1" x14ac:dyDescent="0.2">
      <c r="B11" s="1727" t="s">
        <v>240</v>
      </c>
      <c r="C11" s="1567" t="s">
        <v>241</v>
      </c>
      <c r="D11" s="38" t="s">
        <v>242</v>
      </c>
      <c r="E11" s="2575" t="s">
        <v>2150</v>
      </c>
      <c r="F11" s="3361">
        <v>899683.08299999987</v>
      </c>
      <c r="G11" s="3361">
        <v>944969.82750000013</v>
      </c>
      <c r="H11" s="3361">
        <v>481949.70623199997</v>
      </c>
      <c r="I11" s="3381"/>
      <c r="J11" s="3361">
        <v>27700</v>
      </c>
      <c r="K11" s="3369">
        <f t="shared" ref="K11:K28" si="0">IF((SUM(F11:G11)-SUM(H11:J11))=0,"NO",(SUM(F11:G11)-SUM(H11:J11)))</f>
        <v>1335003.2042680001</v>
      </c>
      <c r="L11" s="2577">
        <f>IF(K11="NO","NA",1)</f>
        <v>1</v>
      </c>
      <c r="M11" s="5" t="s">
        <v>1814</v>
      </c>
      <c r="N11" s="3369">
        <f>K11</f>
        <v>1335003.2042680001</v>
      </c>
      <c r="O11" s="3342">
        <v>18.980716253443529</v>
      </c>
      <c r="P11" s="3369">
        <f>IFERROR(N11*O11/1000,"NA")</f>
        <v>25339.31701764882</v>
      </c>
      <c r="Q11" s="3369" t="str">
        <f>'Table1.A(d)'!G11</f>
        <v>NA</v>
      </c>
      <c r="R11" s="3369">
        <f>IF(SUM(P11,-SUM(Q11))=0,"NO",SUM(P11,-SUM(Q11)))</f>
        <v>25339.31701764882</v>
      </c>
      <c r="S11" s="2577">
        <f>IF(R11="NO","NA",1)</f>
        <v>1</v>
      </c>
      <c r="T11" s="3375">
        <f>IF(R11="NO","NO",R11*S11*44/12)</f>
        <v>92910.829064712336</v>
      </c>
    </row>
    <row r="12" spans="2:20" ht="18" customHeight="1" x14ac:dyDescent="0.2">
      <c r="B12" s="1727"/>
      <c r="C12" s="1567"/>
      <c r="D12" s="38" t="s">
        <v>243</v>
      </c>
      <c r="E12" s="2575" t="s">
        <v>2150</v>
      </c>
      <c r="F12" s="3361" t="s">
        <v>2146</v>
      </c>
      <c r="G12" s="3361" t="s">
        <v>2146</v>
      </c>
      <c r="H12" s="3361" t="s">
        <v>2146</v>
      </c>
      <c r="I12" s="3381"/>
      <c r="J12" s="3361" t="s">
        <v>2146</v>
      </c>
      <c r="K12" s="3369" t="str">
        <f t="shared" si="0"/>
        <v>NO</v>
      </c>
      <c r="L12" s="2577" t="str">
        <f t="shared" ref="L12:L13" si="1">IF(K12="NO","NA",1)</f>
        <v>NA</v>
      </c>
      <c r="M12" s="5" t="s">
        <v>1814</v>
      </c>
      <c r="N12" s="3369" t="str">
        <f t="shared" ref="N12:N28" si="2">K12</f>
        <v>NO</v>
      </c>
      <c r="O12" s="3342" t="s">
        <v>2147</v>
      </c>
      <c r="P12" s="3369" t="str">
        <f t="shared" ref="P12:P28" si="3">IFERROR(N12*O12/1000,"NA")</f>
        <v>NA</v>
      </c>
      <c r="Q12" s="3369" t="str">
        <f>'Table1.A(d)'!G12</f>
        <v>NA</v>
      </c>
      <c r="R12" s="3369" t="str">
        <f>IF(SUM(P12,-SUM(Q12))=0,"NO",SUM(P12,-SUM(Q12)))</f>
        <v>NO</v>
      </c>
      <c r="S12" s="2577" t="str">
        <f t="shared" ref="S12:S13" si="4">IF(R12="NO","NA",1)</f>
        <v>NA</v>
      </c>
      <c r="T12" s="3375" t="str">
        <f t="shared" ref="T12:T13" si="5">IF(R12="NO","NO",R12*S12*44/12)</f>
        <v>NO</v>
      </c>
    </row>
    <row r="13" spans="2:20" ht="18" customHeight="1" x14ac:dyDescent="0.2">
      <c r="B13" s="1727"/>
      <c r="C13" s="1568"/>
      <c r="D13" s="38" t="s">
        <v>244</v>
      </c>
      <c r="E13" s="2575" t="s">
        <v>2150</v>
      </c>
      <c r="F13" s="3361">
        <v>149451.7255</v>
      </c>
      <c r="G13" s="3361" t="s">
        <v>2146</v>
      </c>
      <c r="H13" s="3361" t="s">
        <v>2146</v>
      </c>
      <c r="I13" s="3381"/>
      <c r="J13" s="3361" t="s">
        <v>2146</v>
      </c>
      <c r="K13" s="3369">
        <f t="shared" si="0"/>
        <v>149451.7255</v>
      </c>
      <c r="L13" s="2577">
        <f t="shared" si="1"/>
        <v>1</v>
      </c>
      <c r="M13" s="5" t="s">
        <v>1814</v>
      </c>
      <c r="N13" s="3369">
        <f t="shared" si="2"/>
        <v>149451.7255</v>
      </c>
      <c r="O13" s="3342">
        <v>16.247599298939448</v>
      </c>
      <c r="P13" s="3369">
        <f t="shared" si="3"/>
        <v>2428.231750459091</v>
      </c>
      <c r="Q13" s="3369" t="str">
        <f>'Table1.A(d)'!G13</f>
        <v>NA</v>
      </c>
      <c r="R13" s="3369">
        <f>IF(SUM(P13,-SUM(Q13))=0,"NO",SUM(P13,-SUM(Q13)))</f>
        <v>2428.231750459091</v>
      </c>
      <c r="S13" s="2577">
        <f t="shared" si="4"/>
        <v>1</v>
      </c>
      <c r="T13" s="3375">
        <f t="shared" si="5"/>
        <v>8903.5164183500001</v>
      </c>
    </row>
    <row r="14" spans="2:20" ht="18" customHeight="1" x14ac:dyDescent="0.2">
      <c r="B14" s="1727"/>
      <c r="C14" s="2340" t="s">
        <v>245</v>
      </c>
      <c r="D14" s="2338" t="s">
        <v>200</v>
      </c>
      <c r="E14" s="2336"/>
      <c r="F14" s="3370"/>
      <c r="G14" s="3370"/>
      <c r="H14" s="3370"/>
      <c r="I14" s="3370"/>
      <c r="J14" s="3370"/>
      <c r="K14" s="3370"/>
      <c r="L14" s="2336"/>
      <c r="M14" s="2336"/>
      <c r="N14" s="3370"/>
      <c r="O14" s="3362"/>
      <c r="P14" s="3370"/>
      <c r="Q14" s="3370"/>
      <c r="R14" s="3370"/>
      <c r="S14" s="2336"/>
      <c r="T14" s="3376"/>
    </row>
    <row r="15" spans="2:20" ht="18" customHeight="1" x14ac:dyDescent="0.2">
      <c r="B15" s="1727"/>
      <c r="C15" s="1567" t="s">
        <v>246</v>
      </c>
      <c r="D15" s="36" t="s">
        <v>167</v>
      </c>
      <c r="E15" s="2575" t="s">
        <v>2150</v>
      </c>
      <c r="F15" s="3381"/>
      <c r="G15" s="3361">
        <v>126080.11260000001</v>
      </c>
      <c r="H15" s="3361">
        <v>27226.500199999999</v>
      </c>
      <c r="I15" s="3361" t="s">
        <v>2146</v>
      </c>
      <c r="J15" s="3361">
        <v>-911.32476639999595</v>
      </c>
      <c r="K15" s="3369">
        <f t="shared" si="0"/>
        <v>99764.937166400006</v>
      </c>
      <c r="L15" s="2577">
        <f>IF(K15="NO","NA",1)</f>
        <v>1</v>
      </c>
      <c r="M15" s="5" t="s">
        <v>1814</v>
      </c>
      <c r="N15" s="3369">
        <f t="shared" si="2"/>
        <v>99764.937166400006</v>
      </c>
      <c r="O15" s="3342">
        <v>18.38405406586768</v>
      </c>
      <c r="P15" s="3369">
        <f t="shared" si="3"/>
        <v>1834.0839987449897</v>
      </c>
      <c r="Q15" s="3369" t="str">
        <f>'Table1.A(d)'!G15</f>
        <v>NA</v>
      </c>
      <c r="R15" s="3369">
        <f>IF(SUM(P15,-SUM(Q15))=0,"NO",SUM(P15,-SUM(Q15)))</f>
        <v>1834.0839987449897</v>
      </c>
      <c r="S15" s="2577">
        <f>IF(R15="NO","NA",1)</f>
        <v>1</v>
      </c>
      <c r="T15" s="3375">
        <f>IF(R15="NO","NO",R15*S15*44/12)</f>
        <v>6724.974662064963</v>
      </c>
    </row>
    <row r="16" spans="2:20" ht="18" customHeight="1" x14ac:dyDescent="0.2">
      <c r="B16" s="1727"/>
      <c r="C16" s="1567"/>
      <c r="D16" s="36" t="s">
        <v>178</v>
      </c>
      <c r="E16" s="2575" t="s">
        <v>2150</v>
      </c>
      <c r="F16" s="3382"/>
      <c r="G16" s="3361">
        <v>30055.884799999996</v>
      </c>
      <c r="H16" s="3361">
        <v>4666.424</v>
      </c>
      <c r="I16" s="3361">
        <v>120600</v>
      </c>
      <c r="J16" s="3361">
        <v>2530.2954720000012</v>
      </c>
      <c r="K16" s="3369">
        <f t="shared" si="0"/>
        <v>-97740.834671999997</v>
      </c>
      <c r="L16" s="2577">
        <f t="shared" ref="L16:L28" si="6">IF(K16="NO","NA",1)</f>
        <v>1</v>
      </c>
      <c r="M16" s="5" t="s">
        <v>1814</v>
      </c>
      <c r="N16" s="3369">
        <f t="shared" si="2"/>
        <v>-97740.834671999997</v>
      </c>
      <c r="O16" s="3342">
        <v>18.981818181818181</v>
      </c>
      <c r="P16" s="3369">
        <f t="shared" si="3"/>
        <v>-1855.2987526830543</v>
      </c>
      <c r="Q16" s="3369" t="str">
        <f>'Table1.A(d)'!G16</f>
        <v>NA</v>
      </c>
      <c r="R16" s="3369">
        <f t="shared" ref="R16:R44" si="7">IF(SUM(P16,-SUM(Q16))=0,"NO",SUM(P16,-SUM(Q16)))</f>
        <v>-1855.2987526830543</v>
      </c>
      <c r="S16" s="2577">
        <f t="shared" ref="S16:S28" si="8">IF(R16="NO","NA",1)</f>
        <v>1</v>
      </c>
      <c r="T16" s="3375">
        <f t="shared" ref="T16:T28" si="9">IF(R16="NO","NO",R16*S16*44/12)</f>
        <v>-6802.7620931711999</v>
      </c>
    </row>
    <row r="17" spans="2:20" ht="18" customHeight="1" x14ac:dyDescent="0.2">
      <c r="B17" s="1727"/>
      <c r="C17" s="1567"/>
      <c r="D17" s="36" t="s">
        <v>247</v>
      </c>
      <c r="E17" s="2575" t="s">
        <v>2150</v>
      </c>
      <c r="F17" s="3381"/>
      <c r="G17" s="3361" t="s">
        <v>2146</v>
      </c>
      <c r="H17" s="3361" t="s">
        <v>2146</v>
      </c>
      <c r="I17" s="3361" t="s">
        <v>2146</v>
      </c>
      <c r="J17" s="3361">
        <v>6.7763519999999602</v>
      </c>
      <c r="K17" s="3369">
        <f t="shared" si="0"/>
        <v>-6.7763519999999602</v>
      </c>
      <c r="L17" s="2577">
        <f t="shared" si="6"/>
        <v>1</v>
      </c>
      <c r="M17" s="5" t="s">
        <v>1814</v>
      </c>
      <c r="N17" s="3369">
        <f t="shared" si="2"/>
        <v>-6.7763519999999602</v>
      </c>
      <c r="O17" s="3342">
        <v>18.790909090909089</v>
      </c>
      <c r="P17" s="3369">
        <f t="shared" si="3"/>
        <v>-0.12733381439999925</v>
      </c>
      <c r="Q17" s="3369" t="str">
        <f>'Table1.A(d)'!G17</f>
        <v>NA</v>
      </c>
      <c r="R17" s="3369">
        <f t="shared" si="7"/>
        <v>-0.12733381439999925</v>
      </c>
      <c r="S17" s="2577">
        <f t="shared" si="8"/>
        <v>1</v>
      </c>
      <c r="T17" s="3375">
        <f t="shared" si="9"/>
        <v>-0.46689065279999725</v>
      </c>
    </row>
    <row r="18" spans="2:20" ht="18" customHeight="1" x14ac:dyDescent="0.2">
      <c r="B18" s="1727"/>
      <c r="C18" s="1567"/>
      <c r="D18" s="36" t="s">
        <v>248</v>
      </c>
      <c r="E18" s="2575" t="s">
        <v>2150</v>
      </c>
      <c r="F18" s="3381"/>
      <c r="G18" s="3361" t="s">
        <v>2146</v>
      </c>
      <c r="H18" s="3361" t="s">
        <v>2146</v>
      </c>
      <c r="I18" s="3381"/>
      <c r="J18" s="3361" t="s">
        <v>2146</v>
      </c>
      <c r="K18" s="3369" t="str">
        <f t="shared" si="0"/>
        <v>NO</v>
      </c>
      <c r="L18" s="2577" t="str">
        <f t="shared" si="6"/>
        <v>NA</v>
      </c>
      <c r="M18" s="5" t="s">
        <v>1814</v>
      </c>
      <c r="N18" s="3369" t="str">
        <f t="shared" si="2"/>
        <v>NO</v>
      </c>
      <c r="O18" s="3342" t="s">
        <v>2147</v>
      </c>
      <c r="P18" s="3369" t="str">
        <f t="shared" si="3"/>
        <v>NA</v>
      </c>
      <c r="Q18" s="3369" t="str">
        <f>'Table1.A(d)'!G18</f>
        <v>NA</v>
      </c>
      <c r="R18" s="3369" t="str">
        <f t="shared" si="7"/>
        <v>NO</v>
      </c>
      <c r="S18" s="2577" t="str">
        <f t="shared" si="8"/>
        <v>NA</v>
      </c>
      <c r="T18" s="3375" t="str">
        <f t="shared" si="9"/>
        <v>NO</v>
      </c>
    </row>
    <row r="19" spans="2:20" ht="18" customHeight="1" x14ac:dyDescent="0.2">
      <c r="B19" s="1727"/>
      <c r="C19" s="1567"/>
      <c r="D19" s="36" t="s">
        <v>191</v>
      </c>
      <c r="E19" s="2575" t="s">
        <v>2150</v>
      </c>
      <c r="F19" s="3381"/>
      <c r="G19" s="3361">
        <v>236321.89939999999</v>
      </c>
      <c r="H19" s="3361">
        <v>16165.680000000002</v>
      </c>
      <c r="I19" s="3361">
        <v>9000.0000000000018</v>
      </c>
      <c r="J19" s="3361">
        <v>4395.3828600000015</v>
      </c>
      <c r="K19" s="3369">
        <f t="shared" si="0"/>
        <v>206760.83653999999</v>
      </c>
      <c r="L19" s="2577">
        <f t="shared" si="6"/>
        <v>1</v>
      </c>
      <c r="M19" s="5" t="s">
        <v>1814</v>
      </c>
      <c r="N19" s="3369">
        <f t="shared" si="2"/>
        <v>206760.83653999999</v>
      </c>
      <c r="O19" s="3342">
        <v>19.06363636363637</v>
      </c>
      <c r="P19" s="3369">
        <f t="shared" si="3"/>
        <v>3941.6134020398194</v>
      </c>
      <c r="Q19" s="3369" t="str">
        <f>'Table1.A(d)'!G19</f>
        <v>NA</v>
      </c>
      <c r="R19" s="3369">
        <f t="shared" si="7"/>
        <v>3941.6134020398194</v>
      </c>
      <c r="S19" s="2577">
        <f t="shared" si="8"/>
        <v>1</v>
      </c>
      <c r="T19" s="3375">
        <f t="shared" si="9"/>
        <v>14452.582474146004</v>
      </c>
    </row>
    <row r="20" spans="2:20" ht="18" customHeight="1" x14ac:dyDescent="0.2">
      <c r="B20" s="1727"/>
      <c r="C20" s="1567"/>
      <c r="D20" s="36" t="s">
        <v>190</v>
      </c>
      <c r="E20" s="2575" t="s">
        <v>2150</v>
      </c>
      <c r="F20" s="3381"/>
      <c r="G20" s="3361">
        <v>57856.072799999994</v>
      </c>
      <c r="H20" s="3361">
        <v>19437.000899999999</v>
      </c>
      <c r="I20" s="3361">
        <v>34400</v>
      </c>
      <c r="J20" s="3361">
        <v>307.82653199999976</v>
      </c>
      <c r="K20" s="3369">
        <f t="shared" si="0"/>
        <v>3711.2453679999962</v>
      </c>
      <c r="L20" s="2577">
        <f t="shared" si="6"/>
        <v>1</v>
      </c>
      <c r="M20" s="5" t="s">
        <v>1814</v>
      </c>
      <c r="N20" s="3369">
        <f t="shared" si="2"/>
        <v>3711.2453679999962</v>
      </c>
      <c r="O20" s="3342">
        <v>20.072727272727271</v>
      </c>
      <c r="P20" s="3369">
        <f t="shared" si="3"/>
        <v>74.494816114036283</v>
      </c>
      <c r="Q20" s="3369" t="str">
        <f>'Table1.A(d)'!G20</f>
        <v>NA</v>
      </c>
      <c r="R20" s="3369">
        <f t="shared" si="7"/>
        <v>74.494816114036283</v>
      </c>
      <c r="S20" s="2577">
        <f t="shared" si="8"/>
        <v>1</v>
      </c>
      <c r="T20" s="3375">
        <f t="shared" si="9"/>
        <v>273.14765908479973</v>
      </c>
    </row>
    <row r="21" spans="2:20" ht="18" customHeight="1" x14ac:dyDescent="0.2">
      <c r="B21" s="1727"/>
      <c r="C21" s="1567"/>
      <c r="D21" s="36" t="s">
        <v>169</v>
      </c>
      <c r="E21" s="2575" t="s">
        <v>2150</v>
      </c>
      <c r="F21" s="3381"/>
      <c r="G21" s="3361">
        <v>15874.162499999999</v>
      </c>
      <c r="H21" s="3361">
        <v>73627.62232580001</v>
      </c>
      <c r="I21" s="3381"/>
      <c r="J21" s="3361">
        <v>-54900</v>
      </c>
      <c r="K21" s="3369">
        <f t="shared" si="0"/>
        <v>-2853.4598258000115</v>
      </c>
      <c r="L21" s="2577">
        <f t="shared" si="6"/>
        <v>1</v>
      </c>
      <c r="M21" s="5" t="s">
        <v>1814</v>
      </c>
      <c r="N21" s="3369">
        <f t="shared" si="2"/>
        <v>-2853.4598258000115</v>
      </c>
      <c r="O21" s="3342">
        <v>16.418181818181822</v>
      </c>
      <c r="P21" s="3369">
        <f t="shared" si="3"/>
        <v>-46.848622230862013</v>
      </c>
      <c r="Q21" s="3369" t="str">
        <f>'Table1.A(d)'!G21</f>
        <v>NA</v>
      </c>
      <c r="R21" s="3369">
        <f t="shared" si="7"/>
        <v>-46.848622230862013</v>
      </c>
      <c r="S21" s="2577">
        <f t="shared" si="8"/>
        <v>1</v>
      </c>
      <c r="T21" s="3375">
        <f t="shared" si="9"/>
        <v>-171.77828151316069</v>
      </c>
    </row>
    <row r="22" spans="2:20" ht="18" customHeight="1" x14ac:dyDescent="0.2">
      <c r="B22" s="1727"/>
      <c r="C22" s="1567"/>
      <c r="D22" s="36" t="s">
        <v>249</v>
      </c>
      <c r="E22" s="2575" t="s">
        <v>2150</v>
      </c>
      <c r="F22" s="3381"/>
      <c r="G22" s="3361" t="s">
        <v>2147</v>
      </c>
      <c r="H22" s="3361" t="s">
        <v>2147</v>
      </c>
      <c r="I22" s="3381"/>
      <c r="J22" s="3361" t="s">
        <v>2147</v>
      </c>
      <c r="K22" s="3369" t="str">
        <f t="shared" si="0"/>
        <v>NO</v>
      </c>
      <c r="L22" s="2577" t="str">
        <f t="shared" si="6"/>
        <v>NA</v>
      </c>
      <c r="M22" s="5" t="s">
        <v>1814</v>
      </c>
      <c r="N22" s="3369" t="str">
        <f t="shared" si="2"/>
        <v>NO</v>
      </c>
      <c r="O22" s="3342">
        <v>15.40909090909091</v>
      </c>
      <c r="P22" s="3369" t="str">
        <f t="shared" si="3"/>
        <v>NA</v>
      </c>
      <c r="Q22" s="3369">
        <f>'Table1.A(d)'!G22</f>
        <v>349.7925580909091</v>
      </c>
      <c r="R22" s="3369">
        <f t="shared" si="7"/>
        <v>-349.7925580909091</v>
      </c>
      <c r="S22" s="2577">
        <f t="shared" si="8"/>
        <v>1</v>
      </c>
      <c r="T22" s="3375">
        <f t="shared" si="9"/>
        <v>-1282.572713</v>
      </c>
    </row>
    <row r="23" spans="2:20" ht="18" customHeight="1" x14ac:dyDescent="0.2">
      <c r="B23" s="1727"/>
      <c r="C23" s="1567"/>
      <c r="D23" s="36" t="s">
        <v>250</v>
      </c>
      <c r="E23" s="2575" t="s">
        <v>2150</v>
      </c>
      <c r="F23" s="3381"/>
      <c r="G23" s="3361" t="s">
        <v>2147</v>
      </c>
      <c r="H23" s="3361" t="s">
        <v>2147</v>
      </c>
      <c r="I23" s="3381"/>
      <c r="J23" s="3361" t="s">
        <v>2147</v>
      </c>
      <c r="K23" s="3369" t="str">
        <f t="shared" si="0"/>
        <v>NO</v>
      </c>
      <c r="L23" s="2577" t="str">
        <f t="shared" si="6"/>
        <v>NA</v>
      </c>
      <c r="M23" s="5" t="s">
        <v>1814</v>
      </c>
      <c r="N23" s="3369" t="str">
        <f t="shared" si="2"/>
        <v>NO</v>
      </c>
      <c r="O23" s="3342" t="s">
        <v>2147</v>
      </c>
      <c r="P23" s="3369" t="str">
        <f t="shared" si="3"/>
        <v>NA</v>
      </c>
      <c r="Q23" s="3369" t="str">
        <f>'Table1.A(d)'!G23</f>
        <v>NA</v>
      </c>
      <c r="R23" s="3369" t="str">
        <f t="shared" si="7"/>
        <v>NO</v>
      </c>
      <c r="S23" s="2577" t="str">
        <f t="shared" si="8"/>
        <v>NA</v>
      </c>
      <c r="T23" s="3375" t="str">
        <f t="shared" si="9"/>
        <v>NO</v>
      </c>
    </row>
    <row r="24" spans="2:20" ht="18" customHeight="1" x14ac:dyDescent="0.2">
      <c r="B24" s="1727"/>
      <c r="C24" s="1567"/>
      <c r="D24" s="36" t="s">
        <v>251</v>
      </c>
      <c r="E24" s="2575" t="s">
        <v>2150</v>
      </c>
      <c r="F24" s="3381"/>
      <c r="G24" s="3361">
        <v>16273.928000000002</v>
      </c>
      <c r="H24" s="3361" t="s">
        <v>2146</v>
      </c>
      <c r="I24" s="3381"/>
      <c r="J24" s="3361">
        <v>327.28559360000008</v>
      </c>
      <c r="K24" s="3369">
        <f t="shared" si="0"/>
        <v>15946.642406400002</v>
      </c>
      <c r="L24" s="2577">
        <f t="shared" si="6"/>
        <v>1</v>
      </c>
      <c r="M24" s="5" t="s">
        <v>1814</v>
      </c>
      <c r="N24" s="3369">
        <f t="shared" si="2"/>
        <v>15946.642406400002</v>
      </c>
      <c r="O24" s="3342">
        <v>22.009090909090911</v>
      </c>
      <c r="P24" s="3369">
        <f t="shared" si="3"/>
        <v>350.97110241722186</v>
      </c>
      <c r="Q24" s="3369">
        <f>'Table1.A(d)'!G24</f>
        <v>779.72266636363634</v>
      </c>
      <c r="R24" s="3369">
        <f t="shared" si="7"/>
        <v>-428.75156394641448</v>
      </c>
      <c r="S24" s="2577">
        <f t="shared" si="8"/>
        <v>1</v>
      </c>
      <c r="T24" s="3375">
        <f t="shared" si="9"/>
        <v>-1572.0890678035196</v>
      </c>
    </row>
    <row r="25" spans="2:20" ht="18" customHeight="1" x14ac:dyDescent="0.2">
      <c r="B25" s="1727"/>
      <c r="C25" s="1567"/>
      <c r="D25" s="36" t="s">
        <v>252</v>
      </c>
      <c r="E25" s="2575" t="s">
        <v>2150</v>
      </c>
      <c r="F25" s="3381"/>
      <c r="G25" s="3361">
        <v>14411.057199999997</v>
      </c>
      <c r="H25" s="3361">
        <v>7733.1891999999989</v>
      </c>
      <c r="I25" s="3361" t="s">
        <v>2146</v>
      </c>
      <c r="J25" s="3361">
        <v>-1003.8042854000005</v>
      </c>
      <c r="K25" s="3369">
        <f t="shared" si="0"/>
        <v>7681.6722853999991</v>
      </c>
      <c r="L25" s="2577">
        <f t="shared" si="6"/>
        <v>1</v>
      </c>
      <c r="M25" s="5" t="s">
        <v>1814</v>
      </c>
      <c r="N25" s="3369">
        <f t="shared" si="2"/>
        <v>7681.6722853999991</v>
      </c>
      <c r="O25" s="3342">
        <v>18.991363636363641</v>
      </c>
      <c r="P25" s="3369">
        <f t="shared" si="3"/>
        <v>145.88543170740792</v>
      </c>
      <c r="Q25" s="3369">
        <f>'Table1.A(d)'!G25</f>
        <v>332.38304809090914</v>
      </c>
      <c r="R25" s="3369">
        <f t="shared" si="7"/>
        <v>-186.49761638350122</v>
      </c>
      <c r="S25" s="2577">
        <f t="shared" si="8"/>
        <v>1</v>
      </c>
      <c r="T25" s="3375">
        <f t="shared" si="9"/>
        <v>-683.82459340617118</v>
      </c>
    </row>
    <row r="26" spans="2:20" ht="18" customHeight="1" x14ac:dyDescent="0.2">
      <c r="B26" s="1727"/>
      <c r="C26" s="1567"/>
      <c r="D26" s="36" t="s">
        <v>253</v>
      </c>
      <c r="E26" s="2575" t="s">
        <v>2150</v>
      </c>
      <c r="F26" s="3381"/>
      <c r="G26" s="3361">
        <v>15959.345707574992</v>
      </c>
      <c r="H26" s="3361" t="s">
        <v>2146</v>
      </c>
      <c r="I26" s="3381"/>
      <c r="J26" s="3361" t="s">
        <v>2146</v>
      </c>
      <c r="K26" s="3369">
        <f t="shared" si="0"/>
        <v>15959.345707574992</v>
      </c>
      <c r="L26" s="2577">
        <f t="shared" si="6"/>
        <v>1</v>
      </c>
      <c r="M26" s="5" t="s">
        <v>1814</v>
      </c>
      <c r="N26" s="3369">
        <f t="shared" si="2"/>
        <v>15959.345707574992</v>
      </c>
      <c r="O26" s="3342">
        <v>25.26136363636364</v>
      </c>
      <c r="P26" s="3369">
        <f t="shared" si="3"/>
        <v>403.15483531749101</v>
      </c>
      <c r="Q26" s="3369">
        <f>'Table1.A(d)'!G26</f>
        <v>403.15483531749089</v>
      </c>
      <c r="R26" s="3369">
        <f t="shared" si="7"/>
        <v>1.1368683772161603E-13</v>
      </c>
      <c r="S26" s="2577">
        <f t="shared" si="8"/>
        <v>1</v>
      </c>
      <c r="T26" s="3375">
        <f t="shared" si="9"/>
        <v>4.1685173831259209E-13</v>
      </c>
    </row>
    <row r="27" spans="2:20" ht="18" customHeight="1" x14ac:dyDescent="0.2">
      <c r="B27" s="1727"/>
      <c r="C27" s="1567"/>
      <c r="D27" s="36" t="s">
        <v>254</v>
      </c>
      <c r="E27" s="2575" t="s">
        <v>2150</v>
      </c>
      <c r="F27" s="3381"/>
      <c r="G27" s="3361" t="s">
        <v>2146</v>
      </c>
      <c r="H27" s="3361" t="s">
        <v>2146</v>
      </c>
      <c r="I27" s="3381"/>
      <c r="J27" s="3361" t="s">
        <v>2146</v>
      </c>
      <c r="K27" s="3369" t="str">
        <f t="shared" si="0"/>
        <v>NO</v>
      </c>
      <c r="L27" s="2577" t="str">
        <f t="shared" si="6"/>
        <v>NA</v>
      </c>
      <c r="M27" s="5" t="s">
        <v>1814</v>
      </c>
      <c r="N27" s="3369" t="str">
        <f t="shared" si="2"/>
        <v>NO</v>
      </c>
      <c r="O27" s="3342" t="s">
        <v>2147</v>
      </c>
      <c r="P27" s="3369" t="str">
        <f t="shared" si="3"/>
        <v>NA</v>
      </c>
      <c r="Q27" s="3369" t="str">
        <f>'Table1.A(d)'!G27</f>
        <v>NA</v>
      </c>
      <c r="R27" s="3369" t="str">
        <f t="shared" si="7"/>
        <v>NO</v>
      </c>
      <c r="S27" s="2577" t="str">
        <f t="shared" si="8"/>
        <v>NA</v>
      </c>
      <c r="T27" s="3375" t="str">
        <f t="shared" si="9"/>
        <v>NO</v>
      </c>
    </row>
    <row r="28" spans="2:20" ht="18" customHeight="1" x14ac:dyDescent="0.2">
      <c r="B28" s="1727"/>
      <c r="C28" s="1568"/>
      <c r="D28" s="36" t="s">
        <v>255</v>
      </c>
      <c r="E28" s="2575" t="s">
        <v>2150</v>
      </c>
      <c r="F28" s="3381"/>
      <c r="G28" s="3361">
        <v>4769.1199999999981</v>
      </c>
      <c r="H28" s="3361">
        <v>2131.9999999999995</v>
      </c>
      <c r="I28" s="3381"/>
      <c r="J28" s="3361">
        <v>270.29577220000033</v>
      </c>
      <c r="K28" s="3369">
        <f t="shared" si="0"/>
        <v>2366.824227799998</v>
      </c>
      <c r="L28" s="2577">
        <f t="shared" si="6"/>
        <v>1</v>
      </c>
      <c r="M28" s="5" t="s">
        <v>1814</v>
      </c>
      <c r="N28" s="3369">
        <f t="shared" si="2"/>
        <v>2366.824227799998</v>
      </c>
      <c r="O28" s="3342">
        <v>19.041545652204078</v>
      </c>
      <c r="P28" s="3369">
        <f t="shared" si="3"/>
        <v>45.067991584396324</v>
      </c>
      <c r="Q28" s="3369">
        <f>'Table1.A(d)'!G28</f>
        <v>495.97485593454547</v>
      </c>
      <c r="R28" s="3369">
        <f t="shared" si="7"/>
        <v>-450.90686435014914</v>
      </c>
      <c r="S28" s="2577">
        <f t="shared" si="8"/>
        <v>1</v>
      </c>
      <c r="T28" s="3375">
        <f t="shared" si="9"/>
        <v>-1653.3251692838803</v>
      </c>
    </row>
    <row r="29" spans="2:20" ht="18" customHeight="1" x14ac:dyDescent="0.2">
      <c r="B29" s="2341"/>
      <c r="C29" s="31" t="s">
        <v>256</v>
      </c>
      <c r="D29" s="31"/>
      <c r="E29" s="33"/>
      <c r="F29" s="3381"/>
      <c r="G29" s="3383"/>
      <c r="H29" s="3383"/>
      <c r="I29" s="3381"/>
      <c r="J29" s="3383"/>
      <c r="K29" s="3383"/>
      <c r="L29" s="114"/>
      <c r="M29" s="120"/>
      <c r="N29" s="3369" t="s">
        <v>2147</v>
      </c>
      <c r="O29" s="3363"/>
      <c r="P29" s="3369" t="s">
        <v>2147</v>
      </c>
      <c r="Q29" s="3369" t="s">
        <v>2147</v>
      </c>
      <c r="R29" s="3369" t="str">
        <f t="shared" si="7"/>
        <v>NO</v>
      </c>
      <c r="S29" s="121"/>
      <c r="T29" s="3375" t="s">
        <v>2147</v>
      </c>
    </row>
    <row r="30" spans="2:20" ht="18" customHeight="1" x14ac:dyDescent="0.2">
      <c r="B30" s="2339"/>
      <c r="C30" s="34"/>
      <c r="D30" s="34" t="s">
        <v>2147</v>
      </c>
      <c r="E30" s="2575" t="s">
        <v>2150</v>
      </c>
      <c r="F30" s="3384" t="s">
        <v>2147</v>
      </c>
      <c r="G30" s="3361" t="s">
        <v>2147</v>
      </c>
      <c r="H30" s="3361" t="s">
        <v>2147</v>
      </c>
      <c r="I30" s="3384" t="s">
        <v>2147</v>
      </c>
      <c r="J30" s="3361" t="s">
        <v>2147</v>
      </c>
      <c r="K30" s="3369" t="s">
        <v>2147</v>
      </c>
      <c r="L30" s="109" t="s">
        <v>2147</v>
      </c>
      <c r="M30" s="5" t="s">
        <v>1814</v>
      </c>
      <c r="N30" s="3369" t="s">
        <v>2147</v>
      </c>
      <c r="O30" s="3342" t="s">
        <v>2147</v>
      </c>
      <c r="P30" s="3369" t="s">
        <v>2147</v>
      </c>
      <c r="Q30" s="3369" t="s">
        <v>2147</v>
      </c>
      <c r="R30" s="3369" t="str">
        <f t="shared" si="7"/>
        <v>NO</v>
      </c>
      <c r="S30" s="122" t="s">
        <v>2147</v>
      </c>
      <c r="T30" s="3375" t="s">
        <v>2147</v>
      </c>
    </row>
    <row r="31" spans="2:20" ht="18" customHeight="1" thickBot="1" x14ac:dyDescent="0.25">
      <c r="B31" s="1251" t="s">
        <v>257</v>
      </c>
      <c r="C31" s="2343"/>
      <c r="D31" s="2343"/>
      <c r="E31" s="2344"/>
      <c r="F31" s="3385"/>
      <c r="G31" s="3385"/>
      <c r="H31" s="3385"/>
      <c r="I31" s="3385"/>
      <c r="J31" s="3385"/>
      <c r="K31" s="3386"/>
      <c r="L31" s="41"/>
      <c r="M31" s="42"/>
      <c r="N31" s="3371">
        <f>SUM(N11:N29)</f>
        <v>1736045.3626197751</v>
      </c>
      <c r="O31" s="3364"/>
      <c r="P31" s="3371">
        <f>SUM(P11:P29)</f>
        <v>32660.54563730496</v>
      </c>
      <c r="Q31" s="3371">
        <f>SUM(Q11:Q29)</f>
        <v>2361.0279637974909</v>
      </c>
      <c r="R31" s="3369">
        <f t="shared" si="7"/>
        <v>30299.517673507471</v>
      </c>
      <c r="S31" s="2578"/>
      <c r="T31" s="3377">
        <f>SUM(T11:T29)</f>
        <v>111098.23146952738</v>
      </c>
    </row>
    <row r="32" spans="2:20" ht="18" customHeight="1" x14ac:dyDescent="0.2">
      <c r="B32" s="1727" t="s">
        <v>258</v>
      </c>
      <c r="C32" s="1567" t="s">
        <v>239</v>
      </c>
      <c r="D32" s="2335" t="s">
        <v>200</v>
      </c>
      <c r="E32" s="2346"/>
      <c r="F32" s="3372"/>
      <c r="G32" s="3372"/>
      <c r="H32" s="3372"/>
      <c r="I32" s="3372"/>
      <c r="J32" s="3372"/>
      <c r="K32" s="3372"/>
      <c r="L32" s="2347"/>
      <c r="M32" s="2347"/>
      <c r="N32" s="3372"/>
      <c r="O32" s="3365"/>
      <c r="P32" s="3372"/>
      <c r="Q32" s="3372"/>
      <c r="R32" s="3372"/>
      <c r="S32" s="2347"/>
      <c r="T32" s="3378"/>
    </row>
    <row r="33" spans="2:20" ht="18" customHeight="1" x14ac:dyDescent="0.2">
      <c r="B33" s="1727" t="s">
        <v>240</v>
      </c>
      <c r="C33" s="1567" t="s">
        <v>246</v>
      </c>
      <c r="D33" s="37" t="s">
        <v>259</v>
      </c>
      <c r="E33" s="2575" t="s">
        <v>2150</v>
      </c>
      <c r="F33" s="3361" t="s">
        <v>2153</v>
      </c>
      <c r="G33" s="3361" t="s">
        <v>2153</v>
      </c>
      <c r="H33" s="3361" t="s">
        <v>2153</v>
      </c>
      <c r="I33" s="3381"/>
      <c r="J33" s="3361" t="s">
        <v>2153</v>
      </c>
      <c r="K33" s="3369" t="str">
        <f t="shared" ref="K33:K38" si="10">IF((SUM(F33:G33)-SUM(H33:J33))=0,"NO",(SUM(F33:G33)-SUM(H33:J33)))</f>
        <v>NO</v>
      </c>
      <c r="L33" s="2577" t="str">
        <f t="shared" ref="L33:L38" si="11">IF(K33="NO","NA",1)</f>
        <v>NA</v>
      </c>
      <c r="M33" s="55" t="s">
        <v>1814</v>
      </c>
      <c r="N33" s="3369" t="str">
        <f t="shared" ref="N33:N38" si="12">K33</f>
        <v>NO</v>
      </c>
      <c r="O33" s="3342" t="s">
        <v>2147</v>
      </c>
      <c r="P33" s="3369" t="str">
        <f t="shared" ref="P33:P38" si="13">IFERROR(N33*O33/1000,"NA")</f>
        <v>NA</v>
      </c>
      <c r="Q33" s="3369" t="str">
        <f>'Table1.A(d)'!G33</f>
        <v>IE</v>
      </c>
      <c r="R33" s="3369" t="str">
        <f t="shared" si="7"/>
        <v>NO</v>
      </c>
      <c r="S33" s="2577" t="str">
        <f t="shared" ref="S33:S38" si="14">IF(R33="NO","NA",1)</f>
        <v>NA</v>
      </c>
      <c r="T33" s="3375" t="str">
        <f t="shared" ref="T33:T38" si="15">IF(R33="NO","NO",R33*S33*44/12)</f>
        <v>NO</v>
      </c>
    </row>
    <row r="34" spans="2:20" ht="18" customHeight="1" x14ac:dyDescent="0.2">
      <c r="B34" s="1727"/>
      <c r="C34" s="1567"/>
      <c r="D34" s="31" t="s">
        <v>260</v>
      </c>
      <c r="E34" s="2575" t="s">
        <v>2150</v>
      </c>
      <c r="F34" s="3361" t="s">
        <v>2153</v>
      </c>
      <c r="G34" s="3361" t="s">
        <v>2153</v>
      </c>
      <c r="H34" s="3361" t="s">
        <v>2153</v>
      </c>
      <c r="I34" s="3381"/>
      <c r="J34" s="3361" t="s">
        <v>2153</v>
      </c>
      <c r="K34" s="3369" t="str">
        <f t="shared" si="10"/>
        <v>NO</v>
      </c>
      <c r="L34" s="2577" t="str">
        <f t="shared" si="11"/>
        <v>NA</v>
      </c>
      <c r="M34" s="55" t="s">
        <v>1814</v>
      </c>
      <c r="N34" s="3369" t="str">
        <f t="shared" si="12"/>
        <v>NO</v>
      </c>
      <c r="O34" s="3342" t="s">
        <v>2147</v>
      </c>
      <c r="P34" s="3369" t="str">
        <f t="shared" si="13"/>
        <v>NA</v>
      </c>
      <c r="Q34" s="3369" t="str">
        <f>'Table1.A(d)'!G34</f>
        <v>NA</v>
      </c>
      <c r="R34" s="3369" t="str">
        <f t="shared" si="7"/>
        <v>NO</v>
      </c>
      <c r="S34" s="2577" t="str">
        <f t="shared" si="14"/>
        <v>NA</v>
      </c>
      <c r="T34" s="3375" t="str">
        <f t="shared" si="15"/>
        <v>NO</v>
      </c>
    </row>
    <row r="35" spans="2:20" ht="18" customHeight="1" x14ac:dyDescent="0.2">
      <c r="B35" s="1727"/>
      <c r="C35" s="1567"/>
      <c r="D35" s="31" t="s">
        <v>261</v>
      </c>
      <c r="E35" s="2575" t="s">
        <v>2150</v>
      </c>
      <c r="F35" s="3361">
        <v>8151489.436767824</v>
      </c>
      <c r="G35" s="3361" t="s">
        <v>2146</v>
      </c>
      <c r="H35" s="3361">
        <v>6581800</v>
      </c>
      <c r="I35" s="3361" t="s">
        <v>2146</v>
      </c>
      <c r="J35" s="3361">
        <v>-12800</v>
      </c>
      <c r="K35" s="3369">
        <f t="shared" si="10"/>
        <v>1582489.436767824</v>
      </c>
      <c r="L35" s="2577">
        <f t="shared" si="11"/>
        <v>1</v>
      </c>
      <c r="M35" s="55" t="s">
        <v>1814</v>
      </c>
      <c r="N35" s="3369">
        <f t="shared" si="12"/>
        <v>1582489.436767824</v>
      </c>
      <c r="O35" s="3342">
        <v>23.70446585923434</v>
      </c>
      <c r="P35" s="3369">
        <f t="shared" si="13"/>
        <v>37512.066826461865</v>
      </c>
      <c r="Q35" s="3369">
        <f>'Table1.A(d)'!G35</f>
        <v>784.43851647245594</v>
      </c>
      <c r="R35" s="3369">
        <f t="shared" si="7"/>
        <v>36727.628309989406</v>
      </c>
      <c r="S35" s="2577">
        <f t="shared" si="14"/>
        <v>1</v>
      </c>
      <c r="T35" s="3375">
        <f t="shared" si="15"/>
        <v>134667.97046996115</v>
      </c>
    </row>
    <row r="36" spans="2:20" ht="18" customHeight="1" x14ac:dyDescent="0.2">
      <c r="B36" s="1727"/>
      <c r="C36" s="1567"/>
      <c r="D36" s="31" t="s">
        <v>262</v>
      </c>
      <c r="E36" s="2575" t="s">
        <v>2150</v>
      </c>
      <c r="F36" s="3361" t="s">
        <v>2153</v>
      </c>
      <c r="G36" s="3361" t="s">
        <v>2153</v>
      </c>
      <c r="H36" s="3361" t="s">
        <v>2153</v>
      </c>
      <c r="I36" s="3361" t="s">
        <v>2146</v>
      </c>
      <c r="J36" s="3361" t="s">
        <v>2153</v>
      </c>
      <c r="K36" s="3369" t="str">
        <f t="shared" si="10"/>
        <v>NO</v>
      </c>
      <c r="L36" s="2577" t="str">
        <f t="shared" si="11"/>
        <v>NA</v>
      </c>
      <c r="M36" s="55" t="s">
        <v>1814</v>
      </c>
      <c r="N36" s="3369" t="str">
        <f t="shared" si="12"/>
        <v>NO</v>
      </c>
      <c r="O36" s="3342" t="s">
        <v>2147</v>
      </c>
      <c r="P36" s="3369" t="str">
        <f t="shared" si="13"/>
        <v>NA</v>
      </c>
      <c r="Q36" s="3369" t="str">
        <f>'Table1.A(d)'!G36</f>
        <v>IE</v>
      </c>
      <c r="R36" s="3369" t="str">
        <f t="shared" si="7"/>
        <v>NO</v>
      </c>
      <c r="S36" s="2577" t="str">
        <f t="shared" si="14"/>
        <v>NA</v>
      </c>
      <c r="T36" s="3375" t="str">
        <f t="shared" si="15"/>
        <v>NO</v>
      </c>
    </row>
    <row r="37" spans="2:20" ht="18" customHeight="1" x14ac:dyDescent="0.2">
      <c r="B37" s="1727"/>
      <c r="C37" s="1567"/>
      <c r="D37" s="31" t="s">
        <v>263</v>
      </c>
      <c r="E37" s="2575" t="s">
        <v>2150</v>
      </c>
      <c r="F37" s="3361">
        <v>663779.63504273503</v>
      </c>
      <c r="G37" s="3361" t="s">
        <v>2146</v>
      </c>
      <c r="H37" s="3361" t="s">
        <v>2146</v>
      </c>
      <c r="I37" s="3381"/>
      <c r="J37" s="3361">
        <v>-6400</v>
      </c>
      <c r="K37" s="3369">
        <f t="shared" si="10"/>
        <v>670179.63504273503</v>
      </c>
      <c r="L37" s="2577">
        <f t="shared" si="11"/>
        <v>1</v>
      </c>
      <c r="M37" s="55" t="s">
        <v>1814</v>
      </c>
      <c r="N37" s="3369">
        <f t="shared" si="12"/>
        <v>670179.63504273503</v>
      </c>
      <c r="O37" s="3342">
        <v>27.315364533882661</v>
      </c>
      <c r="P37" s="3369">
        <f t="shared" si="13"/>
        <v>18306.201034376751</v>
      </c>
      <c r="Q37" s="3369" t="str">
        <f>'Table1.A(d)'!G37</f>
        <v>NO</v>
      </c>
      <c r="R37" s="3369">
        <f t="shared" si="7"/>
        <v>18306.201034376751</v>
      </c>
      <c r="S37" s="2577">
        <f t="shared" si="14"/>
        <v>1</v>
      </c>
      <c r="T37" s="3375">
        <f t="shared" si="15"/>
        <v>67122.737126048087</v>
      </c>
    </row>
    <row r="38" spans="2:20" ht="18" customHeight="1" x14ac:dyDescent="0.2">
      <c r="B38" s="1727"/>
      <c r="C38" s="1568"/>
      <c r="D38" s="2240" t="s">
        <v>264</v>
      </c>
      <c r="E38" s="2575" t="s">
        <v>2150</v>
      </c>
      <c r="F38" s="3387" t="s">
        <v>2146</v>
      </c>
      <c r="G38" s="3387" t="s">
        <v>2146</v>
      </c>
      <c r="H38" s="3387" t="s">
        <v>2146</v>
      </c>
      <c r="I38" s="3388"/>
      <c r="J38" s="3387" t="s">
        <v>2146</v>
      </c>
      <c r="K38" s="3369" t="str">
        <f t="shared" si="10"/>
        <v>NO</v>
      </c>
      <c r="L38" s="2577" t="str">
        <f t="shared" si="11"/>
        <v>NA</v>
      </c>
      <c r="M38" s="55" t="s">
        <v>1814</v>
      </c>
      <c r="N38" s="3369" t="str">
        <f t="shared" si="12"/>
        <v>NO</v>
      </c>
      <c r="O38" s="3342" t="s">
        <v>2147</v>
      </c>
      <c r="P38" s="3369" t="str">
        <f t="shared" si="13"/>
        <v>NA</v>
      </c>
      <c r="Q38" s="3369" t="str">
        <f>'Table1.A(d)'!G38</f>
        <v>NA</v>
      </c>
      <c r="R38" s="3369" t="str">
        <f t="shared" si="7"/>
        <v>NO</v>
      </c>
      <c r="S38" s="2577" t="str">
        <f t="shared" si="14"/>
        <v>NA</v>
      </c>
      <c r="T38" s="3375" t="str">
        <f t="shared" si="15"/>
        <v>NO</v>
      </c>
    </row>
    <row r="39" spans="2:20" ht="18" customHeight="1" x14ac:dyDescent="0.2">
      <c r="B39" s="1727"/>
      <c r="C39" s="1726" t="s">
        <v>245</v>
      </c>
      <c r="D39" s="2348" t="s">
        <v>200</v>
      </c>
      <c r="E39" s="2349"/>
      <c r="F39" s="3370"/>
      <c r="G39" s="3370"/>
      <c r="H39" s="3370"/>
      <c r="I39" s="3370"/>
      <c r="J39" s="3370"/>
      <c r="K39" s="3370"/>
      <c r="L39" s="2336"/>
      <c r="M39" s="2336"/>
      <c r="N39" s="3370"/>
      <c r="O39" s="3362"/>
      <c r="P39" s="3370"/>
      <c r="Q39" s="3370"/>
      <c r="R39" s="3370"/>
      <c r="S39" s="2336"/>
      <c r="T39" s="3376"/>
    </row>
    <row r="40" spans="2:20" ht="18" customHeight="1" x14ac:dyDescent="0.2">
      <c r="B40" s="1727"/>
      <c r="C40" s="1567" t="s">
        <v>246</v>
      </c>
      <c r="D40" s="36" t="s">
        <v>265</v>
      </c>
      <c r="E40" s="2575" t="s">
        <v>2150</v>
      </c>
      <c r="F40" s="3381"/>
      <c r="G40" s="3361" t="s">
        <v>2146</v>
      </c>
      <c r="H40" s="3361" t="s">
        <v>2146</v>
      </c>
      <c r="I40" s="3381"/>
      <c r="J40" s="3361" t="s">
        <v>2146</v>
      </c>
      <c r="K40" s="3369" t="str">
        <f t="shared" ref="K40:K42" si="16">IF((SUM(F40:G40)-SUM(H40:J40))=0,"NO",(SUM(F40:G40)-SUM(H40:J40)))</f>
        <v>NO</v>
      </c>
      <c r="L40" s="2577" t="str">
        <f t="shared" ref="L40:L42" si="17">IF(K40="NO","NA",1)</f>
        <v>NA</v>
      </c>
      <c r="M40" s="55" t="s">
        <v>1814</v>
      </c>
      <c r="N40" s="3369" t="str">
        <f t="shared" ref="N40:N42" si="18">K40</f>
        <v>NO</v>
      </c>
      <c r="O40" s="3342" t="s">
        <v>2147</v>
      </c>
      <c r="P40" s="3369" t="str">
        <f t="shared" ref="P40:P42" si="19">IFERROR(N40*O40/1000,"NA")</f>
        <v>NA</v>
      </c>
      <c r="Q40" s="3369" t="str">
        <f>'Table1.A(d)'!G40</f>
        <v>NA</v>
      </c>
      <c r="R40" s="3369" t="str">
        <f t="shared" si="7"/>
        <v>NO</v>
      </c>
      <c r="S40" s="2577" t="str">
        <f t="shared" ref="S40:S42" si="20">IF(R40="NO","NA",1)</f>
        <v>NA</v>
      </c>
      <c r="T40" s="3375" t="str">
        <f t="shared" ref="T40:T42" si="21">IF(R40="NO","NO",R40*S40*44/12)</f>
        <v>NO</v>
      </c>
    </row>
    <row r="41" spans="2:20" ht="18" customHeight="1" x14ac:dyDescent="0.2">
      <c r="B41" s="1727"/>
      <c r="C41" s="1567"/>
      <c r="D41" s="31" t="s">
        <v>266</v>
      </c>
      <c r="E41" s="2575" t="s">
        <v>2150</v>
      </c>
      <c r="F41" s="3381"/>
      <c r="G41" s="3361">
        <v>1500</v>
      </c>
      <c r="H41" s="3361" t="s">
        <v>2146</v>
      </c>
      <c r="I41" s="3381"/>
      <c r="J41" s="3361">
        <v>18900</v>
      </c>
      <c r="K41" s="3369">
        <f t="shared" si="16"/>
        <v>-17400</v>
      </c>
      <c r="L41" s="2577">
        <f t="shared" si="17"/>
        <v>1</v>
      </c>
      <c r="M41" s="55" t="s">
        <v>1814</v>
      </c>
      <c r="N41" s="3369">
        <f t="shared" si="18"/>
        <v>-17400</v>
      </c>
      <c r="O41" s="3342">
        <v>29.672190875712001</v>
      </c>
      <c r="P41" s="3369">
        <f t="shared" si="19"/>
        <v>-516.29612123738877</v>
      </c>
      <c r="Q41" s="3369">
        <f>'Table1.A(d)'!G41</f>
        <v>2053.8844095675745</v>
      </c>
      <c r="R41" s="3369">
        <f t="shared" si="7"/>
        <v>-2570.1805308049634</v>
      </c>
      <c r="S41" s="2577">
        <f t="shared" si="20"/>
        <v>1</v>
      </c>
      <c r="T41" s="3375">
        <f t="shared" si="21"/>
        <v>-9423.9952796181988</v>
      </c>
    </row>
    <row r="42" spans="2:20" ht="18" customHeight="1" x14ac:dyDescent="0.2">
      <c r="B42" s="1727"/>
      <c r="C42" s="1568"/>
      <c r="D42" s="31" t="s">
        <v>267</v>
      </c>
      <c r="E42" s="2575" t="s">
        <v>2150</v>
      </c>
      <c r="F42" s="3381"/>
      <c r="G42" s="3361" t="s">
        <v>2146</v>
      </c>
      <c r="H42" s="3361" t="s">
        <v>2146</v>
      </c>
      <c r="I42" s="3381"/>
      <c r="J42" s="3361">
        <v>-3900</v>
      </c>
      <c r="K42" s="3369">
        <f t="shared" si="16"/>
        <v>3900</v>
      </c>
      <c r="L42" s="2577">
        <f t="shared" si="17"/>
        <v>1</v>
      </c>
      <c r="M42" s="55" t="s">
        <v>1814</v>
      </c>
      <c r="N42" s="3369">
        <f t="shared" si="18"/>
        <v>3900</v>
      </c>
      <c r="O42" s="3342">
        <v>22.309090909090909</v>
      </c>
      <c r="P42" s="3369">
        <f t="shared" si="19"/>
        <v>87.00545454545454</v>
      </c>
      <c r="Q42" s="3369">
        <f>'Table1.A(d)'!G42</f>
        <v>187.11276402310813</v>
      </c>
      <c r="R42" s="3369">
        <f t="shared" si="7"/>
        <v>-100.10730947765359</v>
      </c>
      <c r="S42" s="2577">
        <f t="shared" si="20"/>
        <v>1</v>
      </c>
      <c r="T42" s="3375">
        <f t="shared" si="21"/>
        <v>-367.06013475139645</v>
      </c>
    </row>
    <row r="43" spans="2:20" ht="18" customHeight="1" x14ac:dyDescent="0.2">
      <c r="B43" s="2341"/>
      <c r="C43" s="31" t="s">
        <v>268</v>
      </c>
      <c r="D43" s="31"/>
      <c r="E43" s="33"/>
      <c r="F43" s="3381"/>
      <c r="G43" s="3383"/>
      <c r="H43" s="3383"/>
      <c r="I43" s="3381"/>
      <c r="J43" s="3383"/>
      <c r="K43" s="3383"/>
      <c r="L43" s="114"/>
      <c r="M43" s="120"/>
      <c r="N43" s="3369" t="s">
        <v>2147</v>
      </c>
      <c r="O43" s="3363"/>
      <c r="P43" s="3369" t="s">
        <v>2147</v>
      </c>
      <c r="Q43" s="3369" t="s">
        <v>2147</v>
      </c>
      <c r="R43" s="3369" t="str">
        <f t="shared" si="7"/>
        <v>NO</v>
      </c>
      <c r="S43" s="121"/>
      <c r="T43" s="3375" t="s">
        <v>2147</v>
      </c>
    </row>
    <row r="44" spans="2:20" ht="18" customHeight="1" x14ac:dyDescent="0.2">
      <c r="B44" s="2339"/>
      <c r="C44" s="34"/>
      <c r="D44" s="34" t="s">
        <v>2147</v>
      </c>
      <c r="E44" s="2575" t="s">
        <v>2150</v>
      </c>
      <c r="F44" s="3384" t="s">
        <v>2147</v>
      </c>
      <c r="G44" s="3361" t="s">
        <v>2147</v>
      </c>
      <c r="H44" s="3361" t="s">
        <v>2147</v>
      </c>
      <c r="I44" s="3384" t="s">
        <v>2147</v>
      </c>
      <c r="J44" s="3361" t="s">
        <v>2147</v>
      </c>
      <c r="K44" s="3369" t="s">
        <v>2147</v>
      </c>
      <c r="L44" s="109" t="s">
        <v>2147</v>
      </c>
      <c r="M44" s="5" t="s">
        <v>1814</v>
      </c>
      <c r="N44" s="3369" t="s">
        <v>2147</v>
      </c>
      <c r="O44" s="3342" t="s">
        <v>2147</v>
      </c>
      <c r="P44" s="3369" t="s">
        <v>2147</v>
      </c>
      <c r="Q44" s="3369" t="s">
        <v>2147</v>
      </c>
      <c r="R44" s="3369" t="str">
        <f t="shared" si="7"/>
        <v>NO</v>
      </c>
      <c r="S44" s="122" t="s">
        <v>2147</v>
      </c>
      <c r="T44" s="3375" t="s">
        <v>2147</v>
      </c>
    </row>
    <row r="45" spans="2:20" ht="18" customHeight="1" thickBot="1" x14ac:dyDescent="0.25">
      <c r="B45" s="1251" t="s">
        <v>269</v>
      </c>
      <c r="C45" s="2343"/>
      <c r="D45" s="2343"/>
      <c r="E45" s="2344"/>
      <c r="F45" s="3385"/>
      <c r="G45" s="3385"/>
      <c r="H45" s="3385"/>
      <c r="I45" s="3385"/>
      <c r="J45" s="3385"/>
      <c r="K45" s="3386"/>
      <c r="L45" s="41"/>
      <c r="M45" s="42"/>
      <c r="N45" s="3371">
        <f>SUM(N33:N43)</f>
        <v>2239169.0718105589</v>
      </c>
      <c r="O45" s="3364"/>
      <c r="P45" s="3371">
        <f>SUM(P33:P43)</f>
        <v>55388.977194146682</v>
      </c>
      <c r="Q45" s="3371">
        <f>SUM(Q33:Q43)</f>
        <v>3025.4356900631383</v>
      </c>
      <c r="R45" s="3371">
        <f>SUM(R33:R43)</f>
        <v>52363.541504083536</v>
      </c>
      <c r="S45" s="41"/>
      <c r="T45" s="3377">
        <f>SUM(T33:T43)</f>
        <v>191999.65218163966</v>
      </c>
    </row>
    <row r="46" spans="2:20" ht="18" customHeight="1" x14ac:dyDescent="0.2">
      <c r="B46" s="2350" t="s">
        <v>270</v>
      </c>
      <c r="C46" s="95"/>
      <c r="D46" s="2335" t="s">
        <v>200</v>
      </c>
      <c r="E46" s="2346"/>
      <c r="F46" s="3372"/>
      <c r="G46" s="3372"/>
      <c r="H46" s="3372"/>
      <c r="I46" s="3372"/>
      <c r="J46" s="3372"/>
      <c r="K46" s="3372"/>
      <c r="L46" s="2347"/>
      <c r="M46" s="2347"/>
      <c r="N46" s="3372"/>
      <c r="O46" s="3365"/>
      <c r="P46" s="3372"/>
      <c r="Q46" s="3372"/>
      <c r="R46" s="3372"/>
      <c r="S46" s="2347"/>
      <c r="T46" s="3378"/>
    </row>
    <row r="47" spans="2:20" ht="18" customHeight="1" x14ac:dyDescent="0.2">
      <c r="B47" s="2173"/>
      <c r="C47" s="96"/>
      <c r="D47" s="2345" t="s">
        <v>271</v>
      </c>
      <c r="E47" s="2575" t="s">
        <v>2150</v>
      </c>
      <c r="F47" s="3361">
        <v>1754109.9829504734</v>
      </c>
      <c r="G47" s="3361">
        <v>51800</v>
      </c>
      <c r="H47" s="3361">
        <v>654400</v>
      </c>
      <c r="I47" s="3361" t="s">
        <v>2146</v>
      </c>
      <c r="J47" s="3361">
        <v>94125.270055663466</v>
      </c>
      <c r="K47" s="3369">
        <f t="shared" ref="K47" si="22">IF((SUM(F47:G47)-SUM(H47:J47))=0,"NO",(SUM(F47:G47)-SUM(H47:J47)))</f>
        <v>1057384.7128948099</v>
      </c>
      <c r="L47" s="2577">
        <f t="shared" ref="L47" si="23">IF(K47="NO","NA",1)</f>
        <v>1</v>
      </c>
      <c r="M47" s="55" t="s">
        <v>1814</v>
      </c>
      <c r="N47" s="3369">
        <f t="shared" ref="N47" si="24">K47</f>
        <v>1057384.7128948099</v>
      </c>
      <c r="O47" s="3342">
        <v>14.07068124645774</v>
      </c>
      <c r="P47" s="3369">
        <f t="shared" ref="P47" si="25">IFERROR(N47*O47/1000,"NA")</f>
        <v>14878.123250020104</v>
      </c>
      <c r="Q47" s="3369">
        <f>'Table1.A(d)'!G47</f>
        <v>596.51841208831001</v>
      </c>
      <c r="R47" s="3369">
        <f t="shared" ref="R47" si="26">IF(SUM(P47,-SUM(Q47))=0,"NO",SUM(P47,-SUM(Q47)))</f>
        <v>14281.604837931794</v>
      </c>
      <c r="S47" s="2577">
        <f t="shared" ref="S47" si="27">IF(R47="NO","NA",1)</f>
        <v>1</v>
      </c>
      <c r="T47" s="3375">
        <f t="shared" ref="T47" si="28">IF(R47="NO","NO",R47*S47*44/12)</f>
        <v>52365.884405749908</v>
      </c>
    </row>
    <row r="48" spans="2:20" ht="18" customHeight="1" x14ac:dyDescent="0.2">
      <c r="B48" s="1025"/>
      <c r="C48" s="96"/>
      <c r="D48" s="40" t="s">
        <v>272</v>
      </c>
      <c r="E48" s="33"/>
      <c r="F48" s="3381"/>
      <c r="G48" s="3383"/>
      <c r="H48" s="3383"/>
      <c r="I48" s="3381"/>
      <c r="J48" s="3383"/>
      <c r="K48" s="3383"/>
      <c r="L48" s="114"/>
      <c r="M48" s="120"/>
      <c r="N48" s="3369" t="s">
        <v>2147</v>
      </c>
      <c r="O48" s="3363"/>
      <c r="P48" s="3369" t="s">
        <v>2147</v>
      </c>
      <c r="Q48" s="3369" t="s">
        <v>2147</v>
      </c>
      <c r="R48" s="3369" t="s">
        <v>2147</v>
      </c>
      <c r="S48" s="121"/>
      <c r="T48" s="3375" t="s">
        <v>2147</v>
      </c>
    </row>
    <row r="49" spans="2:20" ht="18" customHeight="1" x14ac:dyDescent="0.2">
      <c r="B49" s="32"/>
      <c r="C49" s="1452"/>
      <c r="D49" s="1150" t="s">
        <v>2147</v>
      </c>
      <c r="E49" s="2575" t="s">
        <v>2150</v>
      </c>
      <c r="F49" s="3384" t="s">
        <v>2147</v>
      </c>
      <c r="G49" s="3361" t="s">
        <v>2147</v>
      </c>
      <c r="H49" s="3361" t="s">
        <v>2147</v>
      </c>
      <c r="I49" s="3384" t="s">
        <v>2147</v>
      </c>
      <c r="J49" s="3361" t="s">
        <v>2147</v>
      </c>
      <c r="K49" s="3369" t="s">
        <v>2147</v>
      </c>
      <c r="L49" s="109" t="s">
        <v>2147</v>
      </c>
      <c r="M49" s="5" t="s">
        <v>1814</v>
      </c>
      <c r="N49" s="3369" t="s">
        <v>2147</v>
      </c>
      <c r="O49" s="3342" t="s">
        <v>2147</v>
      </c>
      <c r="P49" s="3369" t="s">
        <v>2147</v>
      </c>
      <c r="Q49" s="3369" t="s">
        <v>2147</v>
      </c>
      <c r="R49" s="3369" t="s">
        <v>2147</v>
      </c>
      <c r="S49" s="122" t="s">
        <v>2147</v>
      </c>
      <c r="T49" s="3375" t="s">
        <v>2147</v>
      </c>
    </row>
    <row r="50" spans="2:20" ht="18" customHeight="1" thickBot="1" x14ac:dyDescent="0.25">
      <c r="B50" s="68" t="s">
        <v>273</v>
      </c>
      <c r="C50" s="79"/>
      <c r="D50" s="80"/>
      <c r="E50" s="2353"/>
      <c r="F50" s="3389"/>
      <c r="G50" s="3389"/>
      <c r="H50" s="3389"/>
      <c r="I50" s="3385"/>
      <c r="J50" s="3389"/>
      <c r="K50" s="3389"/>
      <c r="L50" s="2354"/>
      <c r="M50" s="2355"/>
      <c r="N50" s="3371">
        <f>SUM(N47:N48)</f>
        <v>1057384.7128948099</v>
      </c>
      <c r="O50" s="3366"/>
      <c r="P50" s="3371">
        <f>SUM(P47:P48)</f>
        <v>14878.123250020104</v>
      </c>
      <c r="Q50" s="3371">
        <f>SUM(Q47:Q48)</f>
        <v>596.51841208831001</v>
      </c>
      <c r="R50" s="3371">
        <f>SUM(R47:R48)</f>
        <v>14281.604837931794</v>
      </c>
      <c r="S50" s="2354"/>
      <c r="T50" s="3377">
        <f>SUM(T47:T48)</f>
        <v>52365.884405749908</v>
      </c>
    </row>
    <row r="51" spans="2:20" ht="18" customHeight="1" x14ac:dyDescent="0.2">
      <c r="B51" s="2351" t="s">
        <v>274</v>
      </c>
      <c r="C51" s="2352"/>
      <c r="D51" s="2352"/>
      <c r="E51" s="2575" t="s">
        <v>2150</v>
      </c>
      <c r="F51" s="3384" t="s">
        <v>2147</v>
      </c>
      <c r="G51" s="3361" t="s">
        <v>2147</v>
      </c>
      <c r="H51" s="3361" t="s">
        <v>2147</v>
      </c>
      <c r="I51" s="3384" t="s">
        <v>2147</v>
      </c>
      <c r="J51" s="3361" t="s">
        <v>2147</v>
      </c>
      <c r="K51" s="3369" t="s">
        <v>2147</v>
      </c>
      <c r="L51" s="109" t="s">
        <v>2147</v>
      </c>
      <c r="M51" s="5" t="s">
        <v>1814</v>
      </c>
      <c r="N51" s="3369" t="s">
        <v>2147</v>
      </c>
      <c r="O51" s="3342" t="s">
        <v>2147</v>
      </c>
      <c r="P51" s="3369" t="s">
        <v>2147</v>
      </c>
      <c r="Q51" s="3369" t="s">
        <v>2147</v>
      </c>
      <c r="R51" s="3369" t="s">
        <v>2147</v>
      </c>
      <c r="S51" s="122" t="s">
        <v>2147</v>
      </c>
      <c r="T51" s="3375" t="s">
        <v>2147</v>
      </c>
    </row>
    <row r="52" spans="2:20" ht="18" customHeight="1" x14ac:dyDescent="0.2">
      <c r="B52" s="50" t="s">
        <v>275</v>
      </c>
      <c r="C52" s="39"/>
      <c r="D52" s="38"/>
      <c r="E52" s="2575" t="s">
        <v>2150</v>
      </c>
      <c r="F52" s="3390" t="s">
        <v>2146</v>
      </c>
      <c r="G52" s="3390" t="s">
        <v>2146</v>
      </c>
      <c r="H52" s="3390" t="s">
        <v>2146</v>
      </c>
      <c r="I52" s="3361" t="s">
        <v>2146</v>
      </c>
      <c r="J52" s="3390" t="s">
        <v>2146</v>
      </c>
      <c r="K52" s="3369" t="str">
        <f t="shared" ref="K52:K53" si="29">IF((SUM(F52:G52)-SUM(H52:J52))=0,"NO",(SUM(F52:G52)-SUM(H52:J52)))</f>
        <v>NO</v>
      </c>
      <c r="L52" s="2577" t="str">
        <f t="shared" ref="L52:L53" si="30">IF(K52="NO","NA",1)</f>
        <v>NA</v>
      </c>
      <c r="M52" s="55" t="s">
        <v>1814</v>
      </c>
      <c r="N52" s="3369" t="str">
        <f t="shared" ref="N52:N53" si="31">K52</f>
        <v>NO</v>
      </c>
      <c r="O52" s="3342" t="s">
        <v>2147</v>
      </c>
      <c r="P52" s="3369" t="str">
        <f t="shared" ref="P52:P53" si="32">IFERROR(N52*O52/1000,"NA")</f>
        <v>NA</v>
      </c>
      <c r="Q52" s="3374" t="str">
        <f>'Table1.A(d)'!G52</f>
        <v>NA</v>
      </c>
      <c r="R52" s="3369" t="str">
        <f t="shared" ref="R52:R53" si="33">IF(SUM(P52,-SUM(Q52))=0,"NO",SUM(P52,-SUM(Q52)))</f>
        <v>NO</v>
      </c>
      <c r="S52" s="2577" t="str">
        <f t="shared" ref="S52:S53" si="34">IF(R52="NO","NA",1)</f>
        <v>NA</v>
      </c>
      <c r="T52" s="3375" t="str">
        <f t="shared" ref="T52:T53" si="35">IF(R52="NO","NO",R52*S52*44/12)</f>
        <v>NO</v>
      </c>
    </row>
    <row r="53" spans="2:20" ht="18" customHeight="1" x14ac:dyDescent="0.2">
      <c r="B53" s="35" t="s">
        <v>276</v>
      </c>
      <c r="C53" s="36"/>
      <c r="D53" s="38"/>
      <c r="E53" s="2575" t="s">
        <v>2150</v>
      </c>
      <c r="F53" s="3384" t="s">
        <v>2146</v>
      </c>
      <c r="G53" s="3384" t="s">
        <v>2146</v>
      </c>
      <c r="H53" s="3384" t="s">
        <v>2146</v>
      </c>
      <c r="I53" s="3384" t="s">
        <v>2146</v>
      </c>
      <c r="J53" s="3384" t="s">
        <v>2146</v>
      </c>
      <c r="K53" s="3369" t="str">
        <f t="shared" si="29"/>
        <v>NO</v>
      </c>
      <c r="L53" s="2577" t="str">
        <f t="shared" si="30"/>
        <v>NA</v>
      </c>
      <c r="M53" s="55" t="s">
        <v>1814</v>
      </c>
      <c r="N53" s="3369" t="str">
        <f t="shared" si="31"/>
        <v>NO</v>
      </c>
      <c r="O53" s="3342" t="s">
        <v>2147</v>
      </c>
      <c r="P53" s="3369" t="str">
        <f t="shared" si="32"/>
        <v>NA</v>
      </c>
      <c r="Q53" s="3369" t="str">
        <f>'Table1.A(d)'!G53</f>
        <v>NA</v>
      </c>
      <c r="R53" s="3369" t="str">
        <f t="shared" si="33"/>
        <v>NO</v>
      </c>
      <c r="S53" s="122" t="str">
        <f t="shared" si="34"/>
        <v>NA</v>
      </c>
      <c r="T53" s="3375" t="str">
        <f t="shared" si="35"/>
        <v>NO</v>
      </c>
    </row>
    <row r="54" spans="2:20" ht="18" customHeight="1" thickBot="1" x14ac:dyDescent="0.25">
      <c r="B54" s="1251" t="s">
        <v>277</v>
      </c>
      <c r="C54" s="2343"/>
      <c r="D54" s="2343"/>
      <c r="E54" s="100"/>
      <c r="F54" s="3391"/>
      <c r="G54" s="3391"/>
      <c r="H54" s="3391"/>
      <c r="I54" s="3391"/>
      <c r="J54" s="3391"/>
      <c r="K54" s="3392"/>
      <c r="L54" s="2372"/>
      <c r="M54" s="2373"/>
      <c r="N54" s="3373">
        <f>SUM(N51:N53)</f>
        <v>0</v>
      </c>
      <c r="O54" s="3367"/>
      <c r="P54" s="3373">
        <f>SUM(P51:P53)</f>
        <v>0</v>
      </c>
      <c r="Q54" s="3373">
        <f>SUM(Q51:Q53)</f>
        <v>0</v>
      </c>
      <c r="R54" s="3373">
        <f>SUM(R51:R53)</f>
        <v>0</v>
      </c>
      <c r="S54" s="2374"/>
      <c r="T54" s="3379">
        <f>SUM(T51:T53)</f>
        <v>0</v>
      </c>
    </row>
    <row r="55" spans="2:20" ht="18" customHeight="1" thickBot="1" x14ac:dyDescent="0.25">
      <c r="B55" s="2370" t="s">
        <v>278</v>
      </c>
      <c r="C55" s="2371"/>
      <c r="D55" s="2371"/>
      <c r="E55" s="100"/>
      <c r="F55" s="3391"/>
      <c r="G55" s="3391"/>
      <c r="H55" s="3391"/>
      <c r="I55" s="3391"/>
      <c r="J55" s="3391"/>
      <c r="K55" s="3392"/>
      <c r="L55" s="2372"/>
      <c r="M55" s="2373"/>
      <c r="N55" s="3373">
        <f>SUM(N31,N45,N50,N54)</f>
        <v>5032599.1473251432</v>
      </c>
      <c r="O55" s="3367"/>
      <c r="P55" s="3373">
        <f>SUM(P31,P45,P50,P54)</f>
        <v>102927.64608147174</v>
      </c>
      <c r="Q55" s="3373">
        <f>SUM(Q31,Q45,Q50,Q54)</f>
        <v>5982.9820659489396</v>
      </c>
      <c r="R55" s="3373">
        <f>SUM(R31,R45,R50,R54)</f>
        <v>96944.664015522794</v>
      </c>
      <c r="S55" s="2374"/>
      <c r="T55" s="3379">
        <f>SUM(T31,T45,T50,T54)</f>
        <v>355463.76805691695</v>
      </c>
    </row>
    <row r="56" spans="2:20" ht="18" customHeight="1" x14ac:dyDescent="0.2">
      <c r="B56" s="1024" t="s">
        <v>279</v>
      </c>
      <c r="C56" s="95"/>
      <c r="D56" s="3406"/>
      <c r="E56" s="3407"/>
      <c r="F56" s="3408"/>
      <c r="G56" s="3408"/>
      <c r="H56" s="3408"/>
      <c r="I56" s="3408"/>
      <c r="J56" s="3408"/>
      <c r="K56" s="3409"/>
      <c r="L56" s="3407"/>
      <c r="M56" s="113"/>
      <c r="N56" s="3410" t="str">
        <f>IF(SUM(N57:N60)=0,"NA",SUM(N57:N60))</f>
        <v>NA</v>
      </c>
      <c r="O56" s="3411"/>
      <c r="P56" s="3410" t="str">
        <f>IF(SUM(P57:P60)=0,"NA",SUM(P57:P60))</f>
        <v>NA</v>
      </c>
      <c r="Q56" s="3410" t="str">
        <f>IF(SUM(Q57:Q60)=0,"NA",SUM(Q57:Q60))</f>
        <v>NA</v>
      </c>
      <c r="R56" s="3410" t="str">
        <f>IF(SUM(R57:R60)=0,"NA",SUM(R57:R60))</f>
        <v>NA</v>
      </c>
      <c r="S56" s="3407"/>
      <c r="T56" s="3412" t="str">
        <f>IF(SUM(T57:T60)=0,"NA",SUM(T57:T60))</f>
        <v>NA</v>
      </c>
    </row>
    <row r="57" spans="2:20" ht="18" customHeight="1" x14ac:dyDescent="0.2">
      <c r="B57" s="1025"/>
      <c r="C57" s="96"/>
      <c r="D57" s="39" t="s">
        <v>280</v>
      </c>
      <c r="E57" s="2575" t="s">
        <v>2150</v>
      </c>
      <c r="F57" s="3361" t="s">
        <v>2147</v>
      </c>
      <c r="G57" s="3361" t="s">
        <v>2147</v>
      </c>
      <c r="H57" s="3361" t="s">
        <v>2147</v>
      </c>
      <c r="I57" s="3381"/>
      <c r="J57" s="3361" t="s">
        <v>2147</v>
      </c>
      <c r="K57" s="3369" t="s">
        <v>2147</v>
      </c>
      <c r="L57" s="109" t="s">
        <v>2147</v>
      </c>
      <c r="M57" s="55" t="s">
        <v>1814</v>
      </c>
      <c r="N57" s="3369" t="s">
        <v>2147</v>
      </c>
      <c r="O57" s="3342" t="s">
        <v>2147</v>
      </c>
      <c r="P57" s="3369" t="s">
        <v>2147</v>
      </c>
      <c r="Q57" s="3369" t="s">
        <v>2147</v>
      </c>
      <c r="R57" s="3369" t="s">
        <v>2147</v>
      </c>
      <c r="S57" s="109" t="s">
        <v>2147</v>
      </c>
      <c r="T57" s="3375" t="s">
        <v>2147</v>
      </c>
    </row>
    <row r="58" spans="2:20" ht="18" customHeight="1" x14ac:dyDescent="0.2">
      <c r="B58" s="1025"/>
      <c r="C58" s="96"/>
      <c r="D58" s="39" t="s">
        <v>281</v>
      </c>
      <c r="E58" s="2575" t="s">
        <v>2150</v>
      </c>
      <c r="F58" s="3361" t="s">
        <v>2147</v>
      </c>
      <c r="G58" s="3361" t="s">
        <v>2147</v>
      </c>
      <c r="H58" s="3361" t="s">
        <v>2147</v>
      </c>
      <c r="I58" s="3361" t="s">
        <v>2147</v>
      </c>
      <c r="J58" s="3361" t="s">
        <v>2147</v>
      </c>
      <c r="K58" s="3369" t="s">
        <v>2147</v>
      </c>
      <c r="L58" s="109" t="s">
        <v>2147</v>
      </c>
      <c r="M58" s="55" t="s">
        <v>1814</v>
      </c>
      <c r="N58" s="3369" t="s">
        <v>2147</v>
      </c>
      <c r="O58" s="3342" t="s">
        <v>2147</v>
      </c>
      <c r="P58" s="3369" t="s">
        <v>2147</v>
      </c>
      <c r="Q58" s="3369" t="s">
        <v>2147</v>
      </c>
      <c r="R58" s="3369" t="s">
        <v>2147</v>
      </c>
      <c r="S58" s="109" t="s">
        <v>2147</v>
      </c>
      <c r="T58" s="3375" t="s">
        <v>2147</v>
      </c>
    </row>
    <row r="59" spans="2:20" ht="18" customHeight="1" x14ac:dyDescent="0.2">
      <c r="B59" s="1025"/>
      <c r="C59" s="96"/>
      <c r="D59" s="39" t="s">
        <v>282</v>
      </c>
      <c r="E59" s="2575" t="s">
        <v>2150</v>
      </c>
      <c r="F59" s="3390" t="s">
        <v>2147</v>
      </c>
      <c r="G59" s="3390" t="s">
        <v>2147</v>
      </c>
      <c r="H59" s="3390" t="s">
        <v>2147</v>
      </c>
      <c r="I59" s="3361" t="s">
        <v>2147</v>
      </c>
      <c r="J59" s="3390" t="s">
        <v>2147</v>
      </c>
      <c r="K59" s="3374" t="s">
        <v>2147</v>
      </c>
      <c r="L59" s="117" t="s">
        <v>2147</v>
      </c>
      <c r="M59" s="55" t="s">
        <v>1814</v>
      </c>
      <c r="N59" s="3374" t="s">
        <v>2147</v>
      </c>
      <c r="O59" s="3341" t="s">
        <v>2147</v>
      </c>
      <c r="P59" s="3374" t="s">
        <v>2147</v>
      </c>
      <c r="Q59" s="3374" t="s">
        <v>2147</v>
      </c>
      <c r="R59" s="3374" t="s">
        <v>2147</v>
      </c>
      <c r="S59" s="117" t="s">
        <v>2147</v>
      </c>
      <c r="T59" s="3380" t="s">
        <v>2147</v>
      </c>
    </row>
    <row r="60" spans="2:20" ht="18" customHeight="1" thickBot="1" x14ac:dyDescent="0.25">
      <c r="B60" s="77"/>
      <c r="C60" s="101"/>
      <c r="D60" s="78" t="s">
        <v>283</v>
      </c>
      <c r="E60" s="2576" t="s">
        <v>2150</v>
      </c>
      <c r="F60" s="3393" t="s">
        <v>2147</v>
      </c>
      <c r="G60" s="3393" t="s">
        <v>2147</v>
      </c>
      <c r="H60" s="3393" t="s">
        <v>2147</v>
      </c>
      <c r="I60" s="3391"/>
      <c r="J60" s="3393" t="s">
        <v>2147</v>
      </c>
      <c r="K60" s="3373" t="s">
        <v>2147</v>
      </c>
      <c r="L60" s="123" t="s">
        <v>2147</v>
      </c>
      <c r="M60" s="3413" t="s">
        <v>1814</v>
      </c>
      <c r="N60" s="3373" t="s">
        <v>2147</v>
      </c>
      <c r="O60" s="3368" t="s">
        <v>2147</v>
      </c>
      <c r="P60" s="3373" t="s">
        <v>2147</v>
      </c>
      <c r="Q60" s="3373" t="s">
        <v>2147</v>
      </c>
      <c r="R60" s="3373" t="s">
        <v>2147</v>
      </c>
      <c r="S60" s="123" t="s">
        <v>2147</v>
      </c>
      <c r="T60" s="3379" t="s">
        <v>2147</v>
      </c>
    </row>
    <row r="61" spans="2:20" ht="12" customHeight="1" x14ac:dyDescent="0.2"/>
    <row r="62" spans="2:20" ht="12" customHeight="1" x14ac:dyDescent="0.2">
      <c r="B62" s="988"/>
      <c r="C62" s="988"/>
      <c r="D62" s="988"/>
      <c r="E62" s="988"/>
      <c r="F62" s="988"/>
      <c r="G62" s="988"/>
      <c r="H62" s="988"/>
      <c r="I62" s="988"/>
      <c r="J62" s="988"/>
      <c r="K62" s="988"/>
      <c r="L62" s="988"/>
      <c r="M62" s="988"/>
      <c r="N62" s="988"/>
      <c r="O62" s="988"/>
      <c r="P62" s="988"/>
    </row>
    <row r="63" spans="2:20" ht="12" customHeight="1" x14ac:dyDescent="0.2">
      <c r="B63" s="989"/>
      <c r="C63" s="989"/>
      <c r="D63" s="989"/>
      <c r="E63" s="989"/>
      <c r="F63" s="989"/>
      <c r="G63" s="989"/>
      <c r="H63" s="989"/>
      <c r="I63" s="989"/>
      <c r="J63" s="989"/>
      <c r="K63" s="989"/>
      <c r="L63" s="989"/>
      <c r="M63" s="989"/>
    </row>
    <row r="64" spans="2:20" ht="12" customHeight="1" x14ac:dyDescent="0.2">
      <c r="B64" s="989"/>
      <c r="C64" s="989"/>
      <c r="D64" s="989"/>
      <c r="E64" s="989"/>
      <c r="F64" s="989"/>
      <c r="G64" s="989"/>
    </row>
    <row r="65" spans="2:20" ht="12" customHeight="1" x14ac:dyDescent="0.2">
      <c r="B65" s="989"/>
      <c r="C65" s="989"/>
      <c r="D65" s="989"/>
      <c r="E65" s="989"/>
      <c r="F65" s="989"/>
      <c r="G65" s="989"/>
    </row>
    <row r="66" spans="2:20" ht="12" customHeight="1" x14ac:dyDescent="0.2">
      <c r="B66" s="989"/>
      <c r="C66" s="989"/>
      <c r="D66" s="989"/>
      <c r="E66" s="989"/>
      <c r="F66" s="989"/>
      <c r="G66" s="989"/>
    </row>
    <row r="67" spans="2:20" ht="12" customHeight="1" x14ac:dyDescent="0.2">
      <c r="B67" s="989"/>
      <c r="C67" s="989"/>
      <c r="D67" s="989"/>
    </row>
    <row r="68" spans="2:20" ht="12" customHeight="1" x14ac:dyDescent="0.2">
      <c r="B68" s="989"/>
      <c r="C68" s="989"/>
      <c r="D68" s="989"/>
    </row>
    <row r="69" spans="2:20" ht="12" customHeight="1" x14ac:dyDescent="0.2">
      <c r="B69" s="989"/>
      <c r="C69" s="989"/>
      <c r="D69" s="989"/>
    </row>
    <row r="70" spans="2:20" ht="12" customHeight="1" x14ac:dyDescent="0.2">
      <c r="B70" s="989"/>
      <c r="C70" s="989"/>
      <c r="D70" s="989"/>
    </row>
    <row r="71" spans="2:20" ht="12" customHeight="1" x14ac:dyDescent="0.2">
      <c r="B71" s="988"/>
      <c r="C71" s="988"/>
      <c r="D71" s="988"/>
      <c r="E71" s="988"/>
      <c r="F71" s="988"/>
      <c r="G71" s="988"/>
      <c r="H71" s="988"/>
      <c r="I71" s="988"/>
      <c r="J71" s="988"/>
      <c r="K71" s="988"/>
      <c r="L71" s="988"/>
      <c r="M71" s="988"/>
      <c r="N71" s="988"/>
      <c r="O71" s="988"/>
    </row>
    <row r="72" spans="2:20" ht="12" customHeight="1" thickBot="1" x14ac:dyDescent="0.25">
      <c r="B72" s="1467"/>
      <c r="C72" s="990"/>
      <c r="D72" s="990"/>
    </row>
    <row r="73" spans="2:20" ht="12" customHeight="1" x14ac:dyDescent="0.2">
      <c r="B73" s="991" t="s">
        <v>118</v>
      </c>
      <c r="C73" s="992"/>
      <c r="D73" s="992"/>
      <c r="E73" s="992"/>
      <c r="F73" s="992"/>
      <c r="G73" s="992"/>
      <c r="H73" s="992"/>
      <c r="I73" s="992"/>
      <c r="J73" s="992"/>
      <c r="K73" s="992"/>
      <c r="L73" s="992"/>
      <c r="M73" s="992"/>
      <c r="N73" s="992"/>
      <c r="O73" s="992"/>
      <c r="P73" s="992"/>
      <c r="Q73" s="992"/>
      <c r="R73" s="992"/>
      <c r="S73" s="992"/>
      <c r="T73" s="993"/>
    </row>
    <row r="74" spans="2:20" ht="12" customHeight="1" x14ac:dyDescent="0.2">
      <c r="B74" s="1248"/>
      <c r="C74" s="1249"/>
      <c r="D74" s="1249"/>
      <c r="E74" s="1249"/>
      <c r="F74" s="1249"/>
      <c r="G74" s="1249"/>
      <c r="H74" s="1249"/>
      <c r="I74" s="1249"/>
      <c r="J74" s="1249"/>
      <c r="K74" s="1249"/>
      <c r="L74" s="1249"/>
      <c r="M74" s="1249"/>
      <c r="N74" s="1249"/>
      <c r="O74" s="1249"/>
      <c r="P74" s="1249"/>
      <c r="Q74" s="1249"/>
      <c r="R74" s="1249"/>
      <c r="S74" s="1249"/>
      <c r="T74" s="1250"/>
    </row>
    <row r="75" spans="2:20" ht="12" customHeight="1" x14ac:dyDescent="0.2">
      <c r="B75" s="1248"/>
      <c r="C75" s="1249"/>
      <c r="D75" s="1249"/>
      <c r="E75" s="1249"/>
      <c r="F75" s="1249"/>
      <c r="G75" s="1249"/>
      <c r="H75" s="1249"/>
      <c r="I75" s="1249"/>
      <c r="J75" s="1249"/>
      <c r="K75" s="1249"/>
      <c r="L75" s="1249"/>
      <c r="M75" s="1249"/>
      <c r="N75" s="1249"/>
      <c r="O75" s="1249"/>
      <c r="P75" s="1249"/>
      <c r="Q75" s="1249"/>
      <c r="R75" s="1249"/>
      <c r="S75" s="1249"/>
      <c r="T75" s="1250"/>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284</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3" sqref="B13"/>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285</v>
      </c>
      <c r="C1" s="209"/>
      <c r="D1" s="209"/>
      <c r="E1" s="209"/>
      <c r="I1" s="14" t="s">
        <v>2521</v>
      </c>
    </row>
    <row r="2" spans="2:12" ht="16.5" customHeight="1" x14ac:dyDescent="0.3">
      <c r="B2" s="210" t="s">
        <v>286</v>
      </c>
      <c r="C2" s="210"/>
      <c r="D2" s="210"/>
      <c r="I2" s="14" t="s">
        <v>2522</v>
      </c>
    </row>
    <row r="3" spans="2:12" ht="15.75" customHeight="1" x14ac:dyDescent="0.25">
      <c r="B3" s="216" t="s">
        <v>62</v>
      </c>
      <c r="H3" s="2"/>
      <c r="I3" s="14" t="s">
        <v>2144</v>
      </c>
    </row>
    <row r="4" spans="2:12" ht="12" customHeight="1" x14ac:dyDescent="0.25">
      <c r="B4" s="216"/>
      <c r="H4" s="2"/>
      <c r="I4" s="2"/>
    </row>
    <row r="5" spans="2:12" ht="12" customHeight="1" x14ac:dyDescent="0.25">
      <c r="B5" s="216"/>
      <c r="H5" s="2"/>
      <c r="I5" s="2"/>
      <c r="L5"/>
    </row>
    <row r="6" spans="2:12" ht="12.75" customHeight="1" thickBot="1" x14ac:dyDescent="0.25">
      <c r="B6" s="2447" t="s">
        <v>64</v>
      </c>
      <c r="C6" s="23"/>
      <c r="D6" s="44"/>
      <c r="E6" s="44"/>
      <c r="F6" s="44"/>
      <c r="G6" s="4"/>
      <c r="H6" s="4"/>
      <c r="I6" s="4"/>
      <c r="L6"/>
    </row>
    <row r="7" spans="2:12" ht="25.5" customHeight="1" x14ac:dyDescent="0.2">
      <c r="B7" s="124" t="s">
        <v>218</v>
      </c>
      <c r="C7" s="217" t="s">
        <v>287</v>
      </c>
      <c r="D7" s="218"/>
      <c r="E7" s="219"/>
      <c r="F7" s="217" t="s">
        <v>288</v>
      </c>
      <c r="G7" s="218"/>
      <c r="H7" s="217" t="s">
        <v>289</v>
      </c>
      <c r="I7" s="220"/>
      <c r="L7"/>
    </row>
    <row r="8" spans="2:12" ht="63" customHeight="1" x14ac:dyDescent="0.2">
      <c r="B8" s="46"/>
      <c r="C8" s="9" t="s">
        <v>290</v>
      </c>
      <c r="D8" s="9" t="s">
        <v>291</v>
      </c>
      <c r="E8" s="47" t="s">
        <v>292</v>
      </c>
      <c r="F8" s="9" t="s">
        <v>293</v>
      </c>
      <c r="G8" s="47" t="s">
        <v>294</v>
      </c>
      <c r="H8" s="9" t="s">
        <v>293</v>
      </c>
      <c r="I8" s="263" t="s">
        <v>295</v>
      </c>
      <c r="L8"/>
    </row>
    <row r="9" spans="2:12" ht="15" customHeight="1" thickBot="1" x14ac:dyDescent="0.25">
      <c r="B9" s="46"/>
      <c r="C9" s="6" t="s">
        <v>296</v>
      </c>
      <c r="D9" s="6" t="s">
        <v>296</v>
      </c>
      <c r="E9" s="6" t="s">
        <v>73</v>
      </c>
      <c r="F9" s="6" t="s">
        <v>296</v>
      </c>
      <c r="G9" s="6" t="s">
        <v>73</v>
      </c>
      <c r="H9" s="12" t="s">
        <v>297</v>
      </c>
      <c r="I9" s="48" t="s">
        <v>297</v>
      </c>
      <c r="L9"/>
    </row>
    <row r="10" spans="2:12" ht="18" customHeight="1" thickTop="1" x14ac:dyDescent="0.2">
      <c r="B10" s="49" t="s">
        <v>298</v>
      </c>
      <c r="C10" s="4135">
        <f>'Table1.A(b)'!N31/1000</f>
        <v>1736.045362619775</v>
      </c>
      <c r="D10" s="4136">
        <f>C10-'Table1.A(d)'!E31/1000</f>
        <v>1615.7520222359287</v>
      </c>
      <c r="E10" s="4135">
        <f>'Table1.A(b)'!T31</f>
        <v>111098.23146952738</v>
      </c>
      <c r="F10" s="4135">
        <f>'Table1.A(a)s1'!C11/1000</f>
        <v>1666.6026639465356</v>
      </c>
      <c r="G10" s="4135">
        <f>'Table1.A(a)s1'!H11</f>
        <v>113500.78448750627</v>
      </c>
      <c r="H10" s="4135">
        <f>100*((D10-F10)/F10)</f>
        <v>-3.0511556719939414</v>
      </c>
      <c r="I10" s="4137">
        <f>100*((E10-G10)/G10)</f>
        <v>-2.1167721693089749</v>
      </c>
      <c r="L10"/>
    </row>
    <row r="11" spans="2:12" ht="18" customHeight="1" x14ac:dyDescent="0.2">
      <c r="B11" s="50" t="s">
        <v>299</v>
      </c>
      <c r="C11" s="4135">
        <f>'Table1.A(b)'!N45/1000</f>
        <v>2239.1690718105588</v>
      </c>
      <c r="D11" s="4135">
        <f>C11-'Table1.A(d)'!E45/1000</f>
        <v>2129.13238856006</v>
      </c>
      <c r="E11" s="4135">
        <f>'Table1.A(b)'!T45</f>
        <v>191999.65218163966</v>
      </c>
      <c r="F11" s="4135">
        <f>'Table1.A(a)s1'!C12/1000</f>
        <v>2139.3531791013579</v>
      </c>
      <c r="G11" s="4135">
        <f>'Table1.A(a)s1'!H12</f>
        <v>193584.25920580653</v>
      </c>
      <c r="H11" s="4135">
        <f t="shared" ref="H11:H13" si="0">100*((D11-F11)/F11)</f>
        <v>-0.47775143632858119</v>
      </c>
      <c r="I11" s="4137">
        <f t="shared" ref="I11:I13" si="1">100*((E11-G11)/G11)</f>
        <v>-0.81856191751738683</v>
      </c>
      <c r="L11"/>
    </row>
    <row r="12" spans="2:12" ht="18" customHeight="1" x14ac:dyDescent="0.2">
      <c r="B12" s="50" t="s">
        <v>300</v>
      </c>
      <c r="C12" s="4135">
        <f>'Table1.A(b)'!N50/1000</f>
        <v>1057.3847128948098</v>
      </c>
      <c r="D12" s="4135">
        <f>C12-'Table1.A(d)'!E50/1000</f>
        <v>1014.8413834818967</v>
      </c>
      <c r="E12" s="4135">
        <f>'Table1.A(b)'!T50</f>
        <v>52365.884405749908</v>
      </c>
      <c r="F12" s="4135">
        <f>'Table1.A(a)s1'!C13/1000</f>
        <v>1020.7990610064145</v>
      </c>
      <c r="G12" s="4135">
        <f>'Table1.A(a)s1'!H13</f>
        <v>52578.469945806639</v>
      </c>
      <c r="H12" s="4135">
        <f t="shared" si="0"/>
        <v>-0.58362882099872071</v>
      </c>
      <c r="I12" s="4137">
        <f t="shared" si="1"/>
        <v>-0.40432051422539594</v>
      </c>
      <c r="L12"/>
    </row>
    <row r="13" spans="2:12" ht="18" customHeight="1" x14ac:dyDescent="0.2">
      <c r="B13" s="50" t="s">
        <v>275</v>
      </c>
      <c r="C13" s="4135">
        <f>'Table1.A(b)'!N54/1000</f>
        <v>0</v>
      </c>
      <c r="D13" s="4135">
        <f>C13-SUM('Table1.A(d)'!E54)/1000</f>
        <v>0</v>
      </c>
      <c r="E13" s="4135">
        <f>'Table1.A(b)'!T54</f>
        <v>0</v>
      </c>
      <c r="F13" s="4135">
        <f>'Table1.A(a)s1'!C14/1000</f>
        <v>6.9186814430088086</v>
      </c>
      <c r="G13" s="4135">
        <f>'Table1.A(a)s1'!H14</f>
        <v>622.36934977254577</v>
      </c>
      <c r="H13" s="4135">
        <f t="shared" si="0"/>
        <v>-100</v>
      </c>
      <c r="I13" s="4137">
        <f t="shared" si="1"/>
        <v>-100</v>
      </c>
      <c r="L13"/>
    </row>
    <row r="14" spans="2:12" ht="18" customHeight="1" x14ac:dyDescent="0.2">
      <c r="B14" s="50" t="s">
        <v>301</v>
      </c>
      <c r="C14" s="4135" t="s">
        <v>2146</v>
      </c>
      <c r="D14" s="4135" t="s">
        <v>2146</v>
      </c>
      <c r="E14" s="4135" t="s">
        <v>2146</v>
      </c>
      <c r="F14" s="4135" t="s">
        <v>2146</v>
      </c>
      <c r="G14" s="4135" t="str">
        <f>'Table1.A(a)s1'!H15</f>
        <v>NO</v>
      </c>
      <c r="H14" s="4135" t="s">
        <v>2147</v>
      </c>
      <c r="I14" s="4137" t="s">
        <v>2147</v>
      </c>
      <c r="L14"/>
    </row>
    <row r="15" spans="2:12" ht="18" customHeight="1" thickBot="1" x14ac:dyDescent="0.25">
      <c r="B15" s="2297" t="s">
        <v>1514</v>
      </c>
      <c r="C15" s="4138">
        <f>SUM(C10:C14)</f>
        <v>5032.5991473251433</v>
      </c>
      <c r="D15" s="4138">
        <f>SUM(D10:D14)</f>
        <v>4759.7257942778851</v>
      </c>
      <c r="E15" s="4138">
        <f>SUM(E10:E14)</f>
        <v>355463.76805691695</v>
      </c>
      <c r="F15" s="4138">
        <f>SUM(F10:F14)</f>
        <v>4833.6735854973167</v>
      </c>
      <c r="G15" s="4138">
        <f>SUM(G10:G14)</f>
        <v>360285.88298889197</v>
      </c>
      <c r="H15" s="4139">
        <f t="shared" ref="H15" si="2">100*((D15-F15)/F15)</f>
        <v>-1.5298466044811212</v>
      </c>
      <c r="I15" s="4140">
        <f t="shared" ref="I15" si="3">100*((E15-G15)/G15)</f>
        <v>-1.338413509841488</v>
      </c>
    </row>
    <row r="16" spans="2:12" ht="12" customHeight="1" x14ac:dyDescent="0.2">
      <c r="B16" s="119"/>
      <c r="C16" s="119"/>
      <c r="D16" s="119"/>
      <c r="E16" s="119"/>
      <c r="F16" s="119"/>
      <c r="G16" s="119"/>
      <c r="H16" s="119"/>
      <c r="I16" s="119"/>
    </row>
    <row r="17" spans="2:9" ht="12" customHeight="1" x14ac:dyDescent="0.2">
      <c r="B17" s="312"/>
      <c r="C17" s="312"/>
      <c r="D17" s="312"/>
      <c r="E17" s="312"/>
      <c r="F17" s="312"/>
      <c r="G17" s="312"/>
      <c r="H17" s="312"/>
      <c r="I17" s="312"/>
    </row>
    <row r="18" spans="2:9" ht="12" customHeight="1" x14ac:dyDescent="0.2">
      <c r="B18" s="312"/>
      <c r="C18" s="312"/>
      <c r="D18" s="312"/>
      <c r="E18" s="312"/>
      <c r="F18" s="312"/>
      <c r="G18" s="312"/>
      <c r="H18" s="312"/>
      <c r="I18" s="312"/>
    </row>
    <row r="19" spans="2:9" ht="12" customHeight="1" x14ac:dyDescent="0.2">
      <c r="B19" s="312"/>
      <c r="C19" s="312"/>
      <c r="D19" s="312"/>
      <c r="E19" s="312"/>
      <c r="F19" s="312"/>
      <c r="G19" s="312"/>
      <c r="H19" s="312"/>
      <c r="I19" s="312"/>
    </row>
    <row r="20" spans="2:9" ht="12" customHeight="1" x14ac:dyDescent="0.2">
      <c r="B20" s="312"/>
      <c r="C20" s="312"/>
      <c r="D20" s="312"/>
      <c r="E20" s="312"/>
      <c r="F20" s="312"/>
      <c r="G20" s="126"/>
      <c r="H20" s="126"/>
      <c r="I20" s="126"/>
    </row>
    <row r="21" spans="2:9" ht="12" customHeight="1" x14ac:dyDescent="0.2">
      <c r="B21" s="1518"/>
      <c r="C21" s="127"/>
      <c r="D21" s="127"/>
      <c r="E21" s="127"/>
      <c r="F21" s="127"/>
      <c r="G21" s="127"/>
      <c r="H21" s="127"/>
      <c r="I21" s="127"/>
    </row>
    <row r="22" spans="2:9" ht="12" customHeight="1" x14ac:dyDescent="0.2">
      <c r="B22" s="312"/>
      <c r="C22" s="312"/>
      <c r="D22" s="312"/>
      <c r="E22" s="312"/>
      <c r="F22" s="127"/>
      <c r="G22" s="127"/>
      <c r="H22" s="127"/>
      <c r="I22" s="127"/>
    </row>
    <row r="23" spans="2:9" ht="12" customHeight="1" x14ac:dyDescent="0.2">
      <c r="B23" s="312"/>
      <c r="C23" s="312"/>
      <c r="D23" s="312"/>
      <c r="E23" s="312"/>
      <c r="F23" s="127"/>
      <c r="G23" s="127"/>
      <c r="H23" s="127"/>
      <c r="I23" s="127"/>
    </row>
    <row r="24" spans="2:9" ht="12" customHeight="1" x14ac:dyDescent="0.2">
      <c r="B24" s="312"/>
      <c r="C24" s="312"/>
      <c r="D24" s="312"/>
      <c r="E24" s="312"/>
      <c r="F24" s="127"/>
      <c r="G24" s="127"/>
      <c r="H24" s="127"/>
      <c r="I24" s="127"/>
    </row>
    <row r="25" spans="2:9" ht="12" customHeight="1" x14ac:dyDescent="0.2">
      <c r="B25" s="312"/>
      <c r="C25" s="312"/>
      <c r="D25" s="312"/>
      <c r="E25" s="312"/>
      <c r="F25" s="127"/>
      <c r="G25" s="127"/>
      <c r="H25" s="127"/>
      <c r="I25" s="127"/>
    </row>
    <row r="26" spans="2:9" ht="12" customHeight="1" x14ac:dyDescent="0.2">
      <c r="B26" s="312"/>
      <c r="C26" s="312"/>
      <c r="D26" s="312"/>
      <c r="E26" s="312"/>
      <c r="F26" s="127"/>
      <c r="G26" s="127"/>
      <c r="H26" s="127"/>
      <c r="I26" s="127"/>
    </row>
    <row r="27" spans="2:9" ht="12" customHeight="1" x14ac:dyDescent="0.2">
      <c r="B27" s="312"/>
      <c r="C27" s="312"/>
      <c r="D27" s="312"/>
      <c r="E27" s="312"/>
      <c r="F27" s="127"/>
      <c r="G27" s="127"/>
      <c r="H27" s="127"/>
      <c r="I27" s="127"/>
    </row>
    <row r="28" spans="2:9" ht="12" customHeight="1" x14ac:dyDescent="0.2">
      <c r="B28" s="988"/>
      <c r="C28" s="1720"/>
      <c r="D28" s="1720"/>
      <c r="E28" s="1720"/>
      <c r="F28" s="1720"/>
      <c r="G28" s="1720"/>
      <c r="H28" s="1720"/>
      <c r="I28" s="1720"/>
    </row>
    <row r="29" spans="2:9" ht="12" customHeight="1" thickBot="1" x14ac:dyDescent="0.25"/>
    <row r="30" spans="2:9" ht="12" customHeight="1" x14ac:dyDescent="0.2">
      <c r="B30" s="1571" t="s">
        <v>118</v>
      </c>
      <c r="C30" s="1572"/>
      <c r="D30" s="1572"/>
      <c r="E30" s="1572"/>
      <c r="F30" s="1572"/>
      <c r="G30" s="1572"/>
      <c r="H30" s="1572"/>
      <c r="I30" s="1573"/>
    </row>
    <row r="31" spans="2:9" ht="12" customHeight="1" x14ac:dyDescent="0.2">
      <c r="B31" s="1717"/>
      <c r="C31" s="1718"/>
      <c r="D31" s="1718"/>
      <c r="E31" s="1718"/>
      <c r="F31" s="1718"/>
      <c r="G31" s="1718"/>
      <c r="H31" s="1718"/>
      <c r="I31" s="1719"/>
    </row>
    <row r="32" spans="2:9" ht="12" customHeight="1" x14ac:dyDescent="0.2">
      <c r="B32" s="1717"/>
      <c r="C32" s="1718"/>
      <c r="D32" s="1718"/>
      <c r="E32" s="1718"/>
      <c r="F32" s="1718"/>
      <c r="G32" s="1718"/>
      <c r="H32" s="1718"/>
      <c r="I32" s="1719"/>
    </row>
    <row r="33" spans="2:9" ht="12" customHeight="1" x14ac:dyDescent="0.2">
      <c r="B33" s="1717"/>
      <c r="C33" s="1718"/>
      <c r="D33" s="1718"/>
      <c r="E33" s="1718"/>
      <c r="F33" s="1718"/>
      <c r="G33" s="1718"/>
      <c r="H33" s="1718"/>
      <c r="I33" s="1719"/>
    </row>
    <row r="34" spans="2:9" ht="12" customHeight="1" x14ac:dyDescent="0.2">
      <c r="B34" s="1716"/>
      <c r="C34" s="997"/>
      <c r="D34" s="997"/>
      <c r="E34" s="997"/>
      <c r="F34" s="997"/>
      <c r="G34" s="997"/>
      <c r="H34" s="997"/>
      <c r="I34" s="998"/>
    </row>
    <row r="35" spans="2:9" ht="27" customHeight="1" thickBot="1" x14ac:dyDescent="0.25">
      <c r="B35" s="4474" t="s">
        <v>2178</v>
      </c>
      <c r="C35" s="4475"/>
      <c r="D35" s="4475"/>
      <c r="E35" s="4475"/>
      <c r="F35" s="4475"/>
      <c r="G35" s="4475"/>
      <c r="H35" s="4475"/>
      <c r="I35" s="4476"/>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W o r k b o o k S t a t e   x m l n s : i = " h t t p : / / w w w . w 3 . o r g / 2 0 0 1 / X M L S c h e m a - i n s t a n c e "   x m l n s = " h t t p : / / s c h e m a s . m i c r o s o f t . c o m / P o w e r B I A d d I n " > < L a s t P r o v i d e d R a n g e N a m e I d > 0 < / L a s t P r o v i d e d R a n g e N a m e I d > < L a s t U s e d G r o u p O b j e c t I d > < / L a s t U s e d G r o u p O b j e c t I d > < T i l e s L i s t > < T i l e s / > < / T i l e s L i s t > < / W o r k b o o k S t a t e > 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2.xml><?xml version="1.0" encoding="utf-8"?>
<ds:datastoreItem xmlns:ds="http://schemas.openxmlformats.org/officeDocument/2006/customXml" ds:itemID="{D7F9BB66-26BC-4FB5-8B4E-F270C2DFD009}">
  <ds:schemaRefs>
    <ds:schemaRef ds:uri="http://schemas.microsoft.com/PowerBIAddIn"/>
  </ds:schemaRefs>
</ds:datastoreItem>
</file>

<file path=customXml/itemProps3.xml><?xml version="1.0" encoding="utf-8"?>
<ds:datastoreItem xmlns:ds="http://schemas.openxmlformats.org/officeDocument/2006/customXml" ds:itemID="{501F070E-2052-4EF9-AFCC-CDD91A3CEE58}"/>
</file>

<file path=customXml/itemProps4.xml><?xml version="1.0" encoding="utf-8"?>
<ds:datastoreItem xmlns:ds="http://schemas.openxmlformats.org/officeDocument/2006/customXml" ds:itemID="{141E52C8-47E4-4DC2-8872-54DF2F6B3E75}">
  <ds:schemaRefs>
    <ds:schemaRef ds:uri="http://www.w3.org/XML/1998/namespace"/>
    <ds:schemaRef ds:uri="http://schemas.microsoft.com/sharepoint/v4"/>
    <ds:schemaRef ds:uri="http://purl.org/dc/terms/"/>
    <ds:schemaRef ds:uri="http://schemas.microsoft.com/office/infopath/2007/PartnerControls"/>
    <ds:schemaRef ds:uri="http://purl.org/dc/elements/1.1/"/>
    <ds:schemaRef ds:uri="http://schemas.microsoft.com/office/2006/documentManagement/types"/>
    <ds:schemaRef ds:uri="a36bd50b-1532-4c22-b385-5c082c960938"/>
    <ds:schemaRef ds:uri="http://schemas.microsoft.com/office/2006/metadata/properties"/>
    <ds:schemaRef ds:uri="http://schemas.openxmlformats.org/package/2006/metadata/core-properties"/>
    <ds:schemaRef ds:uri="8c4c6479-bb6a-4263-8159-fbb0afc5d491"/>
    <ds:schemaRef ds:uri="http://schemas.microsoft.com/sharepoint/v3"/>
    <ds:schemaRef ds:uri="http://purl.org/dc/dcmitype/"/>
  </ds:schemaRefs>
</ds:datastoreItem>
</file>

<file path=customXml/itemProps5.xml><?xml version="1.0" encoding="utf-8"?>
<ds:datastoreItem xmlns:ds="http://schemas.openxmlformats.org/officeDocument/2006/customXml" ds:itemID="{32A9FEB2-8205-4368-A3A5-444D049B3276}">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Perkins, Brooke</cp:lastModifiedBy>
  <cp:revision/>
  <cp:lastPrinted>2022-02-21T17:57:10Z</cp:lastPrinted>
  <dcterms:created xsi:type="dcterms:W3CDTF">2011-02-23T16:15:13Z</dcterms:created>
  <dcterms:modified xsi:type="dcterms:W3CDTF">2023-04-13T05:56:38Z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ies>
</file>