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07A7CBBD-A483-423E-8862-460C42CC0444}" xr6:coauthVersionLast="47" xr6:coauthVersionMax="47" xr10:uidLastSave="{00000000-0000-0000-0000-000000000000}"/>
  <bookViews>
    <workbookView xWindow="1170" yWindow="1170" windowWidth="8370" windowHeight="658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H67" i="34"/>
  <c r="G28" i="34"/>
  <c r="I67" i="34"/>
  <c r="H28" i="34"/>
  <c r="I37" i="34"/>
  <c r="G80" i="34"/>
  <c r="G88" i="34"/>
  <c r="G26" i="34"/>
  <c r="H27" i="34"/>
  <c r="I28" i="34"/>
  <c r="G34" i="34"/>
  <c r="H35" i="34"/>
  <c r="I36" i="34"/>
  <c r="G54" i="34"/>
  <c r="I80" i="34"/>
  <c r="H26" i="34"/>
  <c r="I27" i="34"/>
  <c r="G33" i="34"/>
  <c r="H34" i="34"/>
  <c r="I35" i="34"/>
  <c r="G85" i="34"/>
  <c r="G89" i="34"/>
  <c r="I26" i="34"/>
  <c r="G32" i="34"/>
  <c r="H33" i="34"/>
  <c r="I34" i="34"/>
  <c r="G135" i="34"/>
  <c r="G143" i="34"/>
  <c r="G120" i="34"/>
  <c r="G138" i="34"/>
  <c r="I45" i="59"/>
  <c r="G133" i="34"/>
  <c r="G141" i="34"/>
  <c r="I15" i="59"/>
  <c r="G136" i="34"/>
  <c r="H16" i="59"/>
  <c r="G139" i="34"/>
  <c r="H15" i="59"/>
  <c r="H45" i="59"/>
  <c r="G134" i="34"/>
  <c r="G142" i="34"/>
  <c r="D16" i="57"/>
  <c r="I22" i="59"/>
  <c r="G137" i="34"/>
  <c r="I149" i="34"/>
  <c r="D18" i="57"/>
  <c r="G132" i="34"/>
  <c r="G140" i="34"/>
  <c r="H22" i="59"/>
  <c r="H149" i="34"/>
  <c r="H134" i="34"/>
  <c r="H118" i="34"/>
  <c r="H119" i="34"/>
  <c r="H120" i="34"/>
  <c r="H121" i="34"/>
  <c r="H122" i="34"/>
  <c r="H123" i="34"/>
  <c r="H124" i="34"/>
  <c r="H125" i="34"/>
  <c r="H126" i="34"/>
  <c r="I118" i="34"/>
  <c r="I119" i="34"/>
  <c r="I120" i="34"/>
  <c r="I121" i="34"/>
  <c r="I122" i="34"/>
  <c r="I123" i="34"/>
  <c r="I124" i="34"/>
  <c r="I125" i="34"/>
  <c r="I126" i="34"/>
  <c r="I127" i="34"/>
  <c r="I128" i="34"/>
  <c r="I129" i="34"/>
  <c r="D29" i="25"/>
  <c r="F29" i="25"/>
  <c r="G29" i="25"/>
  <c r="H29" i="25"/>
  <c r="I29" i="25"/>
  <c r="K29" i="25"/>
  <c r="M29" i="25"/>
  <c r="O29" i="25"/>
  <c r="I94" i="34"/>
  <c r="K106" i="34"/>
  <c r="K107" i="34"/>
  <c r="K108" i="34"/>
  <c r="K109" i="34"/>
  <c r="K110" i="34"/>
  <c r="K111" i="34"/>
  <c r="K112" i="34"/>
  <c r="K113" i="34"/>
  <c r="K114" i="34"/>
  <c r="K115" i="34"/>
  <c r="K116" i="34"/>
  <c r="M106" i="34"/>
  <c r="M107" i="34"/>
  <c r="M108" i="34"/>
  <c r="M109" i="34"/>
  <c r="M110" i="34"/>
  <c r="M111" i="34"/>
  <c r="M112" i="34"/>
  <c r="M113" i="34"/>
  <c r="M114" i="34"/>
  <c r="M115" i="34"/>
  <c r="M116" i="34"/>
  <c r="H80" i="34"/>
  <c r="G65" i="34"/>
  <c r="G66" i="34"/>
  <c r="G67" i="34"/>
  <c r="G68" i="34"/>
  <c r="G69" i="34"/>
  <c r="H54" i="34"/>
  <c r="I54" i="34"/>
  <c r="G63" i="34"/>
  <c r="M51" i="34" l="1"/>
  <c r="L51" i="34"/>
  <c r="K51" i="34"/>
  <c r="J51" i="34"/>
  <c r="I63" i="34"/>
  <c r="I62" i="34"/>
  <c r="I61" i="34"/>
  <c r="I60" i="34"/>
  <c r="I59" i="34"/>
  <c r="I58" i="34"/>
  <c r="I57" i="34"/>
  <c r="I56" i="34"/>
  <c r="I55" i="34"/>
  <c r="I53" i="34"/>
  <c r="I52" i="34"/>
  <c r="H63" i="34"/>
  <c r="H62" i="34"/>
  <c r="H61" i="34"/>
  <c r="H60" i="34"/>
  <c r="H59" i="34"/>
  <c r="H58" i="34"/>
  <c r="H57" i="34"/>
  <c r="H56" i="34"/>
  <c r="H55" i="34"/>
  <c r="H53" i="34"/>
  <c r="H52" i="34"/>
  <c r="I70" i="34"/>
  <c r="L64" i="34"/>
  <c r="K64" i="34"/>
  <c r="H76" i="34"/>
  <c r="H75" i="34"/>
  <c r="H74" i="34"/>
  <c r="H73" i="34"/>
  <c r="H72" i="34"/>
  <c r="G76" i="34"/>
  <c r="G75" i="34"/>
  <c r="G74" i="34"/>
  <c r="G73" i="34"/>
  <c r="G72" i="34"/>
  <c r="G71" i="34"/>
  <c r="G70" i="34"/>
  <c r="M77" i="34"/>
  <c r="L77" i="34"/>
  <c r="K77" i="34"/>
  <c r="J77" i="34"/>
  <c r="H89" i="34"/>
  <c r="H88" i="34"/>
  <c r="H87" i="34"/>
  <c r="H86" i="34"/>
  <c r="H85" i="34"/>
  <c r="H84" i="34"/>
  <c r="H83" i="34"/>
  <c r="H82" i="34"/>
  <c r="H81"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3" i="34"/>
  <c r="I102" i="34"/>
  <c r="I101" i="34"/>
  <c r="I100" i="34"/>
  <c r="I99" i="34"/>
  <c r="I98" i="34"/>
  <c r="I97" i="34"/>
  <c r="I96" i="34"/>
  <c r="I95"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9" i="34"/>
  <c r="H128" i="34"/>
  <c r="H127" i="34"/>
  <c r="K131" i="34"/>
  <c r="K130" i="34" s="1"/>
  <c r="U30" i="25"/>
  <c r="T30" i="25"/>
  <c r="R30" i="25"/>
  <c r="O30" i="25"/>
  <c r="M30" i="25"/>
  <c r="K30" i="25"/>
  <c r="I30" i="25"/>
  <c r="H30" i="25"/>
  <c r="G30" i="25"/>
  <c r="F30" i="25"/>
  <c r="D30" i="25"/>
  <c r="J131" i="34"/>
  <c r="J130" i="34" s="1"/>
  <c r="C30" i="25"/>
  <c r="F49" i="22" s="1"/>
  <c r="H143" i="34"/>
  <c r="H142" i="34"/>
  <c r="H141" i="34"/>
  <c r="H140" i="34"/>
  <c r="H139" i="34"/>
  <c r="H138" i="34"/>
  <c r="H137" i="34"/>
  <c r="H136" i="34"/>
  <c r="H135" i="34"/>
  <c r="H133" i="34"/>
  <c r="H132" i="34"/>
  <c r="M146" i="34"/>
  <c r="I158"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8" i="34"/>
  <c r="H157" i="34"/>
  <c r="H156" i="34"/>
  <c r="H155" i="34"/>
  <c r="H154" i="34"/>
  <c r="H153" i="34"/>
  <c r="H152" i="34"/>
  <c r="H151" i="34"/>
  <c r="H150"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57" i="34"/>
  <c r="D111" i="34"/>
  <c r="G111" i="34" s="1"/>
  <c r="G98" i="34"/>
  <c r="K13" i="59"/>
  <c r="H14" i="59"/>
  <c r="I15" i="57"/>
  <c r="G13" i="57"/>
  <c r="E15" i="57"/>
  <c r="I156" i="34"/>
  <c r="I148" i="34"/>
  <c r="G127" i="34"/>
  <c r="G125"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I154" i="34"/>
  <c r="G129" i="34"/>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18" i="34"/>
  <c r="G101" i="34"/>
  <c r="D114" i="34"/>
  <c r="G114" i="34" s="1"/>
  <c r="D106" i="34"/>
  <c r="G106" i="34" s="1"/>
  <c r="G93" i="34"/>
  <c r="I16" i="57"/>
  <c r="E16" i="57"/>
  <c r="I18" i="57"/>
  <c r="E18" i="57"/>
  <c r="I151" i="34"/>
  <c r="G128" i="34"/>
  <c r="G100" i="34"/>
  <c r="D113" i="34"/>
  <c r="G113" i="34" s="1"/>
  <c r="D105" i="34"/>
  <c r="G105" i="34" s="1"/>
  <c r="G92" i="34"/>
  <c r="I89" i="34"/>
  <c r="I85" i="34"/>
  <c r="I81" i="34"/>
  <c r="I68" i="34"/>
  <c r="I66" i="34"/>
  <c r="G81" i="34"/>
  <c r="I76" i="34"/>
  <c r="H70" i="34"/>
  <c r="H68" i="34"/>
  <c r="H66" i="34"/>
  <c r="G55" i="34"/>
  <c r="I88" i="34"/>
  <c r="I84" i="34"/>
  <c r="I75" i="34"/>
  <c r="M64" i="34"/>
  <c r="G62" i="34"/>
  <c r="G84" i="34"/>
  <c r="I74" i="34"/>
  <c r="J64" i="34"/>
  <c r="G61" i="34"/>
  <c r="G53" i="34"/>
  <c r="H36" i="34"/>
  <c r="G35" i="34"/>
  <c r="I29" i="34"/>
  <c r="G27" i="34"/>
  <c r="I73" i="34"/>
  <c r="I69" i="34"/>
  <c r="I65" i="34"/>
  <c r="H37" i="34"/>
  <c r="G36" i="34"/>
  <c r="I30" i="34"/>
  <c r="H29" i="34"/>
  <c r="M25" i="34"/>
  <c r="G87" i="34"/>
  <c r="G83" i="34"/>
  <c r="G79" i="34"/>
  <c r="I72" i="34"/>
  <c r="H69" i="34"/>
  <c r="H65" i="34"/>
  <c r="G59" i="34"/>
  <c r="G37" i="34"/>
  <c r="I31" i="34"/>
  <c r="H30" i="34"/>
  <c r="G29" i="34"/>
  <c r="L25" i="34"/>
  <c r="I71" i="34"/>
  <c r="I32" i="34"/>
  <c r="H31" i="34"/>
  <c r="G30" i="34"/>
  <c r="K25" i="34"/>
  <c r="H71" i="34"/>
  <c r="I33" i="34"/>
  <c r="H32" i="34"/>
  <c r="G31" i="34"/>
  <c r="J25" i="34"/>
  <c r="I83" i="34"/>
  <c r="G60" i="34"/>
  <c r="I82" i="34"/>
  <c r="G58" i="34"/>
  <c r="G82" i="34"/>
  <c r="G57" i="34"/>
  <c r="I79" i="34"/>
  <c r="G56" i="34"/>
  <c r="I87" i="34"/>
  <c r="G78" i="34"/>
  <c r="I86" i="34"/>
  <c r="I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F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H49" i="70" l="1"/>
  <c r="I34" i="73"/>
  <c r="J34" i="73" s="1"/>
  <c r="G35" i="73"/>
  <c r="H45" i="70"/>
  <c r="H22" i="73"/>
  <c r="H23" i="73"/>
  <c r="H24" i="73"/>
  <c r="H25" i="73"/>
  <c r="T49" i="70"/>
  <c r="H46" i="70"/>
  <c r="H65" i="70"/>
  <c r="T42" i="70"/>
  <c r="H21" i="73"/>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<sst xmlns="http://schemas.openxmlformats.org/spreadsheetml/2006/main" count="19156" uniqueCount="2523">
  <si>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</si>
  <si>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</si>
  <si>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</si>
  <si>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</si>
  <si>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</si>
  <si>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</si>
  <si>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</si>
  <si>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</si>
  <si>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</si>
  <si>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</si>
  <si>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</si>
  <si>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</si>
  <si>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</si>
  <si>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</si>
  <si>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</si>
  <si>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</si>
  <si>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</si>
  <si>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</si>
  <si>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</si>
  <si>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</si>
  <si>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</si>
  <si>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</si>
  <si>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</si>
  <si>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</si>
  <si>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</si>
  <si>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</si>
  <si>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</si>
  <si>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</si>
  <si>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</si>
  <si>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</si>
  <si>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</si>
  <si>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</si>
  <si>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</si>
  <si>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</si>
  <si>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</si>
  <si>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</si>
  <si>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</si>
  <si>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</si>
  <si>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</si>
  <si>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</si>
  <si>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</si>
  <si>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</si>
  <si>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</si>
  <si>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</si>
  <si>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</si>
  <si>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</si>
  <si>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</si>
  <si>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</si>
  <si>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</si>
  <si>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</si>
  <si>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</si>
  <si>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</si>
  <si>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</si>
  <si>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</si>
  <si>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</si>
  <si>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</si>
  <si>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</si>
  <si>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</si>
  <si>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</si>
  <si>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</si>
  <si>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</si>
  <si>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</si>
  <si>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</si>
  <si>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</si>
  <si>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</si>
  <si>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</si>
  <si>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</si>
  <si>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</si>
  <si>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</si>
  <si>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</si>
  <si>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</si>
  <si>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</si>
  <si>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</si>
  <si>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</si>
  <si>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</si>
  <si>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</si>
  <si>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</si>
  <si>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</si>
  <si>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</si>
  <si>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</si>
  <si>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</si>
  <si>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</si>
  <si>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</si>
  <si>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</si>
  <si>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</si>
  <si>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</si>
  <si>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</si>
  <si>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</si>
  <si>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</si>
  <si>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</si>
  <si>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</si>
  <si>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</si>
  <si>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</si>
  <si>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</si>
  <si>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</si>
  <si>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</si>
  <si>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</si>
  <si>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</si>
  <si>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</si>
  <si>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</si>
  <si>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</si>
  <si>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</si>
  <si>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</si>
  <si>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</si>
  <si>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</si>
  <si>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</si>
  <si>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</si>
  <si>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</si>
  <si>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</si>
  <si>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</si>
  <si>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</si>
  <si>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</si>
  <si>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</si>
  <si>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</si>
  <si>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</si>
  <si>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</si>
  <si>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</si>
  <si>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</si>
  <si>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</si>
  <si>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</si>
  <si>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</si>
  <si>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</si>
  <si>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</si>
  <si>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</si>
  <si>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</si>
  <si>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</si>
  <si>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</si>
  <si>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</si>
  <si>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</si>
  <si>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</si>
  <si>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</si>
  <si>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</si>
  <si>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</si>
  <si>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</si>
  <si>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</si>
  <si>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</si>
  <si>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</si>
  <si>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</si>
  <si>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</si>
  <si>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</si>
  <si>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</si>
  <si>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</si>
  <si>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</si>
  <si>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</si>
  <si>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</si>
  <si>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</si>
  <si>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</si>
  <si>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</si>
  <si>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</si>
  <si>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</si>
  <si>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</si>
  <si>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</si>
  <si>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</si>
  <si>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</si>
  <si>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</si>
  <si>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</si>
  <si>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</si>
  <si>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</si>
  <si>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</si>
  <si>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</si>
  <si>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</si>
  <si>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</si>
  <si>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</si>
  <si>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</si>
  <si>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</si>
  <si>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</si>
  <si>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</si>
  <si>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</si>
  <si>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</si>
  <si>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</si>
  <si>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</si>
  <si>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</si>
  <si>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</si>
  <si>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</si>
  <si>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</si>
  <si>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</si>
  <si>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</si>
  <si>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</si>
  <si>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</si>
  <si>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</si>
  <si>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</si>
  <si>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</si>
  <si>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</si>
  <si>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</si>
  <si>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</si>
  <si>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</si>
  <si>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</si>
  <si>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</si>
  <si>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</si>
  <si>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</si>
  <si>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</si>
  <si>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</si>
  <si>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</si>
  <si>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</si>
  <si>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</si>
  <si>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</si>
  <si>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</si>
  <si>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</si>
  <si>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</si>
  <si>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</si>
  <si>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</si>
  <si>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</si>
  <si>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</si>
  <si>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</si>
  <si>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</si>
  <si>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</si>
  <si>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</si>
  <si>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</si>
  <si>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</si>
  <si>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</si>
  <si>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</si>
  <si>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</si>
  <si>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</si>
  <si>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</si>
  <si>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</si>
  <si>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</si>
  <si>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</si>
  <si>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</si>
  <si>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</si>
  <si>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</si>
  <si>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</si>
  <si>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</si>
  <si>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</si>
  <si>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</si>
  <si>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</si>
  <si>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</si>
  <si>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</si>
  <si>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</si>
  <si>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</si>
  <si>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</si>
  <si>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</si>
  <si>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</si>
  <si>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</si>
  <si>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</si>
  <si>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</si>
  <si>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</si>
  <si>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</si>
  <si>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</si>
  <si>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</si>
  <si>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</si>
  <si>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</si>
  <si>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</si>
  <si>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</si>
  <si>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</si>
  <si>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</si>
  <si>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</si>
  <si>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</si>
  <si>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</si>
  <si>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</si>
  <si>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</si>
  <si>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</si>
  <si>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</si>
  <si>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</si>
  <si>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</si>
  <si>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</si>
  <si>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</si>
  <si>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</si>
  <si>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</si>
  <si>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</si>
  <si>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</si>
  <si>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</si>
  <si>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</si>
  <si>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</si>
  <si>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</si>
  <si>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</si>
  <si>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</si>
  <si>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</si>
  <si>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</si>
  <si>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</si>
  <si>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</si>
  <si>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</si>
  <si>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</si>
  <si>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</si>
  <si>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</si>
  <si>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</si>
  <si>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</si>
  <si>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</si>
  <si>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</si>
  <si>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</si>
  <si>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</si>
  <si>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</si>
  <si>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</si>
  <si>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</si>
  <si>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</si>
  <si>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</si>
  <si>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</si>
  <si>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</si>
  <si>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</si>
  <si>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</si>
  <si>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</si>
  <si>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</si>
  <si>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</si>
  <si>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</si>
  <si>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</si>
  <si>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</si>
  <si>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</si>
  <si>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</si>
  <si>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</si>
  <si>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</si>
  <si>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</si>
  <si>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</si>
  <si>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</si>
  <si>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</si>
  <si>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</si>
  <si>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</si>
  <si>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</si>
  <si>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</si>
  <si>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</si>
  <si>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</si>
  <si>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</si>
  <si>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</si>
  <si>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</si>
  <si>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</si>
  <si>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</si>
  <si>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</si>
  <si>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</si>
  <si>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</si>
  <si>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</si>
  <si>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</si>
  <si>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</si>
  <si>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</si>
  <si>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</si>
  <si>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</si>
  <si>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</si>
  <si>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</si>
  <si>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</si>
  <si>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</si>
  <si>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</si>
  <si>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</si>
  <si>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</si>
  <si>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</si>
  <si>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</si>
  <si>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</si>
  <si>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</si>
  <si>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</si>
  <si>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</si>
  <si>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</si>
  <si>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</si>
  <si>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</si>
  <si>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</si>
  <si>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</si>
  <si>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</si>
  <si>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</si>
  <si>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</si>
  <si>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</si>
  <si>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</si>
  <si>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</si>
  <si>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</si>
  <si>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</si>
  <si>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</si>
  <si>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</si>
  <si>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</si>
  <si>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</si>
  <si>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</si>
  <si>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</si>
  <si>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</si>
  <si>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</si>
  <si>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</si>
  <si>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</si>
  <si>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</si>
  <si>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</si>
  <si>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</si>
  <si>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</si>
  <si>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</si>
  <si>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</si>
  <si>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</si>
  <si>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</si>
  <si>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</si>
  <si>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</si>
  <si>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</si>
  <si>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</si>
  <si>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</si>
  <si>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</si>
  <si>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</si>
  <si>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</si>
  <si>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</si>
  <si>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</si>
  <si>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</si>
  <si>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</si>
  <si>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</si>
  <si>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</si>
  <si>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</si>
  <si>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</si>
  <si>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</si>
  <si>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</si>
  <si>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</si>
  <si>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</si>
  <si>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</si>
  <si>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</si>
  <si>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</si>
  <si>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</si>
  <si>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</si>
  <si>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</si>
  <si>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</si>
  <si>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</si>
  <si>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</si>
  <si>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</si>
  <si>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</si>
  <si>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</si>
  <si>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</si>
  <si>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</si>
  <si>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</si>
  <si>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</si>
  <si>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</si>
  <si>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</si>
  <si>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</si>
  <si>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</si>
  <si>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</si>
  <si>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</si>
  <si>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</si>
  <si>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</si>
  <si>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</si>
  <si>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</si>
  <si>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</si>
  <si>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</si>
  <si>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</si>
  <si>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</si>
  <si>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</si>
  <si>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</si>
  <si>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</si>
  <si>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</si>
  <si>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</si>
  <si>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</si>
  <si>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</si>
  <si>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</si>
  <si>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</si>
  <si>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</si>
  <si>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</si>
  <si>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</si>
  <si>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</si>
  <si>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</si>
  <si>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</si>
  <si>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</si>
  <si>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</si>
  <si>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</si>
  <si>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</si>
  <si>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</si>
  <si>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</si>
  <si>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</si>
  <si>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</si>
  <si>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</si>
  <si>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</si>
  <si>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</si>
  <si>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</si>
  <si>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</si>
  <si>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</si>
  <si>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</si>
  <si>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</si>
  <si>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</si>
  <si>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</si>
  <si>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</si>
  <si>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</si>
  <si>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</si>
  <si>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</si>
  <si>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</si>
  <si>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</si>
  <si>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</si>
  <si>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</si>
  <si>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</si>
  <si>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</si>
  <si>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</si>
  <si>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</si>
  <si>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</si>
  <si>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</si>
  <si>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</si>
  <si>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</si>
  <si>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</si>
  <si>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</si>
  <si>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</si>
  <si>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</si>
  <si>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</si>
  <si>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</si>
  <si>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</si>
  <si>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</si>
  <si>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</si>
  <si>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</si>
  <si>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</si>
  <si>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</si>
  <si>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</si>
  <si>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</si>
  <si>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</si>
  <si>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</si>
  <si>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</si>
  <si>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</si>
  <si>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</si>
  <si>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</si>
  <si>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</si>
  <si>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</si>
  <si>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</si>
  <si>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</si>
  <si>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</si>
  <si>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</si>
  <si>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</si>
  <si>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</si>
  <si>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</si>
  <si>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</si>
  <si>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</si>
  <si>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</si>
  <si>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</si>
  <si>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</si>
  <si>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</si>
  <si>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</si>
  <si>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</si>
  <si>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</si>
  <si>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</si>
  <si>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</si>
  <si>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</si>
  <si>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</si>
  <si>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</si>
  <si>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</si>
  <si>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</si>
  <si>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</si>
  <si>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</si>
  <si>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</si>
  <si>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</si>
  <si>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</si>
  <si>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</si>
  <si>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</si>
  <si>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</si>
  <si>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</si>
  <si>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</si>
  <si>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</si>
  <si>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</si>
  <si>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</si>
  <si>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</si>
  <si>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</si>
  <si>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</si>
  <si>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</si>
  <si>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</si>
  <si>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</si>
  <si>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</si>
  <si>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</si>
  <si>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</si>
  <si>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</si>
  <si>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</si>
  <si>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</si>
  <si>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</si>
  <si>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</si>
  <si>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</si>
  <si>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</si>
  <si>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</si>
  <si>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</si>
  <si>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</si>
  <si>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</si>
  <si>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</si>
  <si>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</si>
  <si>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</si>
  <si>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</si>
  <si>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</si>
  <si>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</si>
  <si>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</si>
  <si>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</si>
  <si>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</si>
  <si>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</si>
  <si>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</si>
  <si>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</si>
  <si>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</si>
  <si>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</si>
  <si>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</si>
  <si>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</si>
  <si>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</si>
  <si>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</si>
  <si>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</si>
  <si>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</si>
  <si>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</si>
  <si>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</si>
  <si>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</si>
  <si>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</si>
  <si>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</si>
  <si>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</si>
  <si>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</si>
  <si>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</si>
  <si>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</si>
  <si>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</si>
  <si>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</si>
  <si>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</si>
  <si>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</si>
  <si>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</si>
  <si>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</si>
  <si>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</si>
  <si>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</si>
  <si>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</si>
  <si>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</si>
  <si>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</si>
  <si>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</si>
  <si>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</si>
  <si>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</si>
  <si>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</si>
  <si>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</si>
  <si>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</si>
  <si>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</si>
  <si>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</si>
  <si>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</si>
  <si>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</si>
  <si>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</si>
  <si>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</si>
  <si>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</si>
  <si>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</si>
  <si>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</si>
  <si>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</si>
  <si>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</si>
  <si>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</si>
  <si>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</si>
  <si>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</si>
  <si>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</si>
  <si>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</si>
  <si>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</si>
  <si>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</si>
  <si>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</si>
  <si>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</si>
  <si>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</si>
  <si>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</si>
  <si>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</si>
  <si>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</si>
  <si>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</si>
  <si>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</si>
  <si>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</si>
  <si>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</si>
  <si>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</si>
  <si>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</si>
  <si>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</si>
  <si>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</si>
  <si>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</si>
  <si>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</si>
  <si>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</si>
  <si>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</si>
  <si>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</si>
  <si>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</si>
  <si>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</si>
  <si>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</si>
  <si>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</si>
  <si>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</si>
  <si>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</si>
  <si>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</si>
  <si>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</si>
  <si>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</si>
  <si>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</si>
  <si>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</si>
  <si>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</si>
  <si>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</si>
  <si>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</si>
  <si>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</si>
  <si>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</si>
  <si>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</si>
  <si>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</si>
  <si>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</si>
  <si>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</si>
  <si>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</si>
  <si>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</si>
  <si>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</si>
  <si>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</si>
  <si>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</si>
  <si>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</si>
  <si>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</si>
  <si>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</si>
  <si>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</si>
  <si>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</si>
  <si>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</si>
  <si>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</si>
  <si>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</si>
  <si>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</si>
  <si>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</si>
  <si>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</si>
  <si>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</si>
  <si>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</si>
  <si>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</si>
  <si>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</si>
  <si>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</si>
  <si>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</si>
  <si>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</si>
  <si>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</si>
  <si>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</si>
  <si>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</si>
  <si>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</si>
  <si>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</si>
  <si>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</si>
  <si>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</si>
  <si>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</si>
  <si>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</si>
  <si>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</si>
  <si>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</si>
  <si>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</si>
  <si>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</si>
  <si>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</si>
  <si>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</si>
  <si>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</si>
  <si>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</si>
  <si>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</si>
  <si>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</si>
  <si>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</si>
  <si>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</si>
  <si>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</si>
  <si>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</si>
  <si>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</si>
  <si>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</si>
  <si>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</si>
  <si>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</si>
  <si>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</si>
  <si>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</si>
  <si>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</si>
  <si>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</si>
  <si>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</si>
  <si>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</si>
  <si>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</si>
  <si>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</si>
  <si>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</si>
  <si>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</si>
  <si>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</si>
  <si>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</si>
  <si>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</si>
  <si>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</si>
  <si>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</si>
  <si>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</si>
  <si>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</si>
  <si>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</si>
  <si>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</si>
  <si>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</si>
  <si>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</si>
  <si>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</si>
  <si>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</si>
  <si>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</si>
  <si>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</si>
  <si>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</si>
  <si>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</si>
  <si>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</si>
  <si>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</si>
  <si>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</si>
  <si>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</si>
  <si>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</si>
  <si>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</si>
  <si>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</si>
  <si>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</si>
  <si>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</si>
  <si>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</si>
  <si>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</si>
  <si>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</si>
  <si>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</si>
  <si>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</si>
  <si>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</si>
  <si>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</si>
  <si>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</si>
  <si>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</si>
  <si>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</si>
  <si>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</si>
  <si>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</si>
  <si>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</si>
  <si>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</si>
  <si>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</si>
  <si>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</si>
  <si>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</si>
  <si>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</si>
  <si>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</si>
  <si>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</si>
  <si>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</si>
  <si>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</si>
  <si>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</si>
  <si>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</si>
  <si>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</si>
  <si>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</si>
  <si>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</si>
  <si>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</si>
  <si>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</si>
  <si>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</si>
  <si>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</si>
  <si>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</si>
  <si>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</si>
  <si>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</si>
  <si>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</si>
  <si>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</si>
  <si>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</si>
  <si>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</si>
  <si>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</si>
  <si>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</si>
  <si>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</si>
  <si>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</si>
  <si>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</si>
  <si>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</si>
  <si>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</si>
  <si>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</si>
  <si>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</si>
  <si>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</si>
  <si>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</si>
  <si>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</si>
  <si>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</si>
  <si>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</si>
  <si>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</si>
  <si>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</si>
  <si>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</si>
  <si>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</si>
  <si>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</si>
  <si>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</si>
  <si>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</si>
  <si>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</si>
  <si>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</si>
  <si>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</si>
  <si>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</si>
  <si>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</si>
  <si>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</si>
  <si>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</si>
  <si>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</si>
  <si>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</si>
  <si>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</si>
  <si>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</si>
  <si>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</si>
  <si>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</si>
  <si>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</si>
  <si>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</si>
  <si>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</si>
  <si>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</si>
  <si>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</si>
  <si>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</si>
  <si>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</si>
  <si>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</si>
  <si>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</si>
  <si>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</si>
  <si>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</si>
  <si>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</si>
  <si>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</si>
  <si>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</si>
  <si>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</si>
  <si>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</si>
  <si>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</si>
  <si>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</si>
  <si>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</si>
  <si>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</si>
  <si>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</si>
  <si>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</si>
  <si>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</si>
  <si>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</si>
  <si>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</si>
  <si>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</si>
  <si>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</si>
  <si>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</si>
  <si>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</si>
  <si>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</si>
  <si>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</si>
  <si>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</si>
  <si>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</si>
  <si>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</si>
  <si>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</si>
  <si>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</si>
  <si>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</si>
  <si>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</si>
  <si>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</si>
  <si>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</si>
  <si>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</si>
  <si>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</si>
  <si>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</si>
  <si>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</si>
  <si>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</si>
  <si>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</si>
  <si>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</si>
  <si>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</si>
  <si>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</si>
  <si>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</si>
  <si>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</si>
  <si>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</si>
  <si>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</si>
  <si>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</si>
  <si>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</si>
  <si>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</si>
  <si>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</si>
  <si>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</si>
  <si>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</si>
  <si>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</si>
  <si>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</si>
  <si>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</si>
  <si>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</si>
  <si>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</si>
  <si>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</si>
  <si>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</si>
  <si>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</si>
  <si>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</si>
  <si>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</si>
  <si>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</si>
  <si>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</si>
  <si>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</si>
  <si>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</si>
  <si>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</si>
  <si>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</si>
  <si>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</si>
  <si>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</si>
  <si>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</si>
  <si>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</si>
  <si>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</si>
  <si>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</si>
  <si>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</si>
  <si>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</si>
  <si>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</si>
  <si>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</si>
  <si>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</si>
  <si>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</si>
  <si>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</si>
  <si>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</si>
  <si>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</si>
  <si>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</si>
  <si>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</si>
  <si>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</si>
  <si>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</si>
  <si>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</si>
  <si>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</si>
  <si>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</si>
  <si>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</si>
  <si>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</si>
  <si>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</si>
  <si>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</si>
  <si>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</si>
  <si>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</si>
  <si>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</si>
  <si>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</si>
  <si>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</si>
  <si>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</si>
  <si>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</si>
  <si>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</si>
  <si>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</si>
  <si>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</si>
  <si>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</si>
  <si>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</si>
  <si>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</si>
  <si>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</si>
  <si>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</si>
  <si>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</si>
  <si>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</si>
  <si>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</si>
  <si>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</si>
  <si>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</si>
  <si>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</si>
  <si>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</si>
  <si>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</si>
  <si>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</si>
  <si>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</si>
  <si>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</si>
  <si>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</si>
  <si>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</si>
  <si>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</si>
  <si>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</si>
  <si>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</si>
  <si>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</si>
  <si>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</si>
  <si>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</si>
  <si>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</si>
  <si>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</si>
  <si>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</si>
  <si>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</si>
  <si>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</si>
  <si>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</si>
  <si>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</si>
  <si>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</si>
  <si>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</si>
  <si>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</si>
  <si>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</si>
  <si>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</si>
  <si>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</si>
  <si>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</si>
  <si>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</si>
  <si>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</si>
  <si>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</si>
  <si>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</si>
  <si>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</si>
  <si>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</si>
  <si>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</si>
  <si>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</si>
  <si>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</si>
  <si>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</si>
  <si>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</si>
  <si>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</si>
  <si>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</si>
  <si>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</si>
  <si>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</si>
  <si>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</si>
  <si>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</si>
  <si>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</si>
  <si>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</si>
  <si>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</si>
  <si>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</si>
  <si>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</si>
  <si>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</si>
  <si>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</si>
  <si>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</si>
  <si>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</si>
  <si>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</si>
  <si>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</si>
  <si>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</si>
  <si>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</si>
  <si>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</si>
  <si>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</si>
  <si>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</si>
  <si>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</si>
  <si>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</si>
  <si>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</si>
  <si>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</si>
  <si>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</si>
  <si>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</si>
  <si>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</si>
  <si>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</si>
  <si>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</si>
  <si>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</si>
  <si>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</si>
  <si>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</si>
  <si>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</si>
  <si>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</si>
  <si>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</si>
  <si>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</si>
  <si>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</si>
  <si>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</si>
  <si>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</si>
  <si>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</si>
  <si>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</si>
  <si>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</si>
  <si>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</si>
  <si>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</si>
  <si>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</si>
  <si>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</si>
  <si>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</si>
  <si>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</si>
  <si>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</si>
  <si>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</si>
  <si>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</si>
  <si>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</si>
  <si>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</si>
  <si>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</si>
  <si>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</si>
  <si>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</si>
  <si>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</si>
  <si>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</si>
  <si>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</si>
  <si>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</si>
  <si>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</si>
  <si>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</si>
  <si>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</si>
  <si>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</si>
  <si>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</si>
  <si>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</si>
  <si>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</si>
  <si>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</si>
  <si>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</si>
  <si>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</si>
  <si>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</si>
  <si>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</si>
  <si>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</si>
  <si>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</si>
  <si>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</si>
  <si>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</si>
  <si>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</si>
  <si>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</si>
  <si>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</si>
  <si>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</si>
  <si>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</si>
  <si>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</si>
  <si>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</si>
  <si>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</si>
  <si>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</si>
  <si>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</si>
  <si>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</si>
  <si>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</si>
  <si>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</si>
  <si>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</si>
  <si>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</si>
  <si>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</si>
  <si>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</si>
  <si>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</si>
  <si>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</si>
  <si>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</si>
  <si>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</si>
  <si>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</si>
  <si>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</si>
  <si>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</si>
  <si>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</si>
  <si>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</si>
  <si>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</si>
  <si>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</si>
  <si>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</si>
  <si>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</si>
  <si>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</si>
  <si>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</si>
  <si>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</si>
  <si>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</si>
  <si>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</si>
  <si>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</si>
  <si>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</si>
  <si>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</si>
  <si>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</si>
  <si>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</si>
  <si>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</si>
  <si>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</si>
  <si>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</si>
  <si>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</si>
  <si>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</si>
  <si>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</si>
  <si>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</si>
  <si>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</si>
  <si>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</si>
  <si>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</si>
  <si>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</si>
  <si>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</si>
  <si>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</si>
  <si>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</si>
  <si>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</si>
  <si>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</si>
  <si>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</si>
  <si>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</si>
  <si>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</si>
  <si>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</si>
  <si>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</si>
  <si>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</si>
  <si>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</si>
  <si>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</si>
  <si>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</si>
  <si>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</si>
  <si>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</si>
  <si>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</si>
  <si>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</si>
  <si>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</si>
  <si>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</si>
  <si>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</si>
  <si>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</si>
  <si>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</si>
  <si>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</si>
  <si>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</si>
  <si>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</si>
  <si>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</si>
  <si>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</si>
  <si>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</si>
  <si>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</si>
  <si>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</si>
  <si>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</si>
  <si>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</si>
  <si>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</si>
  <si>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</si>
  <si>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</si>
  <si>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</si>
  <si>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</si>
  <si>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</si>
  <si>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</si>
  <si>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</si>
  <si>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</si>
  <si>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</si>
  <si>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</si>
  <si>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</si>
  <si>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</si>
  <si>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</si>
  <si>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</si>
  <si>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</si>
  <si>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</si>
  <si>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</si>
  <si>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</si>
  <si>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</si>
  <si>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</si>
  <si>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</si>
  <si>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</si>
  <si>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</si>
  <si>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</si>
  <si>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</si>
  <si>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</si>
  <si>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</si>
  <si>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</si>
  <si>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</si>
  <si>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</si>
  <si>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</si>
  <si>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</si>
  <si>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</si>
  <si>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</si>
  <si>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</si>
  <si>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</si>
  <si>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</si>
  <si>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</si>
  <si>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</si>
  <si>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</si>
  <si>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</si>
  <si>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</si>
  <si>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</si>
  <si>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</si>
  <si>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</si>
  <si>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</si>
  <si>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</si>
  <si>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</si>
  <si>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</si>
  <si>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</si>
  <si>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</si>
  <si>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</si>
  <si>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</si>
  <si>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</si>
  <si>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</si>
  <si>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</si>
  <si>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</si>
  <si>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</si>
  <si>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</si>
  <si>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</si>
  <si>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</si>
  <si>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</si>
  <si>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</si>
  <si>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</si>
  <si>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</si>
  <si>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</si>
  <si>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</si>
  <si>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</si>
  <si>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</si>
  <si>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</si>
  <si>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</si>
  <si>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</si>
  <si>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</si>
  <si>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</si>
  <si>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</si>
  <si>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</si>
  <si>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</si>
  <si>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</si>
  <si>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</si>
  <si>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</si>
  <si>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</si>
  <si>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</si>
  <si>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</si>
  <si>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</si>
  <si>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</si>
  <si>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</si>
  <si>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</si>
  <si>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</si>
  <si>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</si>
  <si>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</si>
  <si>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</si>
  <si>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</si>
  <si>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</si>
  <si>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</si>
  <si>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</si>
  <si>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</si>
  <si>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</si>
  <si>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</si>
  <si>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</si>
  <si>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</si>
  <si>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</si>
  <si>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</si>
  <si>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</si>
  <si>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</si>
  <si>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</si>
  <si>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</si>
  <si>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</si>
  <si>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</si>
  <si>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</si>
  <si>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</si>
  <si>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</si>
  <si>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</si>
  <si>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</si>
  <si>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</si>
  <si>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</si>
  <si>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</si>
  <si>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</si>
  <si>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</si>
  <si>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</si>
  <si>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</si>
  <si>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</si>
  <si>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</si>
  <si>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</si>
  <si>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</si>
  <si>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</si>
  <si>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</si>
  <si>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</si>
  <si>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</si>
  <si>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</si>
  <si>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</si>
  <si>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</si>
  <si>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</si>
  <si>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</si>
  <si>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</si>
  <si>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</si>
  <si>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</si>
  <si>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</si>
  <si>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</si>
  <si>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</si>
  <si>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</si>
  <si>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</si>
  <si>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</si>
  <si>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</si>
  <si>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</si>
  <si>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</si>
  <si>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</si>
  <si>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</si>
  <si>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</si>
  <si>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</si>
  <si>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</si>
  <si>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</si>
  <si>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</si>
  <si>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</si>
  <si>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</si>
  <si>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</si>
  <si>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</si>
  <si>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</si>
  <si>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</si>
  <si>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</si>
  <si>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</si>
  <si>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</si>
  <si>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</si>
  <si>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</si>
  <si>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</si>
  <si>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</si>
  <si>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</si>
  <si>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</si>
  <si>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</si>
  <si>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</si>
  <si>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</si>
  <si>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</si>
  <si>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</si>
  <si>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</si>
  <si>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</si>
  <si>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</si>
  <si>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</si>
  <si>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</si>
  <si>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</si>
  <si>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</si>
  <si>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</si>
  <si>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</si>
  <si>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</si>
  <si>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</si>
  <si>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</si>
  <si>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</si>
  <si>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</si>
  <si>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</si>
  <si>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</si>
  <si>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</si>
  <si>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</si>
  <si>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</si>
  <si>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</si>
  <si>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</si>
  <si>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</si>
  <si>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</si>
  <si>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</si>
  <si>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</si>
  <si>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</si>
  <si>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</si>
  <si>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</si>
  <si>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</si>
  <si>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</si>
  <si>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</si>
  <si>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</si>
  <si>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</si>
  <si>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</si>
  <si>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</si>
  <si>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</si>
  <si>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</si>
  <si>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</si>
  <si>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</si>
  <si>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</si>
  <si>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</si>
  <si>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</si>
  <si>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</si>
  <si>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</si>
  <si>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</si>
  <si>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</si>
  <si>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</si>
  <si>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</si>
  <si>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</si>
  <si>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</si>
  <si>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</si>
  <si>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</si>
  <si>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</si>
  <si>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</si>
  <si>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</si>
  <si>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</si>
  <si>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</si>
  <si>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</si>
  <si>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</si>
  <si>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</si>
  <si>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</si>
  <si>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</si>
  <si>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</si>
  <si>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</si>
  <si>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</si>
  <si>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</si>
  <si>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</si>
  <si>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</si>
  <si>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</si>
  <si>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</si>
  <si>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</si>
  <si>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</si>
  <si>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</si>
  <si>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</si>
  <si>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</si>
  <si>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</si>
  <si>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</si>
  <si>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</si>
  <si>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</si>
  <si>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</si>
  <si>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</si>
  <si>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</si>
  <si>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</si>
  <si>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</si>
  <si>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</si>
  <si>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</si>
  <si>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</si>
  <si>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</si>
  <si>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</si>
  <si>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</si>
  <si>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</si>
  <si>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</si>
  <si>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</si>
  <si>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</si>
  <si>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</si>
  <si>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</si>
  <si>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</si>
  <si>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</si>
  <si>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</si>
  <si>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</si>
  <si>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</si>
  <si>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</si>
  <si>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</si>
  <si>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</si>
  <si>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</si>
  <si>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</si>
  <si>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</si>
  <si>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</si>
  <si>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</si>
  <si>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</si>
  <si>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</si>
  <si>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</si>
  <si>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</si>
  <si>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</si>
  <si>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</si>
  <si>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</si>
  <si>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</si>
  <si>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</si>
  <si>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</si>
  <si>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</si>
  <si>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</si>
  <si>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</si>
  <si>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</si>
  <si>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</si>
  <si>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</si>
  <si>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</si>
  <si>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</si>
  <si>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</si>
  <si>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</si>
  <si>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</si>
  <si>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</si>
  <si>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</si>
  <si>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</si>
  <si>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</si>
  <si>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</si>
  <si>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</si>
  <si>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</si>
  <si>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</si>
  <si>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</si>
  <si>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</si>
  <si>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</si>
  <si>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</si>
  <si>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</si>
  <si>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</si>
  <si>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</si>
  <si>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</si>
  <si>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</si>
  <si>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</si>
  <si>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</si>
  <si>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</si>
  <si>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</si>
  <si>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</si>
  <si>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</si>
  <si>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</si>
  <si>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</si>
  <si>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</si>
  <si>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</si>
  <si>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</si>
  <si>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</si>
  <si>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</si>
  <si>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</si>
  <si>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</si>
  <si>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</si>
  <si>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</si>
  <si>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</si>
  <si>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</si>
  <si>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</si>
  <si>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</si>
  <si>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</si>
  <si>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</si>
  <si>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</si>
  <si>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</si>
  <si>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</si>
  <si>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</si>
  <si>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</si>
  <si>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</si>
  <si>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</si>
  <si>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</si>
  <si>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</si>
  <si>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</si>
  <si>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</si>
  <si>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</si>
  <si>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</si>
  <si>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</si>
  <si>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</si>
  <si>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</si>
  <si>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</si>
  <si>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</si>
  <si>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</si>
  <si>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</si>
  <si>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</si>
  <si>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</si>
  <si>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</si>
  <si>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</si>
  <si>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</si>
  <si>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</si>
  <si>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</si>
  <si>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</si>
  <si>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</si>
  <si>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</si>
  <si>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</si>
  <si>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</si>
  <si>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</si>
  <si>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</si>
  <si>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</si>
  <si>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</si>
  <si>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</si>
  <si>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</si>
  <si>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</si>
  <si>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</si>
  <si>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</si>
  <si>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</si>
  <si>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</si>
  <si>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</si>
  <si>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</si>
  <si>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</si>
  <si>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</si>
  <si>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</si>
  <si>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</si>
  <si>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</si>
  <si>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</si>
  <si>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</si>
  <si>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</si>
  <si>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</si>
  <si>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</si>
  <si>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</si>
  <si>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</si>
  <si>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</si>
  <si>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</si>
  <si>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</si>
  <si>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</si>
  <si>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</si>
  <si>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</si>
  <si>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</si>
  <si>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</si>
  <si>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</si>
  <si>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</si>
  <si>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</si>
  <si>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</si>
  <si>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</si>
  <si>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</si>
  <si>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</si>
  <si>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</si>
  <si>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</si>
  <si>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</si>
  <si>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</si>
  <si>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</si>
  <si>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</si>
  <si>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</si>
  <si>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</si>
  <si>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</si>
  <si>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</si>
  <si>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</si>
  <si>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</si>
  <si>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</si>
  <si>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</si>
  <si>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</si>
  <si>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</si>
  <si>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</si>
  <si>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</si>
  <si>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</si>
  <si>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</si>
  <si>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</si>
  <si>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</si>
  <si>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</si>
  <si>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</si>
  <si>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</si>
  <si>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</si>
  <si>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</si>
  <si>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</si>
  <si>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</si>
  <si>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</si>
  <si>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</si>
  <si>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</si>
  <si>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</si>
  <si>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</si>
  <si>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</si>
  <si>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</si>
  <si>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</si>
  <si>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</si>
  <si>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</si>
  <si>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</si>
  <si>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</si>
  <si>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</si>
  <si>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</si>
  <si>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</si>
  <si>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</si>
  <si>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</si>
  <si>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</si>
  <si>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</si>
  <si>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</si>
  <si>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</si>
  <si>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</si>
  <si>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</si>
  <si>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</si>
  <si>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</si>
  <si>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</si>
  <si>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</si>
  <si>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</si>
  <si>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</si>
  <si>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</si>
  <si>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</si>
  <si>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</si>
  <si>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</si>
  <si>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</si>
  <si>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</si>
  <si>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</si>
  <si>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</si>
  <si>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</si>
  <si>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</si>
  <si>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</si>
  <si>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</si>
  <si>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</si>
  <si>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</si>
  <si>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</si>
  <si>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</si>
  <si>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</si>
  <si>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</si>
  <si>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</si>
  <si>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</si>
  <si>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</si>
  <si>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</si>
  <si>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</si>
  <si>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</si>
  <si>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</si>
  <si>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</si>
  <si>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</si>
  <si>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</si>
  <si>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</si>
  <si>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</si>
  <si>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</si>
  <si>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</si>
  <si>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</si>
  <si>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</si>
  <si>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</si>
  <si>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</si>
  <si>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</si>
  <si>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</si>
  <si>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</si>
  <si>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</si>
  <si>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</si>
  <si>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</si>
  <si>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</si>
  <si>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</si>
  <si>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</si>
  <si>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</si>
  <si>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</si>
  <si>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</si>
  <si>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</si>
  <si>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</si>
  <si>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</si>
  <si>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</si>
  <si>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</si>
  <si>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</si>
  <si>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</si>
  <si>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</si>
  <si>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</si>
  <si>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</si>
  <si>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</si>
  <si>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</si>
  <si>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</si>
  <si>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</si>
  <si>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</si>
  <si>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</si>
  <si>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</si>
  <si>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</si>
  <si>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</si>
  <si>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</si>
  <si>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</si>
  <si>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</si>
  <si>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</si>
  <si>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</si>
  <si>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</si>
  <si>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</si>
  <si>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</si>
  <si>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</si>
  <si>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</si>
  <si>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</si>
  <si>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</si>
  <si>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</si>
  <si>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</si>
  <si>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</si>
  <si>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</si>
  <si>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</si>
  <si>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</si>
  <si>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</si>
  <si>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</si>
  <si>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</si>
  <si>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</si>
  <si>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</si>
  <si>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</si>
  <si>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</si>
  <si>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</si>
  <si>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</si>
  <si>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</si>
  <si>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</si>
  <si>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</si>
  <si>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</si>
  <si>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</si>
  <si>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</si>
  <si>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</si>
  <si>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</si>
  <si>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</si>
  <si>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</si>
  <si>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</si>
  <si>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</si>
  <si>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</si>
  <si>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</si>
  <si>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</si>
  <si>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</si>
  <si>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</si>
  <si>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</si>
  <si>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</si>
  <si>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</si>
  <si>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</si>
  <si>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</si>
  <si>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</si>
  <si>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</si>
  <si>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</si>
  <si>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</si>
  <si>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</si>
  <si>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</si>
  <si>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</si>
  <si>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</si>
  <si>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</si>
  <si>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</si>
  <si>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</si>
  <si>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</si>
  <si>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</si>
  <si>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</si>
  <si>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</si>
  <si>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</si>
  <si>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</si>
  <si>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</si>
  <si>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</si>
  <si>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</si>
  <si>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</si>
  <si>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</si>
  <si>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</si>
  <si>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</si>
  <si>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</si>
  <si>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</si>
  <si>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</si>
  <si>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</si>
  <si>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</si>
  <si>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</si>
  <si>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</si>
  <si>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</si>
  <si>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</si>
  <si>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</si>
  <si>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</si>
  <si>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</si>
  <si>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</si>
  <si>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</si>
  <si>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</si>
  <si>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</si>
  <si>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</si>
  <si>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</si>
  <si>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</si>
  <si>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</si>
  <si>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</si>
  <si>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</si>
  <si>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</si>
  <si>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</si>
  <si>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</si>
  <si>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</si>
  <si>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</si>
  <si>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</si>
  <si>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</si>
  <si>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</si>
  <si>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</si>
  <si>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</si>
  <si>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</si>
  <si>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</si>
  <si>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</si>
  <si>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</si>
  <si>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</si>
  <si>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</si>
  <si>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</si>
  <si>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</si>
  <si>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</si>
  <si>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</si>
  <si>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</si>
  <si>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</si>
  <si>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</si>
  <si>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</si>
  <si>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</si>
  <si>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</si>
  <si>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</si>
  <si>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</si>
  <si>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</si>
  <si>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</si>
  <si>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</si>
  <si>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</si>
  <si>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</si>
  <si>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</si>
  <si>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</si>
  <si>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</si>
  <si>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</si>
  <si>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</si>
  <si>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</si>
  <si>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</si>
  <si>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</si>
  <si>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</si>
  <si>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</si>
  <si>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</si>
  <si>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</si>
  <si>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</si>
  <si>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</si>
  <si>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</si>
  <si>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</si>
  <si>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</si>
  <si>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</si>
  <si>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</si>
  <si>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</si>
  <si>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</si>
  <si>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</si>
  <si>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</si>
  <si>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</si>
  <si>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</si>
  <si>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</si>
  <si>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</si>
  <si>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</si>
  <si>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</si>
  <si>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</si>
  <si>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</si>
  <si>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</si>
  <si>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</si>
  <si>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</si>
  <si>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</si>
  <si>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</si>
  <si>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</si>
  <si>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</si>
  <si>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</si>
  <si>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</si>
  <si>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</si>
  <si>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</si>
  <si>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</si>
  <si>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</si>
  <si>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</si>
  <si>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</si>
  <si>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</si>
  <si>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</si>
  <si>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</si>
  <si>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</si>
  <si>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</si>
  <si>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</si>
  <si>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</si>
  <si>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</si>
  <si>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</si>
  <si>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</si>
  <si>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</si>
  <si>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</si>
  <si>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</si>
  <si>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</si>
  <si>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</si>
  <si>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</si>
  <si>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</si>
  <si>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</si>
  <si>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</si>
  <si>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</si>
  <si>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</si>
  <si>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</si>
  <si>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</si>
  <si>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</si>
  <si>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</si>
  <si>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</si>
  <si>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</si>
  <si>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</si>
  <si>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</si>
  <si>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</si>
  <si>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</si>
  <si>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</si>
  <si>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</si>
  <si>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</si>
  <si>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</si>
  <si>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</si>
  <si>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</si>
  <si>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</si>
  <si>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</si>
  <si>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</si>
  <si>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</si>
  <si>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</si>
  <si>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</si>
  <si>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</si>
  <si>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</si>
  <si>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</si>
  <si>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</si>
  <si>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</si>
  <si>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</si>
  <si>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</si>
  <si>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</si>
  <si>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</si>
  <si>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</si>
  <si>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</si>
  <si>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</si>
  <si>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</si>
  <si>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</si>
  <si>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</si>
  <si>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</si>
  <si>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</si>
  <si>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</si>
  <si>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</si>
  <si>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</si>
  <si>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</si>
  <si>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</si>
  <si>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</si>
  <si>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</si>
  <si>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</si>
  <si>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</si>
  <si>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</si>
  <si>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</si>
  <si>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</si>
  <si>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</si>
  <si>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</si>
  <si>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</si>
  <si>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</si>
  <si>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</si>
  <si>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</si>
  <si>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</si>
  <si>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</si>
  <si>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</si>
  <si>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</si>
  <si>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</si>
  <si>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</si>
  <si>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</si>
  <si>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</si>
  <si>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</si>
  <si>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</si>
  <si>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</si>
  <si>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</si>
  <si>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</si>
  <si>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</si>
  <si>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</si>
  <si>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</si>
  <si>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</si>
  <si>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</si>
  <si>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</si>
  <si>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</si>
  <si>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</si>
  <si>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</si>
  <si>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</si>
  <si>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</si>
  <si>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</si>
  <si>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</si>
  <si>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</si>
  <si>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</si>
  <si>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</si>
  <si>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</si>
  <si>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</si>
  <si>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</si>
  <si>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</si>
  <si>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</si>
  <si>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</si>
  <si>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</si>
  <si>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</si>
  <si>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</si>
  <si>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</si>
  <si>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</si>
  <si>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</si>
  <si>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</si>
  <si>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</si>
  <si>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</si>
  <si>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</si>
  <si>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</si>
  <si>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</si>
  <si>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</si>
  <si>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</si>
  <si>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</si>
  <si>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</si>
  <si>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</si>
  <si>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</si>
  <si>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</si>
  <si>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</si>
  <si>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</si>
  <si>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</si>
  <si>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</si>
  <si>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</si>
  <si>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</si>
  <si>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</si>
  <si>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</si>
  <si>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</si>
  <si>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</si>
  <si>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</si>
  <si>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</si>
  <si>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</si>
  <si>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</si>
  <si>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</si>
  <si>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</si>
  <si>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</si>
  <si>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</si>
  <si>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</si>
  <si>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</si>
  <si>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</si>
  <si>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</si>
  <si>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</si>
  <si>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</si>
  <si>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</si>
  <si>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</si>
  <si>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</si>
  <si>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</si>
  <si>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</si>
  <si>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</si>
  <si>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</si>
  <si>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</si>
  <si>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</si>
  <si>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</si>
  <si>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</si>
  <si>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</si>
  <si>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</si>
  <si>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</si>
  <si>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</si>
  <si>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</si>
  <si>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</si>
  <si>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</si>
  <si>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</si>
  <si>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</si>
  <si>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</si>
  <si>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</si>
  <si>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</si>
  <si>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</si>
  <si>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</si>
  <si>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</si>
  <si>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</si>
  <si>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</si>
  <si>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</si>
  <si>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</si>
  <si>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</si>
  <si>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</si>
  <si>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</si>
  <si>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</si>
  <si>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</si>
  <si>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</si>
  <si>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</si>
  <si>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</si>
  <si>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</si>
  <si>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</si>
  <si>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</si>
  <si>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</si>
  <si>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</si>
  <si>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</si>
  <si>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</si>
  <si>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</si>
  <si>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</si>
  <si>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</si>
  <si>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</si>
  <si>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</si>
  <si>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</si>
  <si>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</si>
  <si>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</si>
  <si>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</si>
  <si>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</si>
  <si>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</si>
  <si>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</si>
  <si>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</si>
  <si>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</si>
  <si>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</si>
  <si>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</si>
  <si>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</si>
  <si>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</si>
  <si>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</si>
  <si>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</si>
  <si>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</si>
  <si>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</si>
  <si>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</si>
  <si>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</si>
  <si>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</si>
  <si>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</si>
  <si>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</si>
  <si>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</si>
  <si>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</si>
  <si>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</si>
  <si>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</si>
  <si>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</si>
  <si>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</si>
  <si>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</si>
  <si>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</si>
  <si>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</si>
  <si>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</si>
  <si>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</si>
  <si>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</si>
  <si>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</si>
  <si>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</si>
  <si>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</si>
  <si>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</si>
  <si>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</si>
  <si>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</si>
  <si>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</si>
  <si>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</si>
  <si>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</si>
  <si>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</si>
  <si>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</si>
  <si>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</si>
  <si>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</si>
  <si>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</si>
  <si>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</si>
  <si>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</si>
  <si>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</si>
  <si>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</si>
  <si>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</si>
  <si>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</si>
  <si>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</si>
  <si>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</si>
  <si>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</si>
  <si>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</si>
  <si>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</si>
  <si>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</si>
  <si>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</si>
  <si>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</si>
  <si>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</si>
  <si>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</si>
  <si>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</si>
  <si>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</si>
  <si>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</si>
  <si>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</si>
  <si>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</si>
  <si>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</si>
  <si>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</si>
  <si>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</si>
  <si>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</si>
  <si>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</si>
  <si>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</si>
  <si>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</si>
  <si>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</si>
  <si>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</si>
  <si>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</si>
  <si>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</si>
  <si>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</si>
  <si>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</si>
  <si>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</si>
  <si>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</si>
  <si>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</si>
  <si>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</si>
  <si>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</si>
  <si>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</si>
  <si>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</si>
  <si>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</si>
  <si>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</si>
  <si>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</si>
  <si>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</si>
  <si>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</si>
  <si>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</si>
  <si>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</si>
  <si>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</si>
  <si>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</si>
  <si>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</si>
  <si>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</si>
  <si>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</si>
  <si>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</si>
  <si>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</si>
  <si>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</si>
  <si>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</si>
  <si>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</si>
  <si>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</si>
  <si>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</si>
  <si>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</si>
  <si>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</si>
  <si>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</si>
  <si>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</si>
  <si>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</si>
  <si>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</si>
  <si>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</si>
  <si>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</si>
  <si>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</si>
  <si>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</si>
  <si>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</si>
  <si>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</si>
  <si>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</si>
  <si>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</si>
  <si>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</si>
  <si>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</si>
  <si>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</si>
  <si>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</si>
  <si>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</si>
  <si>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</si>
  <si>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</si>
  <si>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</si>
  <si>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</si>
  <si>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</si>
  <si>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</si>
  <si>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</si>
  <si>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</si>
  <si>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</si>
  <si>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</si>
  <si>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</si>
  <si>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</si>
  <si>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</si>
  <si>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</si>
  <si>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</si>
  <si>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</si>
  <si>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</si>
  <si>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</si>
  <si>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</si>
  <si>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</si>
  <si>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</si>
  <si>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</si>
  <si>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</si>
  <si>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</si>
  <si>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</si>
  <si>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</si>
  <si>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</si>
  <si>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</si>
  <si>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</si>
  <si>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</si>
  <si>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</si>
  <si>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</si>
  <si>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</si>
  <si>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</si>
  <si>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</si>
  <si>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</si>
  <si>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</si>
  <si>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</si>
  <si>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</si>
  <si>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</si>
  <si>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</si>
  <si>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</si>
  <si>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</si>
  <si>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</si>
  <si>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</si>
  <si>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</si>
  <si>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</si>
  <si>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</si>
  <si>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</si>
  <si>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</si>
  <si>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</si>
  <si>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</si>
  <si>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</si>
  <si>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</si>
  <si>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</si>
  <si>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</si>
  <si>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</si>
  <si>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</si>
  <si>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</si>
  <si>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</si>
  <si>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</si>
  <si>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</si>
  <si>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</si>
  <si>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</si>
  <si>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</si>
  <si>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</si>
  <si>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</si>
  <si>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</si>
  <si>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</si>
  <si>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</si>
  <si>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</si>
  <si>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</si>
  <si>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</si>
  <si>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</si>
  <si>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</si>
  <si>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</si>
  <si>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</si>
  <si>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</si>
  <si>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</si>
  <si>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</si>
  <si>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</si>
  <si>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</si>
  <si>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</si>
  <si>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</si>
  <si>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</si>
  <si>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</si>
  <si>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</si>
  <si>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</si>
  <si>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</si>
  <si>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</si>
  <si>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</si>
  <si>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</si>
  <si>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</si>
  <si>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</si>
  <si>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</si>
  <si>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</si>
  <si>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</si>
  <si>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</si>
  <si>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</si>
  <si>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</si>
  <si>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</si>
  <si>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</si>
  <si>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</si>
  <si>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</si>
  <si>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</si>
  <si>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</si>
  <si>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</si>
  <si>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</si>
  <si>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</si>
  <si>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</si>
  <si>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</si>
  <si>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</si>
  <si>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</si>
  <si>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</si>
  <si>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</si>
  <si>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</si>
  <si>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</si>
  <si>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</si>
  <si>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</si>
  <si>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</si>
  <si>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</si>
  <si>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</si>
  <si>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</si>
  <si>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</si>
  <si>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</si>
  <si>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</si>
  <si>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</si>
  <si>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</si>
  <si>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</si>
  <si>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</si>
  <si>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</si>
  <si>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</si>
  <si>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</si>
  <si>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</si>
  <si>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</si>
  <si>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</si>
  <si>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</si>
  <si>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</si>
  <si>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</si>
  <si>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</si>
  <si>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</si>
  <si>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</si>
  <si>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</si>
  <si>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</si>
  <si>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</si>
  <si>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</si>
  <si>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</si>
  <si>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</si>
  <si>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</si>
  <si>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</si>
  <si>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</si>
  <si>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</si>
  <si>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</si>
  <si>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</si>
  <si>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</si>
  <si>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</si>
  <si>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</si>
  <si>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</si>
  <si>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</si>
  <si>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</si>
  <si>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</si>
  <si>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</si>
  <si>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</si>
  <si>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</si>
  <si>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</si>
  <si>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</si>
  <si>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</si>
  <si>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</si>
  <si>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</si>
  <si>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</si>
  <si>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</si>
  <si>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</si>
  <si>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</si>
  <si>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</si>
  <si>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</si>
  <si>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</si>
  <si>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</si>
  <si>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</si>
  <si>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</si>
  <si>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</si>
  <si>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</si>
  <si>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</si>
  <si>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</si>
  <si>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</si>
  <si>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</si>
  <si>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</si>
  <si>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</si>
  <si>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</si>
  <si>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</si>
  <si>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</si>
  <si>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</si>
  <si>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</si>
  <si>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</si>
  <si>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</si>
  <si>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</si>
  <si>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</si>
  <si>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</si>
  <si>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</si>
  <si>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</si>
  <si>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</si>
  <si>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</si>
  <si>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</si>
  <si>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</si>
  <si>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</si>
  <si>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</si>
  <si>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</si>
  <si>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</si>
  <si>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</si>
  <si>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</si>
  <si>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</si>
  <si>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</si>
  <si>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</si>
  <si>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</si>
  <si>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</si>
  <si>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</si>
  <si>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</si>
  <si>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</si>
  <si>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</si>
  <si>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</si>
  <si>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</si>
  <si>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</si>
  <si>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</si>
  <si>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</si>
  <si>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</si>
  <si>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</si>
  <si>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</si>
  <si>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</si>
  <si>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</si>
  <si>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</si>
  <si>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</si>
  <si>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</si>
  <si>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</si>
  <si>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</si>
  <si>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</si>
  <si>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</si>
  <si>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</si>
  <si>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</si>
  <si>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</si>
  <si>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</si>
  <si>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</si>
  <si>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</si>
  <si>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</si>
  <si>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</si>
  <si>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</si>
  <si>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</si>
  <si>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</si>
  <si>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</si>
  <si>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</si>
  <si>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</si>
  <si>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</si>
  <si>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</si>
  <si>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</si>
  <si>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</si>
  <si>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</si>
  <si>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</si>
  <si>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</si>
  <si>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</si>
  <si>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</si>
  <si>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</si>
  <si>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</si>
  <si>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</si>
  <si>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</si>
  <si>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</si>
  <si>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</si>
  <si>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</si>
  <si>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</si>
  <si>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</si>
  <si>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</si>
  <si>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</si>
  <si>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</si>
  <si>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</si>
  <si>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</si>
  <si>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</si>
  <si>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</si>
  <si>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</si>
  <si>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</si>
  <si>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</si>
  <si>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</si>
  <si>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</si>
  <si>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</si>
  <si>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</si>
  <si>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</si>
  <si>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</si>
  <si>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</si>
  <si>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</si>
  <si>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</si>
  <si>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</si>
  <si>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</si>
  <si>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</si>
  <si>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</si>
  <si>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</si>
  <si>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</si>
  <si>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</si>
  <si>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</si>
  <si>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</si>
  <si>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</si>
  <si>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</si>
  <si>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</si>
  <si>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</si>
  <si>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</si>
  <si>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</si>
  <si>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</si>
  <si>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</si>
  <si>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</si>
  <si>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</si>
  <si>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</si>
  <si>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</si>
  <si>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</si>
  <si>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</si>
  <si>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</si>
  <si>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</si>
  <si>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</si>
  <si>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</si>
  <si>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</si>
  <si>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</si>
  <si>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</si>
  <si>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</si>
  <si>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</si>
  <si>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</si>
  <si>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</si>
  <si>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</si>
  <si>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</si>
  <si>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</si>
  <si>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</si>
  <si>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</si>
  <si>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</si>
  <si>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</si>
  <si>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</si>
  <si>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</si>
  <si>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</si>
  <si>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</si>
  <si>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</si>
  <si>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</si>
  <si>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</si>
  <si>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</si>
  <si>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</si>
  <si>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</si>
  <si>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</si>
  <si>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</si>
  <si>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</si>
  <si>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</si>
  <si>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</si>
  <si>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</si>
  <si>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</si>
  <si>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</si>
  <si>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</si>
  <si>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</si>
  <si>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2007</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</si>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</sst>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23147.682286585525</v>
      </c>
      <c r="F22" s="3419" t="str">
        <f t="shared" si="0"/>
        <v>NA</v>
      </c>
      <c r="G22" s="3395">
        <v>356.68474068874968</v>
      </c>
      <c r="H22" s="3374">
        <f t="shared" si="1"/>
        <v>1307.8440491920821</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35547.5</v>
      </c>
      <c r="F24" s="3419" t="str">
        <f t="shared" si="0"/>
        <v>NA</v>
      </c>
      <c r="G24" s="3395">
        <v>782.3681590909091</v>
      </c>
      <c r="H24" s="3374">
        <f t="shared" si="1"/>
        <v>2868.68325</v>
      </c>
      <c r="I24" s="2579" t="s">
        <v>2147</v>
      </c>
      <c r="J24" s="2580"/>
      <c r="M24" s="125"/>
    </row>
    <row r="25" spans="2:13" ht="18" customHeight="1" x14ac:dyDescent="0.2">
      <c r="B25" s="165"/>
      <c r="C25" s="1563"/>
      <c r="D25" s="1452" t="s">
        <v>1789</v>
      </c>
      <c r="E25" s="3414">
        <v>16317.3</v>
      </c>
      <c r="F25" s="3419" t="str">
        <f t="shared" si="0"/>
        <v>NA</v>
      </c>
      <c r="G25" s="3395">
        <v>309.88777786363642</v>
      </c>
      <c r="H25" s="3374">
        <f t="shared" si="1"/>
        <v>1136.2551855000002</v>
      </c>
      <c r="I25" s="2579" t="s">
        <v>2147</v>
      </c>
      <c r="J25" s="2580"/>
      <c r="M25" s="125"/>
    </row>
    <row r="26" spans="2:13" ht="18" customHeight="1" x14ac:dyDescent="0.2">
      <c r="B26" s="165"/>
      <c r="C26" s="1563"/>
      <c r="D26" s="1452" t="s">
        <v>1790</v>
      </c>
      <c r="E26" s="3418">
        <v>16541.680654300446</v>
      </c>
      <c r="F26" s="3419">
        <f t="shared" si="0"/>
        <v>25.26136363636364</v>
      </c>
      <c r="G26" s="3395">
        <v>417.86541016488519</v>
      </c>
      <c r="H26" s="3374">
        <f t="shared" si="1"/>
        <v>1532.1731706045791</v>
      </c>
      <c r="I26" s="3395">
        <v>1532.1731706045789</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31232.223823848275</v>
      </c>
      <c r="F28" s="3419">
        <f>IF(I28="NA","NA",I28/(44/12)*1000/E28)</f>
        <v>1.1426340607643699</v>
      </c>
      <c r="G28" s="3395">
        <v>540.51305614387661</v>
      </c>
      <c r="H28" s="3374">
        <f>IF(G28="NA","NA",IF(G28="NO","NO",G28*44/12))</f>
        <v>1981.881205860881</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122786.38676473426</v>
      </c>
      <c r="F31" s="3359">
        <f t="shared" ref="F31" si="3">IF(I31="NA","NA",I31/(44/12)*1000/E31)</f>
        <v>3.6938330449324401</v>
      </c>
      <c r="G31" s="3423">
        <f>SUM(G11:G29)</f>
        <v>2407.3191439520569</v>
      </c>
      <c r="H31" s="3371">
        <f t="shared" ref="H31" si="4">IF(G31="NA","NA",IF(G31="NO","NO",G31*44/12))</f>
        <v>8826.8368611575424</v>
      </c>
      <c r="I31" s="3423">
        <f>SUM(I11:I29)</f>
        <v>1663.025513964579</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36561.032999999996</v>
      </c>
      <c r="F35" s="3419">
        <f>IF(I35="NA","NA",I35/(44/12)*1000/E35)</f>
        <v>24.560998307579652</v>
      </c>
      <c r="G35" s="3399">
        <v>897.97546963636364</v>
      </c>
      <c r="H35" s="3396">
        <f t="shared" si="5"/>
        <v>3292.5767219999998</v>
      </c>
      <c r="I35" s="3395">
        <v>3292.5767219999998</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70157.619114246729</v>
      </c>
      <c r="F41" s="3419">
        <f t="shared" ref="F41" si="8">IF(I41="NA","NA",I41/(44/12)*1000/E41)</f>
        <v>29.421587610201804</v>
      </c>
      <c r="G41" s="3395">
        <v>2090.3157934032761</v>
      </c>
      <c r="H41" s="3396">
        <f t="shared" si="5"/>
        <v>7664.4912424786789</v>
      </c>
      <c r="I41" s="3395">
        <v>7568.5446367409213</v>
      </c>
      <c r="J41" s="3416" t="s">
        <v>2274</v>
      </c>
      <c r="M41" s="125"/>
    </row>
    <row r="42" spans="2:13" ht="18" customHeight="1" x14ac:dyDescent="0.2">
      <c r="B42" s="1434"/>
      <c r="C42" s="1564"/>
      <c r="D42" s="1452" t="s">
        <v>1792</v>
      </c>
      <c r="E42" s="3414">
        <v>8901.448465197187</v>
      </c>
      <c r="F42" s="3419">
        <f>IF(I42="NA","NA",I42/(44/12)*1000/E42)</f>
        <v>14.308447958953549</v>
      </c>
      <c r="G42" s="3395">
        <v>188.1356957599445</v>
      </c>
      <c r="H42" s="3396">
        <f t="shared" si="5"/>
        <v>689.83088445312978</v>
      </c>
      <c r="I42" s="3395">
        <v>467.00834445312989</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115620.10057944391</v>
      </c>
      <c r="F45" s="3343">
        <f>IF(I45="NA","NA",I45/(44/12)*1000/E45)</f>
        <v>26.721045074079477</v>
      </c>
      <c r="G45" s="3423">
        <f>SUM(G33:G43)</f>
        <v>3176.4269587995841</v>
      </c>
      <c r="H45" s="3371">
        <f t="shared" ref="H45" si="9">IF(G45="NA","NA",IF(G45="NO","NO",G45*44/12))</f>
        <v>11646.898848931809</v>
      </c>
      <c r="I45" s="3423">
        <f>SUM(I33:I43)</f>
        <v>11328.129703194052</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49212.544871367485</v>
      </c>
      <c r="F47" s="3419">
        <f t="shared" ref="F47" si="10">IF(I47="NA","NA",I47/(44/12)*1000/E47)</f>
        <v>14.021432274344994</v>
      </c>
      <c r="G47" s="3395">
        <v>690.03036496204322</v>
      </c>
      <c r="H47" s="3374">
        <f t="shared" ref="H47" si="11">IF(G47="NA","NA",IF(G47="NO","NO",G47*44/12))</f>
        <v>2530.1113381941582</v>
      </c>
      <c r="I47" s="3395">
        <v>2530.1113381941582</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49212.544871367485</v>
      </c>
      <c r="F50" s="3343">
        <f>IF(I50="NA","NA",I50/(44/12)*1000/E50)</f>
        <v>14.021432274344994</v>
      </c>
      <c r="G50" s="3423">
        <f>SUM(G47:G48)</f>
        <v>690.03036496204322</v>
      </c>
      <c r="H50" s="3397">
        <f t="shared" ref="H50" si="13">IF(G50="NA","NA",IF(G50="NO","NO",G50*44/12))</f>
        <v>2530.1113381941582</v>
      </c>
      <c r="I50" s="3423">
        <f>SUM(I47:I48)</f>
        <v>2530.1113381941582</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287619.03221554565</v>
      </c>
      <c r="F55" s="3354">
        <f t="shared" si="14"/>
        <v>14.71763764833919</v>
      </c>
      <c r="G55" s="3423">
        <f>SUM(G31,G45,G50,G54)</f>
        <v>6273.7764677136838</v>
      </c>
      <c r="H55" s="3398">
        <f t="shared" si="15"/>
        <v>23003.847048283507</v>
      </c>
      <c r="I55" s="3423">
        <f>SUM(I31,I45,I50,I54)</f>
        <v>15521.26655535279</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480.58940900000005</v>
      </c>
      <c r="D10" s="3127"/>
      <c r="E10" s="3127"/>
      <c r="F10" s="3078">
        <f>SUM(F11,F18)</f>
        <v>1216.8703465416829</v>
      </c>
      <c r="G10" s="3078">
        <f>SUM(G11,G18)</f>
        <v>1284.9645005780499</v>
      </c>
      <c r="H10" s="3078">
        <f>H11</f>
        <v>-24.055622405800001</v>
      </c>
      <c r="I10" s="3128" t="s">
        <v>2146</v>
      </c>
      <c r="L10" s="3750"/>
    </row>
    <row r="11" spans="2:12" ht="18" customHeight="1" x14ac:dyDescent="0.2">
      <c r="B11" s="1252" t="s">
        <v>334</v>
      </c>
      <c r="C11" s="3033">
        <v>92.860287999999997</v>
      </c>
      <c r="D11" s="3078">
        <f>IFERROR(SUM(F11,H11)/$C$11,"NA")</f>
        <v>9.7707941417258759</v>
      </c>
      <c r="E11" s="3078">
        <f>IFERROR(SUM(G11,I11)/$C$11,"NA")</f>
        <v>12.500884177078525</v>
      </c>
      <c r="F11" s="3078">
        <f>SUM(F12:F16)</f>
        <v>931.37438039517758</v>
      </c>
      <c r="G11" s="3078">
        <f>SUM(G12:G16)</f>
        <v>1160.8357049381548</v>
      </c>
      <c r="H11" s="3078">
        <f>H12</f>
        <v>-24.055622405800001</v>
      </c>
      <c r="I11" s="3128" t="s">
        <v>2146</v>
      </c>
    </row>
    <row r="12" spans="2:12" ht="18" customHeight="1" x14ac:dyDescent="0.2">
      <c r="B12" s="160" t="s">
        <v>335</v>
      </c>
      <c r="C12" s="3046"/>
      <c r="D12" s="3078">
        <f t="shared" ref="D12:D14" si="0">IFERROR(SUM(F12,H12)/$C$11,"NA")</f>
        <v>8.7744223925025988</v>
      </c>
      <c r="E12" s="3078">
        <f>IFERROR(SUM(G12,I12)/$C$11,"NA")</f>
        <v>11.769246468407481</v>
      </c>
      <c r="F12" s="3126">
        <v>838.85101280724041</v>
      </c>
      <c r="G12" s="3126">
        <v>1092.8956165993015</v>
      </c>
      <c r="H12" s="3126">
        <v>-24.055622405800001</v>
      </c>
      <c r="I12" s="3034" t="s">
        <v>2146</v>
      </c>
    </row>
    <row r="13" spans="2:12" ht="18" customHeight="1" x14ac:dyDescent="0.2">
      <c r="B13" s="160" t="s">
        <v>336</v>
      </c>
      <c r="C13" s="3046"/>
      <c r="D13" s="3078">
        <f t="shared" si="0"/>
        <v>0.36964070128010218</v>
      </c>
      <c r="E13" s="3078" t="s">
        <v>2147</v>
      </c>
      <c r="F13" s="3126">
        <v>34.324941977392257</v>
      </c>
      <c r="G13" s="3126" t="s">
        <v>2154</v>
      </c>
      <c r="H13" s="3126" t="s">
        <v>2146</v>
      </c>
      <c r="I13" s="3034" t="s">
        <v>2146</v>
      </c>
    </row>
    <row r="14" spans="2:12" ht="18" customHeight="1" x14ac:dyDescent="0.2">
      <c r="B14" s="160" t="s">
        <v>337</v>
      </c>
      <c r="C14" s="3046"/>
      <c r="D14" s="3078">
        <f t="shared" si="0"/>
        <v>0.62440568778383088</v>
      </c>
      <c r="E14" s="3078" t="s">
        <v>2147</v>
      </c>
      <c r="F14" s="3126">
        <v>57.982491996444615</v>
      </c>
      <c r="G14" s="3126" t="s">
        <v>2147</v>
      </c>
      <c r="H14" s="3126" t="s">
        <v>2146</v>
      </c>
      <c r="I14" s="3034" t="s">
        <v>2146</v>
      </c>
    </row>
    <row r="15" spans="2:12" ht="18" customHeight="1" x14ac:dyDescent="0.2">
      <c r="B15" s="160" t="s">
        <v>338</v>
      </c>
      <c r="C15" s="3033">
        <v>2.40556224058E-2</v>
      </c>
      <c r="D15" s="3078">
        <f>IFERROR(SUM(F15,H15)/$C15,"NA")</f>
        <v>8.9764301441715322</v>
      </c>
      <c r="E15" s="3078">
        <f>IFERROR(SUM(G15,I15)/$C15,"NA")</f>
        <v>2824.2914356051888</v>
      </c>
      <c r="F15" s="3126">
        <v>0.21593361410023124</v>
      </c>
      <c r="G15" s="3126">
        <v>67.940088338853229</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387.72912100000002</v>
      </c>
      <c r="D18" s="3078">
        <f>IFERROR(SUM(F18,H18)/$C$18,"NA")</f>
        <v>0.73632840734319083</v>
      </c>
      <c r="E18" s="3078">
        <f>IFERROR(SUM(G18,I18)/$C$18,"NA")</f>
        <v>0.32014308164357652</v>
      </c>
      <c r="F18" s="3078">
        <f>SUM(F19:F21)</f>
        <v>285.49596614650534</v>
      </c>
      <c r="G18" s="3131">
        <f t="shared" ref="G18" si="2">SUM(G19:G21)</f>
        <v>124.12879563989517</v>
      </c>
      <c r="H18" s="3078" t="s">
        <v>2146</v>
      </c>
      <c r="I18" s="3128" t="s">
        <v>2146</v>
      </c>
    </row>
    <row r="19" spans="2:9" ht="18" customHeight="1" x14ac:dyDescent="0.2">
      <c r="B19" s="160" t="s">
        <v>341</v>
      </c>
      <c r="C19" s="3046"/>
      <c r="D19" s="3078">
        <f>IFERROR(SUM(F19,H19)/$C$18,"NA")</f>
        <v>0.73632840734319083</v>
      </c>
      <c r="E19" s="3078">
        <f>IFERROR(SUM(G19,I19)/$C$18,"NA")</f>
        <v>0.32014308164357652</v>
      </c>
      <c r="F19" s="3126">
        <v>285.49596614650534</v>
      </c>
      <c r="G19" s="3126">
        <v>124.12879563989517</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425.28871112438617</v>
      </c>
      <c r="J10" s="3145">
        <f>IF(SUM(J11:J16)=0,"NO",SUM(J11:J16))</f>
        <v>3.348953859899531</v>
      </c>
      <c r="K10" s="1913">
        <f>IF(SUM(K11:K16)=0,"NO",SUM(K11:K16))</f>
        <v>1.2798498738929584E-2</v>
      </c>
      <c r="L10" s="3146" t="s">
        <v>2146</v>
      </c>
    </row>
    <row r="11" spans="2:12" ht="18" customHeight="1" x14ac:dyDescent="0.2">
      <c r="B11" s="1252" t="s">
        <v>363</v>
      </c>
      <c r="C11" s="2165" t="s">
        <v>2159</v>
      </c>
      <c r="D11" s="2165" t="s">
        <v>2275</v>
      </c>
      <c r="E11" s="691">
        <v>124.713615259582</v>
      </c>
      <c r="F11" s="1913">
        <f>I11*1000000/$E11</f>
        <v>3199.9999999999936</v>
      </c>
      <c r="G11" s="1913">
        <f>J11*1000000/$E11</f>
        <v>0.33333333333333265</v>
      </c>
      <c r="H11" s="1913">
        <f>K11*1000000/$E11</f>
        <v>0.22580645161290278</v>
      </c>
      <c r="I11" s="3141">
        <v>0.39908356883066159</v>
      </c>
      <c r="J11" s="691">
        <v>4.1571205086527248E-5</v>
      </c>
      <c r="K11" s="3142">
        <v>2.8161138929582977E-5</v>
      </c>
      <c r="L11" s="3093" t="s">
        <v>2146</v>
      </c>
    </row>
    <row r="12" spans="2:12" ht="18" customHeight="1" x14ac:dyDescent="0.2">
      <c r="B12" s="1252" t="s">
        <v>364</v>
      </c>
      <c r="C12" s="2165" t="s">
        <v>2160</v>
      </c>
      <c r="D12" s="2165" t="s">
        <v>2161</v>
      </c>
      <c r="E12" s="691">
        <v>1031.1120000000001</v>
      </c>
      <c r="F12" s="1913" t="s">
        <v>2147</v>
      </c>
      <c r="G12" s="1913">
        <f>J12*1000000/$E12</f>
        <v>626.50808059648239</v>
      </c>
      <c r="H12" s="3096"/>
      <c r="I12" s="3147" t="s">
        <v>2147</v>
      </c>
      <c r="J12" s="691">
        <v>0.64600000000000024</v>
      </c>
      <c r="K12" s="3046"/>
      <c r="L12" s="3093" t="s">
        <v>2146</v>
      </c>
    </row>
    <row r="13" spans="2:12" ht="18" customHeight="1" x14ac:dyDescent="0.2">
      <c r="B13" s="1252" t="s">
        <v>365</v>
      </c>
      <c r="C13" s="2165" t="s">
        <v>2162</v>
      </c>
      <c r="D13" s="2165" t="s">
        <v>2161</v>
      </c>
      <c r="E13" s="691">
        <v>893.245</v>
      </c>
      <c r="F13" s="1913" t="s">
        <v>2147</v>
      </c>
      <c r="G13" s="1913">
        <f>J13*1000000/$E13</f>
        <v>249.66501351812767</v>
      </c>
      <c r="H13" s="3096"/>
      <c r="I13" s="3147" t="s">
        <v>2147</v>
      </c>
      <c r="J13" s="691">
        <v>0.22301202499999995</v>
      </c>
      <c r="K13" s="3046"/>
      <c r="L13" s="3093" t="s">
        <v>2146</v>
      </c>
    </row>
    <row r="14" spans="2:12" ht="18" customHeight="1" x14ac:dyDescent="0.2">
      <c r="B14" s="1252" t="s">
        <v>366</v>
      </c>
      <c r="C14" s="2165" t="s">
        <v>2163</v>
      </c>
      <c r="D14" s="2165" t="s">
        <v>2161</v>
      </c>
      <c r="E14" s="691">
        <v>1503.9179999999999</v>
      </c>
      <c r="F14" s="1913">
        <f>I14*1000000/$E14</f>
        <v>282521.80474969751</v>
      </c>
      <c r="G14" s="1913">
        <f>J14*1000000/$E14</f>
        <v>1603.9070776760732</v>
      </c>
      <c r="H14" s="1913">
        <f>K14*1000000/$E14</f>
        <v>8.4913789182654913</v>
      </c>
      <c r="I14" s="3147">
        <v>424.88962755555553</v>
      </c>
      <c r="J14" s="691">
        <v>2.4121447244444445</v>
      </c>
      <c r="K14" s="3142">
        <v>1.2770337600000001E-2</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6.7755539249999996E-2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2634</v>
      </c>
      <c r="F18" s="1913" t="s">
        <v>2147</v>
      </c>
      <c r="G18" s="1913">
        <f>J18*1000000/$E18</f>
        <v>25.723439350797268</v>
      </c>
      <c r="H18" s="3148"/>
      <c r="I18" s="3150" t="s">
        <v>2147</v>
      </c>
      <c r="J18" s="2190">
        <v>6.7755539249999996E-2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23.917225372404229</v>
      </c>
      <c r="J21" s="3155">
        <f>IF(SUM(J22:J27)=0,"NO",SUM(J22:J27))</f>
        <v>148.96155269280925</v>
      </c>
      <c r="K21" s="3067">
        <f>IF(SUM(K22:K27)=0,"NO",SUM(K22:K27))</f>
        <v>4.2879838792821449E-4</v>
      </c>
      <c r="L21" s="3068" t="str">
        <f>IF(SUM(L22:L27)=0,"NO",SUM(L22:L27))</f>
        <v>NO</v>
      </c>
    </row>
    <row r="22" spans="2:12" ht="18" customHeight="1" x14ac:dyDescent="0.2">
      <c r="B22" s="1469" t="s">
        <v>371</v>
      </c>
      <c r="C22" s="2165" t="s">
        <v>2164</v>
      </c>
      <c r="D22" s="2165" t="s">
        <v>2147</v>
      </c>
      <c r="E22" s="691">
        <v>408.55504679064455</v>
      </c>
      <c r="F22" s="1913">
        <f>I22*1000000/$E22</f>
        <v>35667.069416778788</v>
      </c>
      <c r="G22" s="1913">
        <f>J22*1000000/$E22</f>
        <v>1803.1847556830603</v>
      </c>
      <c r="H22" s="1913">
        <f>K22*1000000/$E22</f>
        <v>1.0495486258133122</v>
      </c>
      <c r="I22" s="3141">
        <v>14.571961214457225</v>
      </c>
      <c r="J22" s="692">
        <v>0.7367002322302697</v>
      </c>
      <c r="K22" s="4141">
        <v>4.2879838792821449E-4</v>
      </c>
      <c r="L22" s="3156" t="s">
        <v>2146</v>
      </c>
    </row>
    <row r="23" spans="2:12" ht="18" customHeight="1" x14ac:dyDescent="0.2">
      <c r="B23" s="1252" t="s">
        <v>372</v>
      </c>
      <c r="C23" s="2165" t="s">
        <v>2165</v>
      </c>
      <c r="D23" s="2165" t="s">
        <v>2161</v>
      </c>
      <c r="E23" s="691">
        <v>3075.1027767201099</v>
      </c>
      <c r="F23" s="1913">
        <f>I23*1000000/$E23</f>
        <v>171.51302747895338</v>
      </c>
      <c r="G23" s="1913">
        <f>J23*1000000/$E23</f>
        <v>4352.8554784079288</v>
      </c>
      <c r="H23" s="3096"/>
      <c r="I23" s="3147">
        <v>0.52742018704420202</v>
      </c>
      <c r="J23" s="691">
        <v>13.385477968313566</v>
      </c>
      <c r="K23" s="3046"/>
      <c r="L23" s="3156" t="s">
        <v>2146</v>
      </c>
    </row>
    <row r="24" spans="2:12" ht="18" customHeight="1" x14ac:dyDescent="0.2">
      <c r="B24" s="1252" t="s">
        <v>373</v>
      </c>
      <c r="C24" s="2165" t="s">
        <v>2165</v>
      </c>
      <c r="D24" s="2165" t="s">
        <v>2161</v>
      </c>
      <c r="E24" s="691">
        <v>3075.1027767201099</v>
      </c>
      <c r="F24" s="1913">
        <f t="shared" ref="F24:F26" si="0">I24*1000000/$E24</f>
        <v>965.76212153649658</v>
      </c>
      <c r="G24" s="1913">
        <f t="shared" ref="G24:G26" si="1">J24*1000000/$E24</f>
        <v>5519.7004237783513</v>
      </c>
      <c r="H24" s="1879"/>
      <c r="I24" s="691">
        <v>2.9698177815879849</v>
      </c>
      <c r="J24" s="691">
        <v>16.973646099823974</v>
      </c>
      <c r="K24" s="1914"/>
      <c r="L24" s="3093" t="str">
        <f>IF(Table1.C!E21="NO","NO",-Table1.C!E21)</f>
        <v>NO</v>
      </c>
    </row>
    <row r="25" spans="2:12" ht="18" customHeight="1" x14ac:dyDescent="0.2">
      <c r="B25" s="1252" t="s">
        <v>374</v>
      </c>
      <c r="C25" s="2165" t="s">
        <v>2276</v>
      </c>
      <c r="D25" s="2165" t="s">
        <v>2171</v>
      </c>
      <c r="E25" s="691">
        <v>25824</v>
      </c>
      <c r="F25" s="1913">
        <f t="shared" si="0"/>
        <v>20.000000000000004</v>
      </c>
      <c r="G25" s="1913">
        <f t="shared" si="1"/>
        <v>414.28571428571422</v>
      </c>
      <c r="H25" s="3096"/>
      <c r="I25" s="3147">
        <v>0.51648000000000005</v>
      </c>
      <c r="J25" s="691">
        <v>10.698514285714284</v>
      </c>
      <c r="K25" s="3046"/>
      <c r="L25" s="3093" t="s">
        <v>2146</v>
      </c>
    </row>
    <row r="26" spans="2:12" ht="18" customHeight="1" x14ac:dyDescent="0.2">
      <c r="B26" s="1252" t="s">
        <v>375</v>
      </c>
      <c r="C26" s="2165" t="s">
        <v>2166</v>
      </c>
      <c r="D26" s="2165" t="s">
        <v>2161</v>
      </c>
      <c r="E26" s="691">
        <v>395.51620924249897</v>
      </c>
      <c r="F26" s="1913">
        <f t="shared" si="0"/>
        <v>12188.577578736556</v>
      </c>
      <c r="G26" s="1913">
        <f t="shared" si="1"/>
        <v>222819.74275791671</v>
      </c>
      <c r="H26" s="3096"/>
      <c r="I26" s="3147">
        <v>4.8207799999999992</v>
      </c>
      <c r="J26" s="691">
        <v>88.12881999999999</v>
      </c>
      <c r="K26" s="3046"/>
      <c r="L26" s="3093" t="s">
        <v>2146</v>
      </c>
    </row>
    <row r="27" spans="2:12" ht="18" customHeight="1" x14ac:dyDescent="0.2">
      <c r="B27" s="2414" t="s">
        <v>376</v>
      </c>
      <c r="C27" s="621"/>
      <c r="D27" s="621"/>
      <c r="E27" s="628"/>
      <c r="F27" s="628"/>
      <c r="G27" s="628"/>
      <c r="H27" s="3148"/>
      <c r="I27" s="1913">
        <f>IF(SUM(I29:I31)=0,"NO",SUM(I29:I31))</f>
        <v>0.51076618931481632</v>
      </c>
      <c r="J27" s="1913">
        <f>IF(SUM(J29:J31)=0,"NO",SUM(J29:J31))</f>
        <v>19.038394106727164</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0.51076618931481632</v>
      </c>
      <c r="J29" s="3150">
        <v>11.639683842627164</v>
      </c>
      <c r="K29" s="3132"/>
      <c r="L29" s="3102" t="s">
        <v>2146</v>
      </c>
    </row>
    <row r="30" spans="2:12" ht="18" customHeight="1" x14ac:dyDescent="0.2">
      <c r="B30" s="2415" t="s">
        <v>378</v>
      </c>
      <c r="C30" s="2165" t="s">
        <v>2156</v>
      </c>
      <c r="D30" s="2165" t="s">
        <v>2155</v>
      </c>
      <c r="E30" s="691">
        <v>8830</v>
      </c>
      <c r="F30" s="1913" t="s">
        <v>2147</v>
      </c>
      <c r="G30" s="1913">
        <f t="shared" ref="G30" si="2">J30*1000000/$E30</f>
        <v>22.390743386183459</v>
      </c>
      <c r="H30" s="3148"/>
      <c r="I30" s="3150" t="s">
        <v>2147</v>
      </c>
      <c r="J30" s="3150">
        <v>0.19771026409999995</v>
      </c>
      <c r="K30" s="3132"/>
      <c r="L30" s="3102" t="s">
        <v>2146</v>
      </c>
    </row>
    <row r="31" spans="2:12" ht="18" customHeight="1" x14ac:dyDescent="0.2">
      <c r="B31" s="1242" t="s">
        <v>379</v>
      </c>
      <c r="C31" s="621"/>
      <c r="D31" s="621"/>
      <c r="E31" s="628"/>
      <c r="F31" s="628"/>
      <c r="G31" s="628"/>
      <c r="H31" s="3148"/>
      <c r="I31" s="1913" t="s">
        <v>2147</v>
      </c>
      <c r="J31" s="1913">
        <f>IF(SUM(J32:J34)=0,"NO",SUM(J32:J34))</f>
        <v>7.2009999999999996</v>
      </c>
      <c r="K31" s="3132"/>
      <c r="L31" s="3149" t="str">
        <f>IF(SUM(L32:L34)=0,"NO",SUM(L32:L34))</f>
        <v>NO</v>
      </c>
    </row>
    <row r="32" spans="2:12" ht="18" customHeight="1" x14ac:dyDescent="0.2">
      <c r="B32" s="2592" t="s">
        <v>2173</v>
      </c>
      <c r="C32" s="310" t="s">
        <v>2172</v>
      </c>
      <c r="D32" s="310" t="s">
        <v>2172</v>
      </c>
      <c r="E32" s="2190">
        <v>6</v>
      </c>
      <c r="F32" s="3095" t="s">
        <v>2147</v>
      </c>
      <c r="G32" s="3095">
        <f t="shared" ref="G32:G33" si="3">J32*1000000/$E32</f>
        <v>369666.66666666669</v>
      </c>
      <c r="H32" s="3148"/>
      <c r="I32" s="3150" t="s">
        <v>2147</v>
      </c>
      <c r="J32" s="3150">
        <v>2.218</v>
      </c>
      <c r="K32" s="3132"/>
      <c r="L32" s="3102" t="s">
        <v>2146</v>
      </c>
    </row>
    <row r="33" spans="2:12" ht="18" customHeight="1" x14ac:dyDescent="0.2">
      <c r="B33" s="2592" t="s">
        <v>2174</v>
      </c>
      <c r="C33" s="277" t="s">
        <v>2172</v>
      </c>
      <c r="D33" s="277" t="s">
        <v>2172</v>
      </c>
      <c r="E33" s="691">
        <v>3</v>
      </c>
      <c r="F33" s="1913" t="s">
        <v>2147</v>
      </c>
      <c r="G33" s="1913">
        <f t="shared" si="3"/>
        <v>921000</v>
      </c>
      <c r="H33" s="3096"/>
      <c r="I33" s="3147" t="s">
        <v>2147</v>
      </c>
      <c r="J33" s="3147">
        <v>2.7629999999999999</v>
      </c>
      <c r="K33" s="3046"/>
      <c r="L33" s="3093" t="s">
        <v>2146</v>
      </c>
    </row>
    <row r="34" spans="2:12" ht="18" customHeight="1" thickBot="1" x14ac:dyDescent="0.25">
      <c r="B34" s="2590" t="s">
        <v>2175</v>
      </c>
      <c r="C34" s="2591" t="s">
        <v>2172</v>
      </c>
      <c r="D34" s="2591" t="s">
        <v>2172</v>
      </c>
      <c r="E34" s="2912">
        <v>2</v>
      </c>
      <c r="F34" s="3157" t="s">
        <v>2147</v>
      </c>
      <c r="G34" s="3157">
        <f t="shared" ref="G34" si="4">J34*1000000/$E34</f>
        <v>1109999.9999999998</v>
      </c>
      <c r="H34" s="3158"/>
      <c r="I34" s="3159" t="s">
        <v>2147</v>
      </c>
      <c r="J34" s="3159">
        <v>2.2199999999999998</v>
      </c>
      <c r="K34" s="3160"/>
      <c r="L34" s="3161" t="s">
        <v>2146</v>
      </c>
    </row>
    <row r="35" spans="2:12" ht="18" customHeight="1" x14ac:dyDescent="0.2">
      <c r="B35" s="1255" t="s">
        <v>380</v>
      </c>
      <c r="C35" s="2167"/>
      <c r="D35" s="2167"/>
      <c r="E35" s="3216"/>
      <c r="F35" s="3216"/>
      <c r="G35" s="3216"/>
      <c r="H35" s="3216"/>
      <c r="I35" s="3155">
        <f>IF(SUM(I36,I40)=0,"NO",SUM(I36,I40))</f>
        <v>5769.9732701964749</v>
      </c>
      <c r="J35" s="3067">
        <f>IF(SUM(J36,J40)=0,"NO",SUM(J36,J40))</f>
        <v>51.229576566513522</v>
      </c>
      <c r="K35" s="3067">
        <f>IF(SUM(K36,K40)=0,"NO",SUM(K36,K40))</f>
        <v>7.7108484723598311E-2</v>
      </c>
      <c r="L35" s="3068" t="str">
        <f>IF(SUM(L36,L40)=0,"NO",SUM(L36,L40))</f>
        <v>NO</v>
      </c>
    </row>
    <row r="36" spans="2:12" ht="18" customHeight="1" x14ac:dyDescent="0.2">
      <c r="B36" s="1468" t="s">
        <v>381</v>
      </c>
      <c r="C36" s="2170"/>
      <c r="D36" s="2170"/>
      <c r="E36" s="3025"/>
      <c r="F36" s="3025"/>
      <c r="G36" s="3025"/>
      <c r="H36" s="3025"/>
      <c r="I36" s="3162">
        <f>IF(SUM(I37:I39)=0,"NO",SUM(I37:I39))</f>
        <v>3387.1331550360151</v>
      </c>
      <c r="J36" s="1913">
        <f>IF(SUM(J37:J39)=0,"NO",SUM(J37:J39))</f>
        <v>36.218004646358047</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4106.2147767201095</v>
      </c>
      <c r="F39" s="1913">
        <f t="shared" ref="F39" si="5">SUM(I39,L39)*1000000/$E39</f>
        <v>824879.68584573898</v>
      </c>
      <c r="G39" s="1913">
        <f t="shared" ref="G39" si="6">J39*1000000/$E39</f>
        <v>8820.2898814970504</v>
      </c>
      <c r="H39" s="1913">
        <f t="shared" ref="H39" si="7">K39*1000000/$E39</f>
        <v>0</v>
      </c>
      <c r="I39" s="691">
        <v>3387.1331550360151</v>
      </c>
      <c r="J39" s="691">
        <v>36.218004646358047</v>
      </c>
      <c r="K39" s="3132"/>
      <c r="L39" s="3093" t="s">
        <v>2146</v>
      </c>
    </row>
    <row r="40" spans="2:12" ht="18" customHeight="1" x14ac:dyDescent="0.2">
      <c r="B40" s="1468" t="s">
        <v>385</v>
      </c>
      <c r="C40" s="2170"/>
      <c r="D40" s="2170"/>
      <c r="E40" s="3025"/>
      <c r="F40" s="3025"/>
      <c r="G40" s="3025"/>
      <c r="H40" s="3025"/>
      <c r="I40" s="3162">
        <f>IF(SUM(I41:I43)=0,"NO",SUM(I41:I43))</f>
        <v>2382.8401151604603</v>
      </c>
      <c r="J40" s="3162">
        <f>IF(SUM(J41:J43)=0,"NO",SUM(J41:J43))</f>
        <v>15.011571920155475</v>
      </c>
      <c r="K40" s="1913">
        <f>IF(SUM(K41:K43)=0,"NO",SUM(K41:K43))</f>
        <v>7.7108484723598311E-2</v>
      </c>
      <c r="L40" s="3065" t="str">
        <f>IF(SUM(L41:L43)=0,"NO",SUM(L41:L43))</f>
        <v>NO</v>
      </c>
    </row>
    <row r="41" spans="2:12" ht="18" customHeight="1" x14ac:dyDescent="0.2">
      <c r="B41" s="1470" t="s">
        <v>386</v>
      </c>
      <c r="C41" s="277" t="s">
        <v>2169</v>
      </c>
      <c r="D41" s="277" t="s">
        <v>2170</v>
      </c>
      <c r="E41" s="691">
        <v>361.68316102494498</v>
      </c>
      <c r="F41" s="1913">
        <f t="shared" ref="F41:F42" si="8">SUM(I41,L41)*1000000/$E41</f>
        <v>2900000</v>
      </c>
      <c r="G41" s="1913">
        <f t="shared" ref="G41:H42" si="9">J41*1000000/$E41</f>
        <v>35000</v>
      </c>
      <c r="H41" s="1913">
        <f t="shared" si="9"/>
        <v>81</v>
      </c>
      <c r="I41" s="692">
        <v>1048.8811669723405</v>
      </c>
      <c r="J41" s="692">
        <v>12.658910635873076</v>
      </c>
      <c r="K41" s="692">
        <v>2.9296336043020545E-2</v>
      </c>
      <c r="L41" s="3156" t="s">
        <v>2146</v>
      </c>
    </row>
    <row r="42" spans="2:12" ht="18" customHeight="1" x14ac:dyDescent="0.2">
      <c r="B42" s="1470" t="s">
        <v>387</v>
      </c>
      <c r="C42" s="277" t="s">
        <v>2169</v>
      </c>
      <c r="D42" s="277" t="s">
        <v>2170</v>
      </c>
      <c r="E42" s="691">
        <v>28621.040063653702</v>
      </c>
      <c r="F42" s="1913">
        <f t="shared" si="8"/>
        <v>46607.633587786171</v>
      </c>
      <c r="G42" s="1913">
        <f t="shared" si="9"/>
        <v>82.200411971404193</v>
      </c>
      <c r="H42" s="1913">
        <f t="shared" si="9"/>
        <v>1.6705245013543428</v>
      </c>
      <c r="I42" s="691">
        <v>1333.9589481881198</v>
      </c>
      <c r="J42" s="691">
        <v>2.3526612842823988</v>
      </c>
      <c r="K42" s="691">
        <v>4.7812148680577767E-2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39.541168155126876</v>
      </c>
      <c r="M9" s="3358">
        <f>100*C10/SUM(C10,'Table1.A(a)s3'!C16)</f>
        <v>60.458831844873124</v>
      </c>
    </row>
    <row r="10" spans="1:13" ht="18" customHeight="1" thickTop="1" thickBot="1" x14ac:dyDescent="0.25">
      <c r="B10" s="223" t="s">
        <v>430</v>
      </c>
      <c r="C10" s="3338">
        <f>IF(SUM(C11:C13)=0,"NO",SUM(C11:C13))</f>
        <v>134451.5232</v>
      </c>
      <c r="D10" s="3339"/>
      <c r="E10" s="3340"/>
      <c r="F10" s="3340"/>
      <c r="G10" s="3338">
        <f>IF(SUM(G11:G13)=0,"NO",SUM(G11:G13))</f>
        <v>9357.8260147199999</v>
      </c>
      <c r="H10" s="3338">
        <f>IF(SUM(H11:H13)=0,"NO",SUM(H11:H13))</f>
        <v>1.5084557142857139E-2</v>
      </c>
      <c r="I10" s="1154">
        <f>IF(SUM(I11:I13)=0,"NO",SUM(I11:I13))</f>
        <v>4.6999998831578953E-2</v>
      </c>
      <c r="J10" s="4"/>
      <c r="K10" s="68" t="s">
        <v>431</v>
      </c>
      <c r="L10" s="3359">
        <f>100-M10</f>
        <v>47.970914768436856</v>
      </c>
      <c r="M10" s="3360">
        <f>100*C14/SUM(C14,'Table1.A(a)s3'!C88)</f>
        <v>52.029085231563144</v>
      </c>
    </row>
    <row r="11" spans="1:13" ht="18" customHeight="1" x14ac:dyDescent="0.2">
      <c r="B11" s="1258" t="s">
        <v>178</v>
      </c>
      <c r="C11" s="3341">
        <v>134451.5232</v>
      </c>
      <c r="D11" s="116">
        <f>IF(G11="NO","NA",G11*1000/$C11)</f>
        <v>69.600000000000009</v>
      </c>
      <c r="E11" s="116">
        <f t="shared" ref="E11:F13" si="0">IF(H11="NO","NA",H11*1000000/$C11)</f>
        <v>0.11219327817073879</v>
      </c>
      <c r="F11" s="116">
        <f t="shared" si="0"/>
        <v>0.34956836273000258</v>
      </c>
      <c r="G11" s="3062">
        <v>9357.8260147199999</v>
      </c>
      <c r="H11" s="3062">
        <v>1.5084557142857139E-2</v>
      </c>
      <c r="I11" s="3063">
        <v>4.6999998831578953E-2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35052.832399999999</v>
      </c>
      <c r="D14" s="3348"/>
      <c r="E14" s="3349"/>
      <c r="F14" s="3350"/>
      <c r="G14" s="3347">
        <f>IF(SUM(G15:G18,G20:G22)=0,"NO",SUM(G15:G18,G20:G22))</f>
        <v>2567.6862094799999</v>
      </c>
      <c r="H14" s="3347">
        <f>IF(SUM(H15:H18,H20:H22)=0,"NO",SUM(H15:H18,H20:H22))</f>
        <v>0.24536982680000005</v>
      </c>
      <c r="I14" s="1155">
        <f>IF(SUM(I15:I18,I20:I22)=0,"NO",SUM(I15:I18,I20:I22))</f>
        <v>7.0105664800000009E-2</v>
      </c>
      <c r="J14" s="4"/>
      <c r="K14" s="1047"/>
      <c r="L14" s="1047"/>
      <c r="M14" s="1047"/>
    </row>
    <row r="15" spans="1:13" ht="18" customHeight="1" x14ac:dyDescent="0.2">
      <c r="B15" s="1260" t="s">
        <v>190</v>
      </c>
      <c r="C15" s="143">
        <v>31754.925599999999</v>
      </c>
      <c r="D15" s="116">
        <f>IF(G15="NO","NA",G15*1000/$C15)</f>
        <v>73.600000000000009</v>
      </c>
      <c r="E15" s="116">
        <f t="shared" ref="E15:F17" si="1">IF(H15="NO","NA",H15*1000000/$C15)</f>
        <v>7.0000000000000018</v>
      </c>
      <c r="F15" s="116">
        <f t="shared" si="1"/>
        <v>2.0000000000000004</v>
      </c>
      <c r="G15" s="3064">
        <v>2337.16252416</v>
      </c>
      <c r="H15" s="3064">
        <v>0.22228447920000005</v>
      </c>
      <c r="I15" s="135">
        <v>6.3509851200000009E-2</v>
      </c>
      <c r="J15" s="4"/>
      <c r="K15" s="1047"/>
      <c r="L15" s="1047"/>
      <c r="M15" s="1047"/>
    </row>
    <row r="16" spans="1:13" ht="18" customHeight="1" x14ac:dyDescent="0.2">
      <c r="B16" s="1260" t="s">
        <v>191</v>
      </c>
      <c r="C16" s="3351">
        <v>3297.9067999999997</v>
      </c>
      <c r="D16" s="116">
        <f>IF(G16="NO","NA",G16*1000/$C16)</f>
        <v>69.900000000000006</v>
      </c>
      <c r="E16" s="116">
        <f t="shared" si="1"/>
        <v>7</v>
      </c>
      <c r="F16" s="116">
        <f t="shared" si="1"/>
        <v>2.0000000000000004</v>
      </c>
      <c r="G16" s="3064">
        <v>230.52368532000003</v>
      </c>
      <c r="H16" s="3064">
        <v>2.3085347599999997E-2</v>
      </c>
      <c r="I16" s="135">
        <v>6.5958136000000001E-3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24691.051147405644</v>
      </c>
      <c r="D10" s="2913">
        <f t="shared" ref="D10:N10" si="0">IF(SUM(D11,D16,D27,D35,D39,D45,D52,D57)=0,"NO",SUM(D11,D16,D27,D35,D39,D45,D52,D57))</f>
        <v>3.5721409116313096</v>
      </c>
      <c r="E10" s="2913">
        <f t="shared" si="0"/>
        <v>9.2731974041721443</v>
      </c>
      <c r="F10" s="2913">
        <f t="shared" si="0"/>
        <v>4706.3765189513433</v>
      </c>
      <c r="G10" s="2913">
        <f t="shared" si="0"/>
        <v>524.05752254650565</v>
      </c>
      <c r="H10" s="2913" t="str">
        <f t="shared" si="0"/>
        <v>NO</v>
      </c>
      <c r="I10" s="2913">
        <f t="shared" si="0"/>
        <v>7.6810372273039083E-3</v>
      </c>
      <c r="J10" s="2913" t="str">
        <f t="shared" si="0"/>
        <v>NO</v>
      </c>
      <c r="K10" s="2913">
        <f t="shared" si="0"/>
        <v>40.261420616691069</v>
      </c>
      <c r="L10" s="2914">
        <f t="shared" si="0"/>
        <v>10.825383446352522</v>
      </c>
      <c r="M10" s="2915">
        <f t="shared" si="0"/>
        <v>236.03000100994959</v>
      </c>
      <c r="N10" s="2916">
        <f t="shared" si="0"/>
        <v>1681.4265179879865</v>
      </c>
      <c r="O10" s="3020">
        <f t="shared" ref="O10:O58" si="1">IF(SUM(C10:J10)=0,"NO",SUM(C10,F10:H10)+28*SUM(D10)+265*SUM(E10)+23500*SUM(I10)+16100*SUM(J10))</f>
        <v>32659.406821376433</v>
      </c>
    </row>
    <row r="11" spans="1:15" ht="18" customHeight="1" x14ac:dyDescent="0.2">
      <c r="B11" s="1263" t="s">
        <v>444</v>
      </c>
      <c r="C11" s="2137">
        <f>IF(SUM(C12:C15)=0,"NO",SUM(C12:C15))</f>
        <v>6985.4738057376535</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6985.4738057376535</v>
      </c>
    </row>
    <row r="12" spans="1:15" ht="18" customHeight="1" x14ac:dyDescent="0.2">
      <c r="B12" s="1264" t="s">
        <v>445</v>
      </c>
      <c r="C12" s="2920">
        <f>'Table2(I).A-H'!H11</f>
        <v>3971.5474441600004</v>
      </c>
      <c r="D12" s="2136"/>
      <c r="E12" s="2136"/>
      <c r="F12" s="628"/>
      <c r="G12" s="628"/>
      <c r="H12" s="2135"/>
      <c r="I12" s="628"/>
      <c r="J12" s="2135"/>
      <c r="K12" s="2135"/>
      <c r="L12" s="2135"/>
      <c r="M12" s="2135"/>
      <c r="N12" s="2919" t="s">
        <v>2146</v>
      </c>
      <c r="O12" s="2934">
        <f t="shared" si="1"/>
        <v>3971.5474441600004</v>
      </c>
    </row>
    <row r="13" spans="1:15" ht="18" customHeight="1" x14ac:dyDescent="0.2">
      <c r="B13" s="1264" t="s">
        <v>446</v>
      </c>
      <c r="C13" s="1878">
        <f>'Table2(I).A-H'!H12</f>
        <v>1225.3907479999998</v>
      </c>
      <c r="D13" s="2108"/>
      <c r="E13" s="2108"/>
      <c r="F13" s="628"/>
      <c r="G13" s="628"/>
      <c r="H13" s="2135"/>
      <c r="I13" s="628"/>
      <c r="J13" s="2135"/>
      <c r="K13" s="628"/>
      <c r="L13" s="628"/>
      <c r="M13" s="628"/>
      <c r="N13" s="1838"/>
      <c r="O13" s="1880">
        <f t="shared" si="1"/>
        <v>1225.3907479999998</v>
      </c>
    </row>
    <row r="14" spans="1:15" ht="18" customHeight="1" x14ac:dyDescent="0.2">
      <c r="B14" s="1264" t="s">
        <v>447</v>
      </c>
      <c r="C14" s="1878">
        <f>'Table2(I).A-H'!H13</f>
        <v>115.51231793362143</v>
      </c>
      <c r="D14" s="2108"/>
      <c r="E14" s="2108"/>
      <c r="F14" s="628"/>
      <c r="G14" s="628"/>
      <c r="H14" s="2135"/>
      <c r="I14" s="628"/>
      <c r="J14" s="2135"/>
      <c r="K14" s="628"/>
      <c r="L14" s="628"/>
      <c r="M14" s="628"/>
      <c r="N14" s="1838"/>
      <c r="O14" s="1880">
        <f t="shared" si="1"/>
        <v>115.51231793362143</v>
      </c>
    </row>
    <row r="15" spans="1:15" ht="18" customHeight="1" thickBot="1" x14ac:dyDescent="0.25">
      <c r="B15" s="1264" t="s">
        <v>448</v>
      </c>
      <c r="C15" s="1878">
        <f>'Table2(I).A-H'!H14</f>
        <v>1673.0232956440325</v>
      </c>
      <c r="D15" s="1879"/>
      <c r="E15" s="1879"/>
      <c r="F15" s="3021"/>
      <c r="G15" s="3021"/>
      <c r="H15" s="3021"/>
      <c r="I15" s="3021"/>
      <c r="J15" s="3021"/>
      <c r="K15" s="2606" t="s">
        <v>2146</v>
      </c>
      <c r="L15" s="2606" t="s">
        <v>2146</v>
      </c>
      <c r="M15" s="2606" t="s">
        <v>2146</v>
      </c>
      <c r="N15" s="2607" t="s">
        <v>2146</v>
      </c>
      <c r="O15" s="1880">
        <f t="shared" si="1"/>
        <v>1673.0232956440325</v>
      </c>
    </row>
    <row r="16" spans="1:15" ht="18" customHeight="1" x14ac:dyDescent="0.2">
      <c r="B16" s="1265" t="s">
        <v>449</v>
      </c>
      <c r="C16" s="2137">
        <f>IF(SUM(C17:C26)=0,"NO",SUM(C17:C26))</f>
        <v>4015.7436099825827</v>
      </c>
      <c r="D16" s="2137">
        <f t="shared" ref="D16:N16" si="3">IF(SUM(D17:D26)=0,"NO",SUM(D17:D26))</f>
        <v>0.57348379999999999</v>
      </c>
      <c r="E16" s="2137">
        <f t="shared" si="3"/>
        <v>9.1940933223425496</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2.8425606806999988</v>
      </c>
      <c r="N16" s="2918" t="str">
        <f t="shared" si="3"/>
        <v>NO</v>
      </c>
      <c r="O16" s="2941">
        <f t="shared" si="1"/>
        <v>6468.2358868033589</v>
      </c>
    </row>
    <row r="17" spans="2:15" ht="18" customHeight="1" x14ac:dyDescent="0.2">
      <c r="B17" s="1266" t="s">
        <v>450</v>
      </c>
      <c r="C17" s="2920">
        <f>SUM('Table2(I).A-H'!H23,'Table2(I).A-H'!K23:L23)</f>
        <v>2352.3396802949815</v>
      </c>
      <c r="D17" s="2139" t="str">
        <f>'Table2(I).A-H'!I23</f>
        <v>NO</v>
      </c>
      <c r="E17" s="2139" t="str">
        <f>'Table2(I).A-H'!J23</f>
        <v>NO</v>
      </c>
      <c r="F17" s="2135"/>
      <c r="G17" s="2135"/>
      <c r="H17" s="2135"/>
      <c r="I17" s="2135"/>
      <c r="J17" s="2135"/>
      <c r="K17" s="692" t="s">
        <v>2146</v>
      </c>
      <c r="L17" s="692" t="s">
        <v>2146</v>
      </c>
      <c r="M17" s="692" t="s">
        <v>2146</v>
      </c>
      <c r="N17" s="692" t="s">
        <v>2146</v>
      </c>
      <c r="O17" s="2934">
        <f t="shared" si="1"/>
        <v>2352.3396802949815</v>
      </c>
    </row>
    <row r="18" spans="2:15" ht="18" customHeight="1" x14ac:dyDescent="0.2">
      <c r="B18" s="1264" t="s">
        <v>451</v>
      </c>
      <c r="C18" s="1910"/>
      <c r="D18" s="2136"/>
      <c r="E18" s="2139">
        <f>'Table2(I).A-H'!J24</f>
        <v>9.1940933223425496</v>
      </c>
      <c r="F18" s="628"/>
      <c r="G18" s="628"/>
      <c r="H18" s="2135"/>
      <c r="I18" s="628"/>
      <c r="J18" s="2135"/>
      <c r="K18" s="692" t="s">
        <v>2146</v>
      </c>
      <c r="L18" s="628"/>
      <c r="M18" s="628"/>
      <c r="N18" s="1838"/>
      <c r="O18" s="2934">
        <f t="shared" si="1"/>
        <v>2436.4347304207758</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1486.7086671203401</v>
      </c>
      <c r="D22" s="1914"/>
      <c r="E22" s="628"/>
      <c r="F22" s="628"/>
      <c r="G22" s="628"/>
      <c r="H22" s="2135"/>
      <c r="I22" s="628"/>
      <c r="J22" s="2135"/>
      <c r="K22" s="1914"/>
      <c r="L22" s="1914"/>
      <c r="M22" s="1914"/>
      <c r="N22" s="2921"/>
      <c r="O22" s="1880">
        <f t="shared" si="1"/>
        <v>1486.7086671203401</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46.86107299999999</v>
      </c>
      <c r="D24" s="1878">
        <f>'Table2(I).A-H'!I35</f>
        <v>0.57348379999999999</v>
      </c>
      <c r="E24" s="628"/>
      <c r="F24" s="628"/>
      <c r="G24" s="628"/>
      <c r="H24" s="2135"/>
      <c r="I24" s="628"/>
      <c r="J24" s="2135"/>
      <c r="K24" s="692" t="s">
        <v>2146</v>
      </c>
      <c r="L24" s="692" t="s">
        <v>2146</v>
      </c>
      <c r="M24" s="691">
        <v>2.8425606806999988</v>
      </c>
      <c r="N24" s="692" t="s">
        <v>2146</v>
      </c>
      <c r="O24" s="1880">
        <f t="shared" si="1"/>
        <v>62.91861939999999</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129.83418956726103</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129.83418956726103</v>
      </c>
    </row>
    <row r="27" spans="2:15" ht="18" customHeight="1" x14ac:dyDescent="0.2">
      <c r="B27" s="1263" t="s">
        <v>459</v>
      </c>
      <c r="C27" s="2137">
        <f>IF(SUM(C28:C34)=0,"NO",SUM(C28:C34))</f>
        <v>13315.672838033808</v>
      </c>
      <c r="D27" s="2137">
        <f t="shared" ref="D27:N27" si="4">IF(SUM(D28:D34)=0,"NO",SUM(D28:D34))</f>
        <v>2.9986571116313097</v>
      </c>
      <c r="E27" s="2137">
        <f t="shared" si="4"/>
        <v>7.9104081829594983E-2</v>
      </c>
      <c r="F27" s="2138" t="str">
        <f t="shared" si="4"/>
        <v>NO</v>
      </c>
      <c r="G27" s="2138">
        <f t="shared" si="4"/>
        <v>524.05752254650565</v>
      </c>
      <c r="H27" s="2138" t="str">
        <f t="shared" si="4"/>
        <v>NO</v>
      </c>
      <c r="I27" s="2138" t="str">
        <f t="shared" si="4"/>
        <v>NO</v>
      </c>
      <c r="J27" s="2138" t="str">
        <f t="shared" si="4"/>
        <v>NO</v>
      </c>
      <c r="K27" s="2137">
        <f t="shared" si="4"/>
        <v>40.261420616691069</v>
      </c>
      <c r="L27" s="2137">
        <f t="shared" si="4"/>
        <v>10.825383446352522</v>
      </c>
      <c r="M27" s="2917">
        <f t="shared" si="4"/>
        <v>9.8379954112451873E-2</v>
      </c>
      <c r="N27" s="2918">
        <f t="shared" si="4"/>
        <v>1681.4265179879865</v>
      </c>
      <c r="O27" s="2941">
        <f t="shared" si="1"/>
        <v>13944.655341390831</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3199.8977866645109</v>
      </c>
      <c r="D30" s="1879"/>
      <c r="E30" s="628"/>
      <c r="F30" s="628"/>
      <c r="G30" s="2140">
        <f>SUM('Table2(II)'!X41:Y41)</f>
        <v>524.05752254650565</v>
      </c>
      <c r="H30" s="2136"/>
      <c r="I30" s="2142" t="s">
        <v>2146</v>
      </c>
      <c r="J30" s="2135"/>
      <c r="K30" s="691" t="s">
        <v>2147</v>
      </c>
      <c r="L30" s="691" t="s">
        <v>2147</v>
      </c>
      <c r="M30" s="691" t="s">
        <v>2147</v>
      </c>
      <c r="N30" s="2911">
        <v>49.905159999999995</v>
      </c>
      <c r="O30" s="1880">
        <f t="shared" si="1"/>
        <v>3723.9553092110164</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10115.775051369297</v>
      </c>
      <c r="D34" s="1881">
        <f>'Table2(I).A-H'!I67</f>
        <v>2.9986571116313097</v>
      </c>
      <c r="E34" s="1881">
        <f>'Table2(I).A-H'!J67</f>
        <v>7.9104081829594983E-2</v>
      </c>
      <c r="F34" s="2146" t="s">
        <v>2146</v>
      </c>
      <c r="G34" s="2146" t="s">
        <v>2146</v>
      </c>
      <c r="H34" s="2146" t="s">
        <v>2146</v>
      </c>
      <c r="I34" s="2146" t="s">
        <v>2146</v>
      </c>
      <c r="J34" s="2146" t="s">
        <v>2146</v>
      </c>
      <c r="K34" s="2606">
        <v>40.261420616691069</v>
      </c>
      <c r="L34" s="2606">
        <v>10.825383446352522</v>
      </c>
      <c r="M34" s="2606">
        <v>9.8379954112451873E-2</v>
      </c>
      <c r="N34" s="2607">
        <v>1631.5213579879864</v>
      </c>
      <c r="O34" s="1882">
        <f t="shared" si="1"/>
        <v>10220.700032179815</v>
      </c>
    </row>
    <row r="35" spans="2:15" ht="18" customHeight="1" x14ac:dyDescent="0.2">
      <c r="B35" s="2470" t="s">
        <v>2014</v>
      </c>
      <c r="C35" s="2920">
        <f>IF(SUM(C36:C38)=0,"NO",SUM(C36:C38))</f>
        <v>225.87504949999993</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178.59678089194659</v>
      </c>
      <c r="N35" s="2048" t="str">
        <f t="shared" ref="N35" si="7">IF(SUM(N36:N38)=0,"NO",SUM(N36:N38))</f>
        <v>NO</v>
      </c>
      <c r="O35" s="2934">
        <f t="shared" si="1"/>
        <v>225.87504949999993</v>
      </c>
    </row>
    <row r="36" spans="2:15" ht="18" customHeight="1" x14ac:dyDescent="0.2">
      <c r="B36" s="1270" t="s">
        <v>466</v>
      </c>
      <c r="C36" s="1878">
        <f>'Table2(I).A-H'!H73</f>
        <v>225.87504949999993</v>
      </c>
      <c r="D36" s="2140" t="str">
        <f>'Table2(I).A-H'!I73</f>
        <v>NO</v>
      </c>
      <c r="E36" s="2140" t="str">
        <f>'Table2(I).A-H'!J73</f>
        <v>NO</v>
      </c>
      <c r="F36" s="628"/>
      <c r="G36" s="628"/>
      <c r="H36" s="2135"/>
      <c r="I36" s="628"/>
      <c r="J36" s="2135"/>
      <c r="K36" s="2147" t="s">
        <v>2147</v>
      </c>
      <c r="L36" s="2147" t="s">
        <v>2147</v>
      </c>
      <c r="M36" s="691" t="s">
        <v>2147</v>
      </c>
      <c r="N36" s="2141" t="s">
        <v>2147</v>
      </c>
      <c r="O36" s="1880">
        <f t="shared" si="1"/>
        <v>225.87504949999993</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178.59678089194659</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4706.3765189513433</v>
      </c>
      <c r="G45" s="2137" t="str">
        <f t="shared" ref="G45:J45" si="9">IF(SUM(G46:G51)=0,"NO",SUM(G46:G51))</f>
        <v>NO</v>
      </c>
      <c r="H45" s="2920" t="str">
        <f t="shared" si="9"/>
        <v>NO</v>
      </c>
      <c r="I45" s="2920" t="str">
        <f t="shared" si="9"/>
        <v>NO</v>
      </c>
      <c r="J45" s="2139" t="str">
        <f t="shared" si="9"/>
        <v>NO</v>
      </c>
      <c r="K45" s="1929"/>
      <c r="L45" s="1929"/>
      <c r="M45" s="1929"/>
      <c r="N45" s="2153"/>
      <c r="O45" s="2941">
        <f t="shared" si="1"/>
        <v>4706.3765189513433</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4406.7819921653399</v>
      </c>
      <c r="G46" s="1878" t="s">
        <v>2146</v>
      </c>
      <c r="H46" s="1878" t="s">
        <v>2146</v>
      </c>
      <c r="I46" s="1878" t="s">
        <v>2146</v>
      </c>
      <c r="J46" s="2139" t="str">
        <f t="shared" ref="J46" si="10">IF(SUM(J47:J52)=0,"NO",SUM(J47:J52))</f>
        <v>NO</v>
      </c>
      <c r="K46" s="628"/>
      <c r="L46" s="628"/>
      <c r="M46" s="628"/>
      <c r="N46" s="1838"/>
      <c r="O46" s="1880">
        <f t="shared" si="1"/>
        <v>4406.7819921653399</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56.735045023681806</v>
      </c>
      <c r="G47" s="1878" t="s">
        <v>2146</v>
      </c>
      <c r="H47" s="1878" t="s">
        <v>2146</v>
      </c>
      <c r="I47" s="1878" t="s">
        <v>2146</v>
      </c>
      <c r="J47" s="2139" t="str">
        <f t="shared" ref="J47" si="11">IF(SUM(J48:J53)=0,"NO",SUM(J48:J53))</f>
        <v>NO</v>
      </c>
      <c r="K47" s="628"/>
      <c r="L47" s="628"/>
      <c r="M47" s="628"/>
      <c r="N47" s="1838"/>
      <c r="O47" s="1880">
        <f t="shared" si="1"/>
        <v>56.735045023681806</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29.579953809806796</v>
      </c>
      <c r="G48" s="1878" t="s">
        <v>2146</v>
      </c>
      <c r="H48" s="1878" t="s">
        <v>2146</v>
      </c>
      <c r="I48" s="1878" t="s">
        <v>2146</v>
      </c>
      <c r="J48" s="2139" t="str">
        <f t="shared" ref="J48" si="12">IF(SUM(J49:J54)=0,"NO",SUM(J49:J54))</f>
        <v>NO</v>
      </c>
      <c r="K48" s="628"/>
      <c r="L48" s="628"/>
      <c r="M48" s="628"/>
      <c r="N48" s="1838"/>
      <c r="O48" s="1880">
        <f t="shared" si="1"/>
        <v>29.579953809806796</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138.57963104965546</v>
      </c>
      <c r="G49" s="1878" t="s">
        <v>2146</v>
      </c>
      <c r="H49" s="1878" t="s">
        <v>2146</v>
      </c>
      <c r="I49" s="1878" t="s">
        <v>2146</v>
      </c>
      <c r="J49" s="2139" t="str">
        <f t="shared" ref="J49" si="13">IF(SUM(J50:J55)=0,"NO",SUM(J50:J55))</f>
        <v>NO</v>
      </c>
      <c r="K49" s="628"/>
      <c r="L49" s="628"/>
      <c r="M49" s="628"/>
      <c r="N49" s="1838"/>
      <c r="O49" s="1880">
        <f t="shared" si="1"/>
        <v>138.57963104965546</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74.69989690285945</v>
      </c>
      <c r="G50" s="1878" t="s">
        <v>2146</v>
      </c>
      <c r="H50" s="1878" t="s">
        <v>2146</v>
      </c>
      <c r="I50" s="1878" t="s">
        <v>2146</v>
      </c>
      <c r="J50" s="2139" t="str">
        <f t="shared" ref="J50" si="14">IF(SUM(J51:J56)=0,"NO",SUM(J51:J56))</f>
        <v>NO</v>
      </c>
      <c r="K50" s="628"/>
      <c r="L50" s="628"/>
      <c r="M50" s="628"/>
      <c r="N50" s="1838"/>
      <c r="O50" s="1880">
        <f t="shared" si="1"/>
        <v>74.69989690285945</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7.6810372273039083E-3</v>
      </c>
      <c r="J52" s="2139" t="str">
        <f t="shared" si="16"/>
        <v>NO</v>
      </c>
      <c r="K52" s="2139" t="str">
        <f t="shared" si="16"/>
        <v>NO</v>
      </c>
      <c r="L52" s="2139" t="str">
        <f t="shared" si="16"/>
        <v>NO</v>
      </c>
      <c r="M52" s="2139" t="str">
        <f t="shared" si="16"/>
        <v>NO</v>
      </c>
      <c r="N52" s="2048" t="str">
        <f t="shared" si="16"/>
        <v>NO</v>
      </c>
      <c r="O52" s="2934">
        <f t="shared" si="1"/>
        <v>180.50437484164183</v>
      </c>
    </row>
    <row r="53" spans="2:15" ht="18" customHeight="1" x14ac:dyDescent="0.2">
      <c r="B53" s="1270" t="s">
        <v>481</v>
      </c>
      <c r="C53" s="2135"/>
      <c r="D53" s="2135"/>
      <c r="E53" s="2135"/>
      <c r="F53" s="2920" t="s">
        <v>2146</v>
      </c>
      <c r="G53" s="2920" t="s">
        <v>2146</v>
      </c>
      <c r="H53" s="2920" t="s">
        <v>2146</v>
      </c>
      <c r="I53" s="2920">
        <f>SUM('Table2(II).B-Hs2'!J163:M163)/1000</f>
        <v>6.9577842374737688E-3</v>
      </c>
      <c r="J53" s="2920" t="s">
        <v>2146</v>
      </c>
      <c r="K53" s="2135"/>
      <c r="L53" s="2135"/>
      <c r="M53" s="2135"/>
      <c r="N53" s="2149"/>
      <c r="O53" s="2934">
        <f t="shared" si="1"/>
        <v>163.50792958063357</v>
      </c>
    </row>
    <row r="54" spans="2:15" ht="18" customHeight="1" x14ac:dyDescent="0.2">
      <c r="B54" s="1270" t="s">
        <v>482</v>
      </c>
      <c r="C54" s="2135"/>
      <c r="D54" s="2135"/>
      <c r="E54" s="2135"/>
      <c r="F54" s="2135"/>
      <c r="G54" s="2920" t="s">
        <v>2146</v>
      </c>
      <c r="H54" s="3025"/>
      <c r="I54" s="2920">
        <f>SUM('Table2(II).B-Hs2'!J165:M165)/1000</f>
        <v>7.2325298983013915E-4</v>
      </c>
      <c r="J54" s="2135"/>
      <c r="K54" s="2135"/>
      <c r="L54" s="2135"/>
      <c r="M54" s="2135"/>
      <c r="N54" s="2149"/>
      <c r="O54" s="2934">
        <f t="shared" si="1"/>
        <v>16.996445261008269</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148.28584415160208</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54.492279483190543</v>
      </c>
      <c r="N57" s="2073" t="str">
        <f>N58</f>
        <v>NA</v>
      </c>
      <c r="O57" s="2941">
        <f t="shared" si="1"/>
        <v>148.28584415160208</v>
      </c>
    </row>
    <row r="58" spans="2:15" ht="18" customHeight="1" thickBot="1" x14ac:dyDescent="0.25">
      <c r="B58" s="2596" t="s">
        <v>2180</v>
      </c>
      <c r="C58" s="2500">
        <f>'Table2(I).A-H'!H97</f>
        <v>148.28584415160208</v>
      </c>
      <c r="D58" s="2500" t="str">
        <f>'Table2(I).A-H'!I97</f>
        <v>NO</v>
      </c>
      <c r="E58" s="2500" t="str">
        <f>'Table2(I).A-H'!J97</f>
        <v>NO</v>
      </c>
      <c r="F58" s="2500" t="s">
        <v>2146</v>
      </c>
      <c r="G58" s="2500" t="s">
        <v>2146</v>
      </c>
      <c r="H58" s="2500" t="s">
        <v>2146</v>
      </c>
      <c r="I58" s="2500" t="s">
        <v>2146</v>
      </c>
      <c r="J58" s="2500" t="s">
        <v>2146</v>
      </c>
      <c r="K58" s="2912" t="s">
        <v>2147</v>
      </c>
      <c r="L58" s="2912" t="s">
        <v>2147</v>
      </c>
      <c r="M58" s="2912">
        <v>54.492279483190543</v>
      </c>
      <c r="N58" s="2922" t="s">
        <v>2147</v>
      </c>
      <c r="O58" s="2925">
        <f t="shared" si="1"/>
        <v>148.28584415160208</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34.189370431194348</v>
      </c>
      <c r="D10" s="2044">
        <f t="shared" ref="D10:X10" si="0">IF(SUM(D11,D16,D20,D26,D33,D37)=0,"NO",SUM(D11,D16,D20,D26,D33,D37))</f>
        <v>76.284824442597127</v>
      </c>
      <c r="E10" s="2044" t="str">
        <f t="shared" si="0"/>
        <v>NO</v>
      </c>
      <c r="F10" s="2044" t="str">
        <f t="shared" si="0"/>
        <v>NO</v>
      </c>
      <c r="G10" s="2044">
        <f t="shared" si="0"/>
        <v>332.07576851241464</v>
      </c>
      <c r="H10" s="2044">
        <f t="shared" si="0"/>
        <v>0.61764210347167259</v>
      </c>
      <c r="I10" s="2044">
        <f t="shared" si="0"/>
        <v>1190.3031466534774</v>
      </c>
      <c r="J10" s="2044" t="str">
        <f t="shared" si="0"/>
        <v>NO</v>
      </c>
      <c r="K10" s="2044">
        <f t="shared" si="0"/>
        <v>314.52785777598007</v>
      </c>
      <c r="L10" s="2044" t="str">
        <f t="shared" si="0"/>
        <v>NO</v>
      </c>
      <c r="M10" s="2044">
        <f t="shared" si="0"/>
        <v>33.44260360160709</v>
      </c>
      <c r="N10" s="2044" t="str">
        <f t="shared" si="0"/>
        <v>NO</v>
      </c>
      <c r="O10" s="2044">
        <f t="shared" si="0"/>
        <v>12.83002313594567</v>
      </c>
      <c r="P10" s="2044" t="str">
        <f t="shared" si="0"/>
        <v>NO</v>
      </c>
      <c r="Q10" s="2044" t="str">
        <f t="shared" si="0"/>
        <v>NO</v>
      </c>
      <c r="R10" s="2044">
        <f t="shared" si="0"/>
        <v>4.0949698603370264</v>
      </c>
      <c r="S10" s="2044" t="str">
        <f t="shared" si="0"/>
        <v>NO</v>
      </c>
      <c r="T10" s="2044">
        <f t="shared" si="0"/>
        <v>25.231074026632633</v>
      </c>
      <c r="U10" s="2044">
        <f t="shared" si="0"/>
        <v>22.430809391567031</v>
      </c>
      <c r="V10" s="2045" t="str">
        <f t="shared" si="0"/>
        <v>NO</v>
      </c>
      <c r="W10" s="2046"/>
      <c r="X10" s="2044">
        <f t="shared" si="0"/>
        <v>64.926435996681988</v>
      </c>
      <c r="Y10" s="2044">
        <f t="shared" ref="Y10" si="1">IF(SUM(Y11,Y16,Y20,Y26,Y33,Y37)=0,"NO",SUM(Y11,Y16,Y20,Y26,Y33,Y37))</f>
        <v>8.4320046746399981</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7.681037227303908</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64.926435996681988</v>
      </c>
      <c r="Y16" s="2050">
        <f t="shared" ref="Y16" si="35">IF(SUM(Y17:Y19)=0,"NO",SUM(Y17:Y19))</f>
        <v>8.4320046746399981</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64.926435996681988</v>
      </c>
      <c r="Y17" s="2050">
        <f>'Table2(II).B-Hs1'!G26</f>
        <v>8.4320046746399981</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34.189370431194348</v>
      </c>
      <c r="D26" s="2069">
        <f t="shared" ref="D26:AK26" si="58">IF(SUM(D27:D32)=0,"NO",SUM(D27:D32))</f>
        <v>76.284824442597127</v>
      </c>
      <c r="E26" s="2069" t="str">
        <f t="shared" si="58"/>
        <v>NO</v>
      </c>
      <c r="F26" s="2069" t="str">
        <f t="shared" si="58"/>
        <v>NO</v>
      </c>
      <c r="G26" s="2069">
        <f t="shared" si="58"/>
        <v>332.07576851241464</v>
      </c>
      <c r="H26" s="2069">
        <f t="shared" si="58"/>
        <v>0.61764210347167259</v>
      </c>
      <c r="I26" s="2069">
        <f t="shared" si="58"/>
        <v>1190.3031466534774</v>
      </c>
      <c r="J26" s="2069" t="str">
        <f t="shared" si="58"/>
        <v>NO</v>
      </c>
      <c r="K26" s="2069">
        <f t="shared" si="58"/>
        <v>314.52785777598007</v>
      </c>
      <c r="L26" s="2069" t="str">
        <f t="shared" si="58"/>
        <v>NO</v>
      </c>
      <c r="M26" s="2069">
        <f t="shared" si="58"/>
        <v>33.44260360160709</v>
      </c>
      <c r="N26" s="2069" t="str">
        <f t="shared" si="58"/>
        <v>NO</v>
      </c>
      <c r="O26" s="2069">
        <f t="shared" si="58"/>
        <v>12.83002313594567</v>
      </c>
      <c r="P26" s="2069" t="str">
        <f t="shared" si="58"/>
        <v>NO</v>
      </c>
      <c r="Q26" s="2069" t="str">
        <f t="shared" si="58"/>
        <v>NO</v>
      </c>
      <c r="R26" s="2069">
        <f t="shared" si="58"/>
        <v>4.0949698603370264</v>
      </c>
      <c r="S26" s="2069" t="str">
        <f t="shared" si="58"/>
        <v>NO</v>
      </c>
      <c r="T26" s="2069">
        <f t="shared" si="58"/>
        <v>25.231074026632633</v>
      </c>
      <c r="U26" s="2069">
        <f t="shared" si="58"/>
        <v>22.430809391567031</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32.012972471065282</v>
      </c>
      <c r="D27" s="2044">
        <f>IF(SUM('Table2(II).B-Hs2'!J14:M14,'Table2(II).B-Hs2'!J27:M27,'Table2(II).B-Hs2'!J40:M40,'Table2(II).B-Hs2'!J53:M53,'Table2(II).B-Hs2'!J66:M66,'Table2(II).B-Hs2'!J79:M79)=0,"NO",SUM('Table2(II).B-Hs2'!J14:M14,'Table2(II).B-Hs2'!J27:M27,'Table2(II).B-Hs2'!J40:M40,'Table2(II).B-Hs2'!J53:M53,'Table2(II).B-Hs2'!J66:M66,'Table2(II).B-Hs2'!J79:M79))</f>
        <v>71.428749755881327</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f>IF(SUM('Table2(II).B-Hs2'!J16:M16,'Table2(II).B-Hs2'!J29:M29,'Table2(II).B-Hs2'!J42:M42,'Table2(II).B-Hs2'!J55:M55,'Table2(II).B-Hs2'!J68:M68,'Table2(II).B-Hs2'!J81:M81)=0,"NO",SUM('Table2(II).B-Hs2'!J16:M16,'Table2(II).B-Hs2'!J29:M29,'Table2(II).B-Hs2'!J42:M42,'Table2(II).B-Hs2'!J55:M55,'Table2(II).B-Hs2'!J68:M68,'Table2(II).B-Hs2'!J81:M81))</f>
        <v>310.93677074545678</v>
      </c>
      <c r="H27" s="2044">
        <f>IF(SUM('Table2(II).B-Hs2'!J17:M17,'Table2(II).B-Hs2'!J30:M30,'Table2(II).B-Hs2'!J43:M43,'Table2(II).B-Hs2'!J56:M56,'Table2(II).B-Hs2'!J69:M69,'Table2(II).B-Hs2'!J82:M82)=0,"NO",SUM('Table2(II).B-Hs2'!J17:M17,'Table2(II).B-Hs2'!J30:M30,'Table2(II).B-Hs2'!J43:M43,'Table2(II).B-Hs2'!J56:M56,'Table2(II).B-Hs2'!J69:M69,'Table2(II).B-Hs2'!J82:M82))</f>
        <v>0.57832476603222405</v>
      </c>
      <c r="I27" s="2044">
        <f>IF(SUM('Table2(II).B-Hs2'!J18:M18,'Table2(II).B-Hs2'!J31:M31,'Table2(II).B-Hs2'!J44:M44,'Table2(II).B-Hs2'!J57:M57,'Table2(II).B-Hs2'!J70:M70,'Table2(II).B-Hs2'!J83:M83)=0,"NO",SUM('Table2(II).B-Hs2'!J18:M18,'Table2(II).B-Hs2'!J31:M31,'Table2(II).B-Hs2'!J44:M44,'Table2(II).B-Hs2'!J57:M57,'Table2(II).B-Hs2'!J70:M70,'Table2(II).B-Hs2'!J83:M83))</f>
        <v>1114.5318379794746</v>
      </c>
      <c r="J27" s="2044" t="s">
        <v>2146</v>
      </c>
      <c r="K27" s="2044">
        <f>IF(SUM('Table2(II).B-Hs2'!J19:M19,'Table2(II).B-Hs2'!J32:M32,'Table2(II).B-Hs2'!J45:M45,'Table2(II).B-Hs2'!J58:M58,'Table2(II).B-Hs2'!J71:M71,'Table2(II).B-Hs2'!J84:M84)=0,"NO",SUM('Table2(II).B-Hs2'!J19:M19,'Table2(II).B-Hs2'!J32:M32,'Table2(II).B-Hs2'!J45:M45,'Table2(II).B-Hs2'!J58:M58,'Table2(II).B-Hs2'!J71:M71,'Table2(II).B-Hs2'!J84:M84))</f>
        <v>294.50591003508697</v>
      </c>
      <c r="L27" s="2044" t="s">
        <v>2146</v>
      </c>
      <c r="M27" s="2044">
        <f>IF(SUM('Table2(II).B-Hs2'!J20:M20,'Table2(II).B-Hs2'!J33:M33,'Table2(II).B-Hs2'!J46:M46,'Table2(II).B-Hs2'!J59:M59,'Table2(II).B-Hs2'!J72:M72,'Table2(II).B-Hs2'!J85:M85)=0,"NO",SUM('Table2(II).B-Hs2'!J20:M20,'Table2(II).B-Hs2'!J33:M33,'Table2(II).B-Hs2'!J46:M46,'Table2(II).B-Hs2'!J59:M59,'Table2(II).B-Hs2'!J72:M72,'Table2(II).B-Hs2'!J85:M85))</f>
        <v>31.313742691271798</v>
      </c>
      <c r="N27" s="2044" t="s">
        <v>2146</v>
      </c>
      <c r="O27" s="2044">
        <f>IF(SUM('Table2(II).B-Hs2'!J21:M21,'Table2(II).B-Hs2'!J34:M34,'Table2(II).B-Hs2'!J47:M47,'Table2(II).B-Hs2'!J60:M60,'Table2(II).B-Hs2'!J73:M73,'Table2(II).B-Hs2'!J86:M86)=0,"NO",SUM('Table2(II).B-Hs2'!J21:M21,'Table2(II).B-Hs2'!J34:M34,'Table2(II).B-Hs2'!J47:M47,'Table2(II).B-Hs2'!J60:M60,'Table2(II).B-Hs2'!J73:M73,'Table2(II).B-Hs2'!J86:M86))</f>
        <v>12.013300399337339</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3.8342957403276108</v>
      </c>
      <c r="S27" s="2044" t="s">
        <v>2146</v>
      </c>
      <c r="T27" s="2044">
        <f>IF(SUM('Table2(II).B-Hs2'!J23:M23,'Table2(II).B-Hs2'!J36:M36,'Table2(II).B-Hs2'!J49:M49,'Table2(II).B-Hs2'!J62:M62,'Table2(II).B-Hs2'!J75:M75,'Table2(II).B-Hs2'!J88:M88)=0,"NO",SUM('Table2(II).B-Hs2'!J23:M23,'Table2(II).B-Hs2'!J36:M36,'Table2(II).B-Hs2'!J49:M49,'Table2(II).B-Hs2'!J62:M62,'Table2(II).B-Hs2'!J75:M75,'Table2(II).B-Hs2'!J88:M88))</f>
        <v>23.624935704959228</v>
      </c>
      <c r="U27" s="2044">
        <f>IF(SUM('Table2(II).B-Hs2'!J24:M24,'Table2(II).B-Hs2'!J37:M37,'Table2(II).B-Hs2'!J50:M50,'Table2(II).B-Hs2'!J63:M63,'Table2(II).B-Hs2'!J76:M76,'Table2(II).B-Hs2'!J89:M89)=0,"NO",SUM('Table2(II).B-Hs2'!J24:M24,'Table2(II).B-Hs2'!J37:M37,'Table2(II).B-Hs2'!J50:M50,'Table2(II).B-Hs2'!J63:M63,'Table2(II).B-Hs2'!J76:M76,'Table2(II).B-Hs2'!J89:M89))</f>
        <v>21.002927942211393</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0.41215050749432003</v>
      </c>
      <c r="D28" s="2044">
        <f>IF(SUM('Table2(II).B-Hs2'!J93:M93,'Table2(II).B-Hs2'!J106:M106)=0,"NO",SUM('Table2(II).B-Hs2'!J93:M93,'Table2(II).B-Hs2'!J106:M106))</f>
        <v>0.91960830841871655</v>
      </c>
      <c r="E28" s="2044" t="s">
        <v>2146</v>
      </c>
      <c r="F28" s="2044" t="str">
        <f>IF(SUM('Table2(II).B-Hs2'!J94:M94,'Table2(II).B-Hs2'!J107:M107)=0,"NO",SUM('Table2(II).B-Hs2'!J94:M94,'Table2(II).B-Hs2'!J107:M107))</f>
        <v>NO</v>
      </c>
      <c r="G28" s="2044">
        <f>IF(SUM('Table2(II).B-Hs2'!J95:M95,'Table2(II).B-Hs2'!J108:M108)=0,"NO",SUM('Table2(II).B-Hs2'!J95:M95,'Table2(II).B-Hs2'!J108:M108))</f>
        <v>4.0031505345907856</v>
      </c>
      <c r="H28" s="2044">
        <f>IF(SUM('Table2(II).B-Hs2'!J96:M96,'Table2(II).B-Hs2'!J109:M109)=0,"NO",SUM('Table2(II).B-Hs2'!J96:M96,'Table2(II).B-Hs2'!J109:M109))</f>
        <v>7.4456330486696405E-3</v>
      </c>
      <c r="I28" s="2044">
        <f>IF(SUM('Table2(II).B-Hs2'!J97:M97,'Table2(II).B-Hs2'!J110:M110)=0,"NO",SUM('Table2(II).B-Hs2'!J97:M97,'Table2(II).B-Hs2'!J110:M110))</f>
        <v>14.349022511327329</v>
      </c>
      <c r="J28" s="2044" t="s">
        <v>2146</v>
      </c>
      <c r="K28" s="2044">
        <f>IF(SUM('Table2(II).B-Hs2'!J98:M98,'Table2(II).B-Hs2'!J111:M111)=0,"NO",SUM('Table2(II).B-Hs2'!J98:M98,'Table2(II).B-Hs2'!J111:M111))</f>
        <v>3.7916116783827838</v>
      </c>
      <c r="L28" s="2044" t="s">
        <v>2146</v>
      </c>
      <c r="M28" s="2044">
        <f>IF(SUM('Table2(II).B-Hs2'!J99:M99,'Table2(II).B-Hs2'!J112:M112)=0,"NO",SUM('Table2(II).B-Hs2'!J99:M99,'Table2(II).B-Hs2'!J112:M112))</f>
        <v>0.40314828475922421</v>
      </c>
      <c r="N28" s="2044" t="s">
        <v>2146</v>
      </c>
      <c r="O28" s="2044">
        <f>IF(SUM('Table2(II).B-Hs2'!J100:M100,'Table2(II).B-Hs2'!J113:M113)=0,"NO",SUM('Table2(II).B-Hs2'!J100:M100,'Table2(II).B-Hs2'!J113:M113))</f>
        <v>0.15466504588862509</v>
      </c>
      <c r="P28" s="2044" t="s">
        <v>2146</v>
      </c>
      <c r="Q28" s="2044" t="s">
        <v>2146</v>
      </c>
      <c r="R28" s="2044">
        <f>IF(SUM('Table2(II).B-Hs2'!J101:M101,'Table2(II).B-Hs2'!J114:M114)=0,"NO",SUM('Table2(II).B-Hs2'!J101:M101,'Table2(II).B-Hs2'!J114:M114))</f>
        <v>4.9364579833618541E-2</v>
      </c>
      <c r="S28" s="2044" t="s">
        <v>2146</v>
      </c>
      <c r="T28" s="2044">
        <f>IF(SUM('Table2(II).B-Hs2'!J102:M102,'Table2(II).B-Hs2'!J115:M115)=0,"NO",SUM('Table2(II).B-Hs2'!J102:M102,'Table2(II).B-Hs2'!J115:M115))</f>
        <v>0.30415886088429867</v>
      </c>
      <c r="U28" s="2044">
        <f>IF(SUM('Table2(II).B-Hs2'!J103:M103,'Table2(II).B-Hs2'!J116:M116)=0,"NO",SUM('Table2(II).B-Hs2'!J103:M103,'Table2(II).B-Hs2'!J116:M116))</f>
        <v>0.27040186343436445</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0.21488293468845576</v>
      </c>
      <c r="D29" s="2044">
        <f>IF(SUM('Table2(II).B-Hs2'!J119:M119)=0,"NO",SUM('Table2(II).B-Hs2'!J119:M119))</f>
        <v>0.47945623864025816</v>
      </c>
      <c r="E29" s="2044" t="s">
        <v>2146</v>
      </c>
      <c r="F29" s="2044" t="str">
        <f>IF(SUM('Table2(II).B-Hs2'!J120:M120)=0,"NO",SUM('Table2(II).B-Hs2'!J120:M120))</f>
        <v>NO</v>
      </c>
      <c r="G29" s="2044">
        <f>IF(SUM('Table2(II).B-Hs2'!J121:M121)=0,"NO",SUM('Table2(II).B-Hs2'!J121:M121))</f>
        <v>2.087122833117907</v>
      </c>
      <c r="H29" s="2044">
        <f>IF(SUM('Table2(II).B-Hs2'!J122:M122)=0,"NO",SUM('Table2(II).B-Hs2'!J122:M122))</f>
        <v>3.8819301469222023E-3</v>
      </c>
      <c r="I29" s="2044">
        <f>IF(SUM('Table2(II).B-Hs2'!J123:M123)=0,"NO",SUM('Table2(II).B-Hs2'!J123:M123))</f>
        <v>7.4811507230455705</v>
      </c>
      <c r="J29" s="2044" t="s">
        <v>2146</v>
      </c>
      <c r="K29" s="2044">
        <f>IF(SUM('Table2(II).B-Hs2'!J124:M124)=0,"NO",SUM('Table2(II).B-Hs2'!J124:M124))</f>
        <v>1.9768328070326162</v>
      </c>
      <c r="L29" s="2044" t="s">
        <v>2146</v>
      </c>
      <c r="M29" s="2044">
        <f>IF(SUM('Table2(II).B-Hs2'!J125:M125)=0,"NO",SUM('Table2(II).B-Hs2'!J125:M125))</f>
        <v>0.21018944528382799</v>
      </c>
      <c r="N29" s="2044" t="s">
        <v>2146</v>
      </c>
      <c r="O29" s="2044">
        <f>IF(SUM('Table2(II).B-Hs2'!J126:M126)=0,"NO",SUM('Table2(II).B-Hs2'!J126:M126))</f>
        <v>8.0637724204987063E-2</v>
      </c>
      <c r="P29" s="2044" t="s">
        <v>2146</v>
      </c>
      <c r="Q29" s="2044" t="s">
        <v>2146</v>
      </c>
      <c r="R29" s="2044">
        <f>IF(SUM('Table2(II).B-Hs2'!J127:M127)=0,"NO",SUM('Table2(II).B-Hs2'!J127:M127))</f>
        <v>2.5737213933812023E-2</v>
      </c>
      <c r="S29" s="2044" t="s">
        <v>2146</v>
      </c>
      <c r="T29" s="2044">
        <f>IF(SUM('Table2(II).B-Hs2'!J128:M128)=0,"NO",SUM('Table2(II).B-Hs2'!J128:M128))</f>
        <v>0.15857932345070946</v>
      </c>
      <c r="U29" s="2044">
        <f>IF(SUM('Table2(II).B-Hs2'!J129:M129)=0,"NO",SUM('Table2(II).B-Hs2'!J129:M129))</f>
        <v>0.14097943567570159</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1.0067087325241471</v>
      </c>
      <c r="D30" s="2044">
        <f>IF(SUM('Table2(II).B-Hs2'!J133:M133)=0,"NO",SUM('Table2(II).B-Hs2'!J133:M133))</f>
        <v>2.2462127250920325</v>
      </c>
      <c r="E30" s="2044" t="s">
        <v>2146</v>
      </c>
      <c r="F30" s="2044" t="str">
        <f>IF(SUM('Table2(II).B-Hs2'!J134:M134)=0,"NO",SUM('Table2(II).B-Hs2'!J134:M134))</f>
        <v>NO</v>
      </c>
      <c r="G30" s="2044">
        <f>IF(SUM('Table2(II).B-Hs2'!J135:M135)=0,"NO",SUM('Table2(II).B-Hs2'!J135:M135))</f>
        <v>9.7779974244888894</v>
      </c>
      <c r="H30" s="2044">
        <f>IF(SUM('Table2(II).B-Hs2'!J136:M136)=0,"NO",SUM('Table2(II).B-Hs2'!J136:M136))</f>
        <v>1.8186520877617535E-2</v>
      </c>
      <c r="I30" s="2044">
        <f>IF(SUM('Table2(II).B-Hs2'!J137:M137)=0,"NO",SUM('Table2(II).B-Hs2'!J137:M137))</f>
        <v>35.048570856212905</v>
      </c>
      <c r="J30" s="2044" t="s">
        <v>2146</v>
      </c>
      <c r="K30" s="2044">
        <f>IF(SUM('Table2(II).B-Hs2'!J138:M138)=0,"NO",SUM('Table2(II).B-Hs2'!J138:M138))</f>
        <v>9.2612977967061934</v>
      </c>
      <c r="L30" s="2044" t="s">
        <v>2146</v>
      </c>
      <c r="M30" s="2044">
        <f>IF(SUM('Table2(II).B-Hs2'!J139:M139)=0,"NO",SUM('Table2(II).B-Hs2'!J139:M139))</f>
        <v>0.98472012381262342</v>
      </c>
      <c r="N30" s="2044" t="s">
        <v>2146</v>
      </c>
      <c r="O30" s="2044">
        <f>IF(SUM('Table2(II).B-Hs2'!J140:M140)=0,"NO",SUM('Table2(II).B-Hs2'!J140:M140))</f>
        <v>0.37778105202132395</v>
      </c>
      <c r="P30" s="2044" t="s">
        <v>2146</v>
      </c>
      <c r="Q30" s="2044" t="s">
        <v>2146</v>
      </c>
      <c r="R30" s="2044">
        <f>IF(SUM('Table2(II).B-Hs2'!J141:M141)=0,"NO",SUM('Table2(II).B-Hs2'!J141:M141))</f>
        <v>0.1205767133419678</v>
      </c>
      <c r="S30" s="2044" t="s">
        <v>2146</v>
      </c>
      <c r="T30" s="2044">
        <f>IF(SUM('Table2(II).B-Hs2'!J142:M142)=0,"NO",SUM('Table2(II).B-Hs2'!J142:M142))</f>
        <v>0.74293098215107845</v>
      </c>
      <c r="U30" s="2044">
        <f>IF(SUM('Table2(II).B-Hs2'!J143:M143)=0,"NO",SUM('Table2(II).B-Hs2'!J143:M143))</f>
        <v>0.66047696717667626</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0.54265578542214676</v>
      </c>
      <c r="D31" s="2044">
        <f>IF(SUM('Table2(II).B-Hs2'!J148:M148)=0,"NO",SUM('Table2(II).B-Hs2'!J148:M148))</f>
        <v>1.2107974145647933</v>
      </c>
      <c r="E31" s="2044" t="s">
        <v>2146</v>
      </c>
      <c r="F31" s="2044" t="str">
        <f>IF(SUM('Table2(II).B-Hs2'!J149:M149)=0,"NO",SUM('Table2(II).B-Hs2'!J149:M149))</f>
        <v>NO</v>
      </c>
      <c r="G31" s="2044">
        <f>IF(SUM('Table2(II).B-Hs2'!J150:M150)=0,"NO",SUM('Table2(II).B-Hs2'!J150:M150))</f>
        <v>5.2707269747602723</v>
      </c>
      <c r="H31" s="2044">
        <f>IF(SUM('Table2(II).B-Hs2'!J151:M151)=0,"NO",SUM('Table2(II).B-Hs2'!J151:M151))</f>
        <v>9.8032533662392677E-3</v>
      </c>
      <c r="I31" s="2044">
        <f>IF(SUM('Table2(II).B-Hs2'!J152:M152)=0,"NO",SUM('Table2(II).B-Hs2'!J152:M152))</f>
        <v>18.892564583416661</v>
      </c>
      <c r="J31" s="2044" t="s">
        <v>2146</v>
      </c>
      <c r="K31" s="2044">
        <f>IF(SUM('Table2(II).B-Hs2'!J153:M153)=0,"NO",SUM('Table2(II).B-Hs2'!J153:M153))</f>
        <v>4.9922054587715117</v>
      </c>
      <c r="L31" s="2044" t="s">
        <v>2146</v>
      </c>
      <c r="M31" s="2044">
        <f>IF(SUM('Table2(II).B-Hs2'!J154:M154)=0,"NO",SUM('Table2(II).B-Hs2'!J154:M154))</f>
        <v>0.53080305647961135</v>
      </c>
      <c r="N31" s="2044" t="s">
        <v>2146</v>
      </c>
      <c r="O31" s="2044">
        <f>IF(SUM('Table2(II).B-Hs2'!J155:M155)=0,"NO",SUM('Table2(II).B-Hs2'!J155:M155))</f>
        <v>0.20363891449339261</v>
      </c>
      <c r="P31" s="2044" t="s">
        <v>2146</v>
      </c>
      <c r="Q31" s="2044" t="s">
        <v>2146</v>
      </c>
      <c r="R31" s="2044">
        <f>IF(SUM('Table2(II).B-Hs2'!J156:M156)=0,"NO",SUM('Table2(II).B-Hs2'!J156:M156))</f>
        <v>6.499561290001736E-2</v>
      </c>
      <c r="S31" s="2044" t="s">
        <v>2146</v>
      </c>
      <c r="T31" s="2044">
        <f>IF(SUM('Table2(II).B-Hs2'!J157:M157)=0,"NO",SUM('Table2(II).B-Hs2'!J157:M157))</f>
        <v>0.4004691551873174</v>
      </c>
      <c r="U31" s="2044">
        <f>IF(SUM('Table2(II).B-Hs2'!J158:M158)=0,"NO",SUM('Table2(II).B-Hs2'!J158:M158))</f>
        <v>0.35602318306889197</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7.681037227303908</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6.9577842374737688</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0.72325298983013919</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423.94819334680989</v>
      </c>
      <c r="D39" s="4196">
        <f t="shared" ref="D39:AK39" si="72">IF(SUM(D40:D45)=0,"NO",SUM(D40:D45))</f>
        <v>51.644826147638256</v>
      </c>
      <c r="E39" s="4196" t="str">
        <f t="shared" si="72"/>
        <v>NO</v>
      </c>
      <c r="F39" s="4196" t="str">
        <f t="shared" si="72"/>
        <v>NO</v>
      </c>
      <c r="G39" s="4196">
        <f t="shared" si="72"/>
        <v>1052.6801861843544</v>
      </c>
      <c r="H39" s="4196">
        <f t="shared" si="72"/>
        <v>0.6917591558882733</v>
      </c>
      <c r="I39" s="4196">
        <f t="shared" si="72"/>
        <v>1547.3940906495204</v>
      </c>
      <c r="J39" s="4196" t="str">
        <f t="shared" si="72"/>
        <v>NO</v>
      </c>
      <c r="K39" s="4196">
        <f t="shared" si="72"/>
        <v>1509.7337173247045</v>
      </c>
      <c r="L39" s="4196" t="str">
        <f t="shared" si="72"/>
        <v>NO</v>
      </c>
      <c r="M39" s="4196">
        <f t="shared" si="72"/>
        <v>4.6150792970217784</v>
      </c>
      <c r="N39" s="4196" t="str">
        <f t="shared" si="72"/>
        <v>NO</v>
      </c>
      <c r="O39" s="4196">
        <f t="shared" si="72"/>
        <v>42.98057750541799</v>
      </c>
      <c r="P39" s="4196" t="str">
        <f t="shared" si="72"/>
        <v>NO</v>
      </c>
      <c r="Q39" s="4196" t="str">
        <f t="shared" si="72"/>
        <v>NO</v>
      </c>
      <c r="R39" s="4196">
        <f t="shared" si="72"/>
        <v>33.005457074316432</v>
      </c>
      <c r="S39" s="4196" t="str">
        <f t="shared" si="72"/>
        <v>NO</v>
      </c>
      <c r="T39" s="4196">
        <f t="shared" si="72"/>
        <v>21.648261514850802</v>
      </c>
      <c r="U39" s="4196">
        <f t="shared" si="72"/>
        <v>18.034370750819892</v>
      </c>
      <c r="V39" s="4196" t="str">
        <f t="shared" si="72"/>
        <v>NO</v>
      </c>
      <c r="W39" s="4196">
        <f t="shared" si="72"/>
        <v>4706.3765189513433</v>
      </c>
      <c r="X39" s="4196">
        <f t="shared" si="72"/>
        <v>430.46227065800161</v>
      </c>
      <c r="Y39" s="4196">
        <f t="shared" si="72"/>
        <v>93.595251888503981</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524.05752254650565</v>
      </c>
      <c r="AI39" s="4197" t="str">
        <f t="shared" si="72"/>
        <v>NO</v>
      </c>
      <c r="AJ39" s="4197">
        <f t="shared" si="72"/>
        <v>180.50437484164183</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430.46227065800161</v>
      </c>
      <c r="Y41" s="4199">
        <f>IF(SUM(Y16)=0,"NO",Y16*11100/1000)</f>
        <v>93.595251888503981</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524.05752254650565</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423.94819334680989</v>
      </c>
      <c r="D43" s="4199">
        <f>IF(SUM(D26)=0,"NO",D26*677/1000)</f>
        <v>51.644826147638256</v>
      </c>
      <c r="E43" s="4199" t="str">
        <f>IF(SUM(E26)=0,"NO",E26*116/1000)</f>
        <v>NO</v>
      </c>
      <c r="F43" s="4199" t="str">
        <f>IF(SUM(F26)=0,"NO",F26*1650/1000)</f>
        <v>NO</v>
      </c>
      <c r="G43" s="4199">
        <f>IF(SUM(G26)=0,"NO",G26*3170/1000)</f>
        <v>1052.6801861843544</v>
      </c>
      <c r="H43" s="4199">
        <f>IF(SUM(H26)=0,"NO",H26*1120/1000)</f>
        <v>0.6917591558882733</v>
      </c>
      <c r="I43" s="4199">
        <f>IF(SUM(I26)=0,"NO",I26*1300/1000)</f>
        <v>1547.3940906495204</v>
      </c>
      <c r="J43" s="4199" t="str">
        <f>IF(SUM(J26)=0,"NO",J26*328/1000)</f>
        <v>NO</v>
      </c>
      <c r="K43" s="4199">
        <f>IF(SUM(K26)=0,"NO",K26*4800/1000)</f>
        <v>1509.7337173247045</v>
      </c>
      <c r="L43" s="4199" t="str">
        <f>IF(SUM(L26)=0,"NO",L26*16/1000)</f>
        <v>NO</v>
      </c>
      <c r="M43" s="4199">
        <f>IF(SUM(M26)=0,"NO",M26*138/1000)</f>
        <v>4.6150792970217784</v>
      </c>
      <c r="N43" s="4199" t="str">
        <f>IF(SUM(N26)=0,"NO",N26*4/1000)</f>
        <v>NO</v>
      </c>
      <c r="O43" s="4199">
        <f>IF(SUM(O26)=0,"NO",O26*3350/1000)</f>
        <v>42.98057750541799</v>
      </c>
      <c r="P43" s="4199" t="str">
        <f>IF(SUM(P26)=0,"NO",P26*1210/1000)</f>
        <v>NO</v>
      </c>
      <c r="Q43" s="4199" t="str">
        <f>IF(SUM(Q26)=0,"NO",Q26*1330/1000)</f>
        <v>NO</v>
      </c>
      <c r="R43" s="4199">
        <f>IF(SUM(R26)=0,"NO",R26*8060/1000)</f>
        <v>33.005457074316432</v>
      </c>
      <c r="S43" s="4199" t="str">
        <f>IF(SUM(S26)=0,"NO",S26*716/1000)</f>
        <v>NO</v>
      </c>
      <c r="T43" s="4199">
        <f>IF(SUM(T26)=0,"NO",T26*858/1000)</f>
        <v>21.648261514850802</v>
      </c>
      <c r="U43" s="4199">
        <f>IF(SUM(U26)=0,"NO",U26*804/1000)</f>
        <v>18.034370750819892</v>
      </c>
      <c r="V43" s="4199" t="str">
        <f>IF(SUM(V26)=0,"NO",V26*1/1000)</f>
        <v>NO</v>
      </c>
      <c r="W43" s="4199">
        <f t="shared" si="73"/>
        <v>4706.3765189513433</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180.50437484164183</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6985.4738057376535</v>
      </c>
      <c r="I10" s="628"/>
      <c r="J10" s="628"/>
      <c r="K10" s="3192" t="str">
        <f>IF(SUM(K11:K14)=0,"NO",SUM(K11:K14))</f>
        <v>NO</v>
      </c>
      <c r="L10" s="3192" t="str">
        <f>IF(SUM(L11:L14)=0,"NO",SUM(L11:L14))</f>
        <v>NO</v>
      </c>
      <c r="M10" s="628"/>
      <c r="N10" s="1838"/>
    </row>
    <row r="11" spans="2:14" ht="18" customHeight="1" x14ac:dyDescent="0.2">
      <c r="B11" s="287" t="s">
        <v>491</v>
      </c>
      <c r="C11" s="2099" t="s">
        <v>2181</v>
      </c>
      <c r="D11" s="691">
        <v>7254.0676841176455</v>
      </c>
      <c r="E11" s="1913">
        <f>IF(SUM($D11)=0,"NA",H11/$D11)</f>
        <v>0.54749247141096713</v>
      </c>
      <c r="F11" s="628"/>
      <c r="G11" s="628"/>
      <c r="H11" s="3180">
        <v>3971.5474441600004</v>
      </c>
      <c r="I11" s="628"/>
      <c r="J11" s="628"/>
      <c r="K11" s="3180" t="s">
        <v>2146</v>
      </c>
      <c r="L11" s="691" t="s">
        <v>2146</v>
      </c>
      <c r="M11" s="628"/>
      <c r="N11" s="1838"/>
    </row>
    <row r="12" spans="2:14" ht="18" customHeight="1" x14ac:dyDescent="0.2">
      <c r="B12" s="287" t="s">
        <v>492</v>
      </c>
      <c r="C12" s="2100" t="s">
        <v>2182</v>
      </c>
      <c r="D12" s="691">
        <v>1633.1694948979409</v>
      </c>
      <c r="E12" s="1913">
        <f>IF(SUM($D12)=0,"NA",H12/$D12)</f>
        <v>0.75031449695095864</v>
      </c>
      <c r="F12" s="628"/>
      <c r="G12" s="628"/>
      <c r="H12" s="3180">
        <v>1225.3907479999998</v>
      </c>
      <c r="I12" s="628"/>
      <c r="J12" s="628"/>
      <c r="K12" s="3180" t="s">
        <v>2146</v>
      </c>
      <c r="L12" s="691" t="s">
        <v>2146</v>
      </c>
      <c r="M12" s="628"/>
      <c r="N12" s="1838"/>
    </row>
    <row r="13" spans="2:14" ht="18" customHeight="1" x14ac:dyDescent="0.2">
      <c r="B13" s="287" t="s">
        <v>493</v>
      </c>
      <c r="C13" s="2100" t="s">
        <v>2267</v>
      </c>
      <c r="D13" s="691">
        <v>291.89015470707074</v>
      </c>
      <c r="E13" s="1913">
        <f>IF(SUM($D13)=0,"NA",H13/$D13)</f>
        <v>0.3957389999999999</v>
      </c>
      <c r="F13" s="628"/>
      <c r="G13" s="628"/>
      <c r="H13" s="3180">
        <v>115.51231793362143</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1673.0232956440325</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33.306941171313341</v>
      </c>
      <c r="I15" s="628"/>
      <c r="J15" s="628"/>
      <c r="K15" s="3180" t="s">
        <v>2146</v>
      </c>
      <c r="L15" s="691" t="s">
        <v>2146</v>
      </c>
      <c r="M15" s="628"/>
      <c r="N15" s="1838"/>
    </row>
    <row r="16" spans="2:14" ht="18" customHeight="1" x14ac:dyDescent="0.2">
      <c r="B16" s="160" t="s">
        <v>496</v>
      </c>
      <c r="C16" s="484" t="s">
        <v>2316</v>
      </c>
      <c r="D16" s="2905">
        <v>457.52451998800001</v>
      </c>
      <c r="E16" s="1913">
        <f>IF(SUM($D16)=0,"NA",H16/$D16)</f>
        <v>0.41491999999999996</v>
      </c>
      <c r="F16" s="628"/>
      <c r="G16" s="628"/>
      <c r="H16" s="3180">
        <v>189.83607383342095</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1449.8802806392982</v>
      </c>
      <c r="I18" s="628"/>
      <c r="J18" s="628"/>
      <c r="K18" s="3181" t="str">
        <f>K19</f>
        <v>NO</v>
      </c>
      <c r="L18" s="3193" t="str">
        <f>L19</f>
        <v>NO</v>
      </c>
      <c r="M18" s="628"/>
      <c r="N18" s="1838"/>
    </row>
    <row r="19" spans="2:14" ht="18" customHeight="1" x14ac:dyDescent="0.2">
      <c r="B19" s="3182" t="s">
        <v>2265</v>
      </c>
      <c r="C19" s="484" t="s">
        <v>2267</v>
      </c>
      <c r="D19" s="2905">
        <v>2309.8520000000003</v>
      </c>
      <c r="E19" s="1913">
        <f>IF(SUM($D19)=0,"NA",H19/$D19)</f>
        <v>0.41190904838621689</v>
      </c>
      <c r="F19" s="628"/>
      <c r="G19" s="628"/>
      <c r="H19" s="3180">
        <v>951.44893923300003</v>
      </c>
      <c r="I19" s="628"/>
      <c r="J19" s="628"/>
      <c r="K19" s="3180" t="s">
        <v>2146</v>
      </c>
      <c r="L19" s="3180" t="s">
        <v>2146</v>
      </c>
      <c r="M19" s="628"/>
      <c r="N19" s="1838"/>
    </row>
    <row r="20" spans="2:14" ht="18" customHeight="1" x14ac:dyDescent="0.2">
      <c r="B20" s="3183" t="s">
        <v>2264</v>
      </c>
      <c r="C20" s="484" t="s">
        <v>2267</v>
      </c>
      <c r="D20" s="2905">
        <v>466.9499392342002</v>
      </c>
      <c r="E20" s="1913">
        <f>IF(SUM($D20)=0,"NA",H20/$D20)</f>
        <v>0.51250483947131653</v>
      </c>
      <c r="F20" s="628"/>
      <c r="G20" s="628"/>
      <c r="H20" s="3180">
        <v>239.31410364836478</v>
      </c>
      <c r="I20" s="628"/>
      <c r="J20" s="628"/>
      <c r="K20" s="3180" t="s">
        <v>2146</v>
      </c>
      <c r="L20" s="3180" t="s">
        <v>2146</v>
      </c>
      <c r="M20" s="2135"/>
      <c r="N20" s="2149"/>
    </row>
    <row r="21" spans="2:14" ht="18" customHeight="1" thickBot="1" x14ac:dyDescent="0.25">
      <c r="B21" s="3183" t="s">
        <v>2266</v>
      </c>
      <c r="C21" s="484" t="s">
        <v>2267</v>
      </c>
      <c r="D21" s="2905">
        <v>1090.9881515</v>
      </c>
      <c r="E21" s="1913">
        <f>IF(SUM($D21)=0,"NA",H21/$D21)</f>
        <v>0.23750692196031012</v>
      </c>
      <c r="F21" s="628"/>
      <c r="G21" s="628"/>
      <c r="H21" s="3180">
        <v>259.11723775793348</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4194.9136099825828</v>
      </c>
      <c r="I22" s="3067">
        <f>IF(SUM(I23:I26,I30,I33:I35,I47)=0,"IE",SUM(I23:I26,I30,I33:I35,I47))</f>
        <v>0.57348379999999999</v>
      </c>
      <c r="J22" s="3067">
        <f>IF(SUM(J23:J26,J30,J33:J35,J47)=0,"IE",SUM(J23:J26,J30,J33:J35,J47))</f>
        <v>9.1940933223425496</v>
      </c>
      <c r="K22" s="3067">
        <f>IF(SUM(K23:K26,K30,K33:K35,K47)=0,"NO",SUM(K23:K26,K30,K33:K35,K47))</f>
        <v>-179.17</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1708.3977498940715</v>
      </c>
      <c r="E23" s="1913">
        <f>IF(SUM($D23)=0,"NA",H23/$D23)</f>
        <v>1.4818034503100621</v>
      </c>
      <c r="F23" s="1913" t="str">
        <f>IFERROR(IF(SUM($D23)=0,"NA",I23/$D23),"NA")</f>
        <v>NA</v>
      </c>
      <c r="G23" s="1913" t="str">
        <f>IFERROR(IF(SUM($D23)=0,"NA",J23/$D23),"NA")</f>
        <v>NA</v>
      </c>
      <c r="H23" s="691">
        <v>2531.5096802949815</v>
      </c>
      <c r="I23" s="691" t="s">
        <v>2146</v>
      </c>
      <c r="J23" s="691" t="s">
        <v>2146</v>
      </c>
      <c r="K23" s="3180">
        <v>-179.17</v>
      </c>
      <c r="L23" s="691" t="s">
        <v>2146</v>
      </c>
      <c r="M23" s="691" t="s">
        <v>2146</v>
      </c>
      <c r="N23" s="2911" t="s">
        <v>2146</v>
      </c>
    </row>
    <row r="24" spans="2:14" ht="18" customHeight="1" x14ac:dyDescent="0.2">
      <c r="B24" s="287" t="s">
        <v>500</v>
      </c>
      <c r="C24" s="484" t="s">
        <v>220</v>
      </c>
      <c r="D24" s="691">
        <v>992.30192277614867</v>
      </c>
      <c r="E24" s="2108"/>
      <c r="F24" s="2108"/>
      <c r="G24" s="1913">
        <f>IF(SUM($D24)=0,"NA",J24/$D24)</f>
        <v>9.265419235125907E-3</v>
      </c>
      <c r="H24" s="2108"/>
      <c r="I24" s="2108"/>
      <c r="J24" s="691">
        <v>9.1940933223425496</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1486.7086671203401</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46.86107299999999</v>
      </c>
      <c r="I35" s="3196">
        <f>I46</f>
        <v>0.57348379999999999</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46.86107299999999</v>
      </c>
      <c r="I42" s="3198">
        <f>IF(SUM(I44:I45)=0,"NO",SUM(I44:I45))</f>
        <v>0.57348379999999999</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46.86107299999999</v>
      </c>
      <c r="I45" s="3198">
        <f>I46</f>
        <v>0.57348379999999999</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46.86107299999999</v>
      </c>
      <c r="I46" s="691">
        <v>0.57348379999999999</v>
      </c>
      <c r="J46" s="628"/>
      <c r="K46" s="691" t="s">
        <v>2146</v>
      </c>
      <c r="L46" s="691" t="s">
        <v>2146</v>
      </c>
      <c r="M46" s="691" t="s">
        <v>2146</v>
      </c>
      <c r="N46" s="1838"/>
    </row>
    <row r="47" spans="2:16" ht="18" customHeight="1" x14ac:dyDescent="0.2">
      <c r="B47" s="287" t="s">
        <v>520</v>
      </c>
      <c r="C47" s="2104"/>
      <c r="D47" s="628"/>
      <c r="E47" s="628"/>
      <c r="F47" s="628"/>
      <c r="G47" s="628"/>
      <c r="H47" s="3198">
        <f>H50</f>
        <v>129.83418956726103</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129.83418956726103</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129.83418956726103</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13315.672838033808</v>
      </c>
      <c r="I52" s="3192">
        <f>IF(SUM(I53,I62:I67)=0,"IE",SUM(I53,I62:I67))</f>
        <v>2.9986571116313097</v>
      </c>
      <c r="J52" s="1909">
        <f>J67</f>
        <v>7.9104081829594983E-2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1953.9999999999995</v>
      </c>
      <c r="E63" s="4130">
        <f>IF(SUM($D63)=0,"NA",H63/$D63)</f>
        <v>1.6376140156931995</v>
      </c>
      <c r="F63" s="1892"/>
      <c r="G63" s="2107"/>
      <c r="H63" s="691">
        <v>3199.8977866645109</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10115.775051369297</v>
      </c>
      <c r="I67" s="3199">
        <f t="shared" ref="I67:N67" si="8">IF(SUM(I69:I70)=0,I70,SUM(I69:I70))</f>
        <v>2.9986571116313097</v>
      </c>
      <c r="J67" s="3199">
        <f t="shared" si="8"/>
        <v>7.9104081829594983E-2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10115.775051369297</v>
      </c>
      <c r="I70" s="3095">
        <f t="shared" si="9"/>
        <v>2.9986571116313097</v>
      </c>
      <c r="J70" s="3095">
        <f t="shared" si="9"/>
        <v>7.9104081829594983E-2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10115.775051369297</v>
      </c>
      <c r="I71" s="3123">
        <v>2.9986571116313097</v>
      </c>
      <c r="J71" s="3123">
        <v>7.9104081829594983E-2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225.87504949999993</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420.55154639175265</v>
      </c>
      <c r="E73" s="4130">
        <f t="shared" ref="E73:G74" si="11">IF(SUM($D73)=0,"NA",H73/$D73)</f>
        <v>0.53709242407491364</v>
      </c>
      <c r="F73" s="276" t="s">
        <v>2147</v>
      </c>
      <c r="G73" s="276" t="s">
        <v>2147</v>
      </c>
      <c r="H73" s="3122">
        <v>225.87504949999993</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350.01272727272698</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148.28584415160208</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148.28584415160208</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73.358440671321986</v>
      </c>
      <c r="H22" s="2611" t="str">
        <f>H23</f>
        <v>NO</v>
      </c>
    </row>
    <row r="23" spans="2:8" ht="18" customHeight="1" x14ac:dyDescent="0.2">
      <c r="B23" s="169" t="s">
        <v>636</v>
      </c>
      <c r="C23" s="2507"/>
      <c r="D23" s="76"/>
      <c r="E23" s="76"/>
      <c r="F23" s="4322"/>
      <c r="G23" s="3188">
        <f>IF(SUM(G24,G27)=0,"NO",SUM(G24,G27))</f>
        <v>73.358440671321986</v>
      </c>
      <c r="H23" s="2611" t="str">
        <f>H24</f>
        <v>NO</v>
      </c>
    </row>
    <row r="24" spans="2:8" ht="18" customHeight="1" x14ac:dyDescent="0.2">
      <c r="B24" s="171" t="s">
        <v>637</v>
      </c>
      <c r="C24" s="2507"/>
      <c r="D24" s="76"/>
      <c r="E24" s="76"/>
      <c r="F24" s="4322"/>
      <c r="G24" s="3188">
        <f>IF(SUM(G25:G26)=0,"NO",SUM(G25:G26))</f>
        <v>73.358440671321986</v>
      </c>
      <c r="H24" s="2611" t="str">
        <f>H25</f>
        <v>NO</v>
      </c>
    </row>
    <row r="25" spans="2:8" ht="18" customHeight="1" x14ac:dyDescent="0.25">
      <c r="B25" s="2609" t="s">
        <v>1741</v>
      </c>
      <c r="C25" s="2620" t="s">
        <v>1741</v>
      </c>
      <c r="D25" s="73" t="s">
        <v>638</v>
      </c>
      <c r="E25" s="691">
        <v>1953999.9999999995</v>
      </c>
      <c r="F25" s="4320">
        <f t="shared" ref="F25:F28" si="2">IF(SUM(E25)=0,"NA",G25*1000/E25)</f>
        <v>3.3227449333000002E-2</v>
      </c>
      <c r="G25" s="691">
        <v>64.926435996681988</v>
      </c>
      <c r="H25" s="2610" t="s">
        <v>2146</v>
      </c>
    </row>
    <row r="26" spans="2:8" ht="18" customHeight="1" x14ac:dyDescent="0.25">
      <c r="B26" s="2609" t="s">
        <v>1742</v>
      </c>
      <c r="C26" s="2620" t="s">
        <v>1742</v>
      </c>
      <c r="D26" s="73" t="s">
        <v>638</v>
      </c>
      <c r="E26" s="691">
        <v>1953999.9999999995</v>
      </c>
      <c r="F26" s="4320">
        <f t="shared" si="2"/>
        <v>4.31525316E-3</v>
      </c>
      <c r="G26" s="691">
        <v>8.4320046746399981</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45.910496967430475</v>
      </c>
      <c r="K10" s="3224">
        <f>IF(SUM(K11,K90,K117,K130,K146,K159)=0,"NO",SUM(K11,K90,K117,K130,K146,K159))</f>
        <v>1708.9821767675071</v>
      </c>
      <c r="L10" s="3225">
        <f>IF(SUM(L11,L90,L117,L130,L146,L159)=0,"NO",SUM(L11,L90,L117,L130,L146,L159))</f>
        <v>468.59418930284733</v>
      </c>
      <c r="M10" s="3498">
        <f>IF(SUM(M11,M90,M117,M130,M146,M159)=0,"NO",SUM(M11,M90,M117,M130,M146,M159))</f>
        <v>-177.45877310256054</v>
      </c>
    </row>
    <row r="11" spans="1:13" ht="18" customHeight="1" x14ac:dyDescent="0.2">
      <c r="B11" s="147" t="s">
        <v>667</v>
      </c>
      <c r="C11" s="2508"/>
      <c r="D11" s="2108"/>
      <c r="E11" s="2108"/>
      <c r="F11" s="2108"/>
      <c r="G11" s="2108"/>
      <c r="H11" s="2108"/>
      <c r="I11" s="2108"/>
      <c r="J11" s="3103">
        <f>IF(SUM(J12,J25,J38,J51,J64,J77)=0,"NO",SUM(J12,J25,J38,J51,J64,J77))</f>
        <v>24.228751372089548</v>
      </c>
      <c r="K11" s="3103">
        <f t="shared" ref="K11:M11" si="0">IF(SUM(K12,K25,K38,K51,K64,K77)=0,"NO",SUM(K12,K25,K38,K51,K64,K77))</f>
        <v>1612.7587200567402</v>
      </c>
      <c r="L11" s="3103">
        <f t="shared" si="0"/>
        <v>451.50982595850877</v>
      </c>
      <c r="M11" s="3226">
        <f t="shared" si="0"/>
        <v>-172.71352915623396</v>
      </c>
    </row>
    <row r="12" spans="1:13" ht="18" customHeight="1" x14ac:dyDescent="0.2">
      <c r="B12" s="104" t="s">
        <v>668</v>
      </c>
      <c r="C12" s="2508"/>
      <c r="D12" s="2108"/>
      <c r="E12" s="2108"/>
      <c r="F12" s="2108"/>
      <c r="G12" s="2108"/>
      <c r="H12" s="2108"/>
      <c r="I12" s="2108"/>
      <c r="J12" s="3103">
        <f>IF(SUM(J13:J24)=0,"NO",SUM(J13:J24))</f>
        <v>18.080857899771047</v>
      </c>
      <c r="K12" s="3103">
        <f>IF(SUM(K13:K24)=0,"NO",SUM(K13:K24))</f>
        <v>901.96936635706538</v>
      </c>
      <c r="L12" s="3103">
        <f>IF(SUM(L13:L24)=0,"NO",SUM(L13:L24))</f>
        <v>122.96566074451776</v>
      </c>
      <c r="M12" s="3226">
        <f>IF(SUM(M13:M24)=0,"NO",SUM(M13:M24))</f>
        <v>-34.506290618033447</v>
      </c>
    </row>
    <row r="13" spans="1:13" ht="18" customHeight="1" x14ac:dyDescent="0.2">
      <c r="B13" s="2616" t="s">
        <v>559</v>
      </c>
      <c r="C13" s="2618" t="s">
        <v>559</v>
      </c>
      <c r="D13" s="3227">
        <v>17.264758037849383</v>
      </c>
      <c r="E13" s="3227">
        <v>108.12894024187294</v>
      </c>
      <c r="F13" s="3227">
        <v>2.6360327950177309</v>
      </c>
      <c r="G13" s="3103">
        <f>IF(SUM(D13)=0,"NA",J13/D13)</f>
        <v>1.7500000000000005E-2</v>
      </c>
      <c r="H13" s="3103">
        <f>IF(SUM(E13)=0,"NA",K13/E13)</f>
        <v>0.13938927304460103</v>
      </c>
      <c r="I13" s="3103">
        <f>IF(SUM(F13)=0,"NA",(SUM(L13:M13))/F13)</f>
        <v>0.56075421339858245</v>
      </c>
      <c r="J13" s="3227">
        <v>0.30213326566236426</v>
      </c>
      <c r="K13" s="3227">
        <v>15.072014375397774</v>
      </c>
      <c r="L13" s="3227">
        <v>2.057099645740383</v>
      </c>
      <c r="M13" s="3497">
        <v>-0.5789331492773484</v>
      </c>
    </row>
    <row r="14" spans="1:13" ht="18" customHeight="1" x14ac:dyDescent="0.2">
      <c r="B14" s="2616" t="s">
        <v>560</v>
      </c>
      <c r="C14" s="2618" t="s">
        <v>560</v>
      </c>
      <c r="D14" s="3227">
        <v>38.52188616961466</v>
      </c>
      <c r="E14" s="3227">
        <v>241.26203903390217</v>
      </c>
      <c r="F14" s="3227">
        <v>5.8816321112886758</v>
      </c>
      <c r="G14" s="3103">
        <f t="shared" ref="G14:G24" si="1">IF(SUM(D14)=0,"NA",J14/D14)</f>
        <v>1.7500000000000002E-2</v>
      </c>
      <c r="H14" s="3103">
        <f t="shared" ref="H14:H24" si="2">IF(SUM(E14)=0,"NA",K14/E14)</f>
        <v>0.13938927304460108</v>
      </c>
      <c r="I14" s="3103">
        <f t="shared" ref="I14:I78" si="3">IF(SUM(F14)=0,"NA",(SUM(L14:M14))/F14)</f>
        <v>0.56075421339857989</v>
      </c>
      <c r="J14" s="3227">
        <v>0.67413300796825659</v>
      </c>
      <c r="K14" s="3227">
        <v>33.629340234193791</v>
      </c>
      <c r="L14" s="3227">
        <v>4.5898910496770853</v>
      </c>
      <c r="M14" s="3497">
        <v>-1.2917410616115754</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v>167.68977378912916</v>
      </c>
      <c r="E16" s="3227">
        <v>1050.2387284818615</v>
      </c>
      <c r="F16" s="3227">
        <v>25.603355814670437</v>
      </c>
      <c r="G16" s="3103">
        <f t="shared" si="1"/>
        <v>1.7500000000000002E-2</v>
      </c>
      <c r="H16" s="3103">
        <f t="shared" si="2"/>
        <v>0.13938927304460105</v>
      </c>
      <c r="I16" s="3103">
        <f t="shared" si="3"/>
        <v>0.56075421339858289</v>
      </c>
      <c r="J16" s="3227">
        <v>2.9345710413097605</v>
      </c>
      <c r="K16" s="3227">
        <v>146.39201288637281</v>
      </c>
      <c r="L16" s="3227">
        <v>19.980272732445002</v>
      </c>
      <c r="M16" s="3497">
        <v>-5.6230830822254481</v>
      </c>
    </row>
    <row r="17" spans="2:13" ht="18" customHeight="1" x14ac:dyDescent="0.2">
      <c r="B17" s="2616" t="s">
        <v>564</v>
      </c>
      <c r="C17" s="2618" t="s">
        <v>564</v>
      </c>
      <c r="D17" s="3227">
        <v>0.31189347261853789</v>
      </c>
      <c r="E17" s="3227">
        <v>1.9533844950891122</v>
      </c>
      <c r="F17" s="3227">
        <v>4.7620790315856899E-2</v>
      </c>
      <c r="G17" s="3103">
        <f t="shared" si="1"/>
        <v>1.7500000000000002E-2</v>
      </c>
      <c r="H17" s="3103">
        <f t="shared" si="2"/>
        <v>0.13938927304460105</v>
      </c>
      <c r="I17" s="3103">
        <f t="shared" si="3"/>
        <v>0.56075421339858122</v>
      </c>
      <c r="J17" s="3227">
        <v>5.4581357708244132E-3</v>
      </c>
      <c r="K17" s="3227">
        <v>0.27228084474706643</v>
      </c>
      <c r="L17" s="3227">
        <v>3.7162174565421979E-2</v>
      </c>
      <c r="M17" s="3497">
        <v>-1.0458615750434868E-2</v>
      </c>
    </row>
    <row r="18" spans="2:13" ht="18" customHeight="1" x14ac:dyDescent="0.2">
      <c r="B18" s="2616" t="s">
        <v>565</v>
      </c>
      <c r="C18" s="2618" t="s">
        <v>565</v>
      </c>
      <c r="D18" s="3227">
        <v>601.07265970340768</v>
      </c>
      <c r="E18" s="3227">
        <v>3764.509734779313</v>
      </c>
      <c r="F18" s="3227">
        <v>91.773498342296193</v>
      </c>
      <c r="G18" s="3103">
        <f t="shared" si="1"/>
        <v>1.7500000000000005E-2</v>
      </c>
      <c r="H18" s="3103">
        <f t="shared" si="2"/>
        <v>0.13938927304460105</v>
      </c>
      <c r="I18" s="3103">
        <f t="shared" si="3"/>
        <v>0.560754213398581</v>
      </c>
      <c r="J18" s="3227">
        <v>10.518771544809637</v>
      </c>
      <c r="K18" s="3227">
        <v>524.73227530021234</v>
      </c>
      <c r="L18" s="3227">
        <v>71.617937108033175</v>
      </c>
      <c r="M18" s="3497">
        <v>-20.155561234262898</v>
      </c>
    </row>
    <row r="19" spans="2:13" ht="18" customHeight="1" x14ac:dyDescent="0.2">
      <c r="B19" s="2616" t="s">
        <v>567</v>
      </c>
      <c r="C19" s="2618" t="s">
        <v>567</v>
      </c>
      <c r="D19" s="3227">
        <v>158.82852746860902</v>
      </c>
      <c r="E19" s="3227">
        <v>994.74086562392426</v>
      </c>
      <c r="F19" s="3227">
        <v>24.250395300864653</v>
      </c>
      <c r="G19" s="3103">
        <f t="shared" si="1"/>
        <v>1.7500000000000005E-2</v>
      </c>
      <c r="H19" s="3103">
        <f t="shared" si="2"/>
        <v>0.13938927304460105</v>
      </c>
      <c r="I19" s="3103">
        <f t="shared" si="3"/>
        <v>0.56075421339858189</v>
      </c>
      <c r="J19" s="3227">
        <v>2.7794992307006585</v>
      </c>
      <c r="K19" s="3227">
        <v>138.65620612707599</v>
      </c>
      <c r="L19" s="3227">
        <v>18.924453321202833</v>
      </c>
      <c r="M19" s="3497">
        <v>-5.3259419796618079</v>
      </c>
    </row>
    <row r="20" spans="2:13" ht="18" customHeight="1" x14ac:dyDescent="0.2">
      <c r="B20" s="2616" t="s">
        <v>569</v>
      </c>
      <c r="C20" s="2618" t="s">
        <v>569</v>
      </c>
      <c r="D20" s="3227">
        <v>16.887659879535462</v>
      </c>
      <c r="E20" s="3227">
        <v>105.76717970423579</v>
      </c>
      <c r="F20" s="3227">
        <v>2.5784563661979902</v>
      </c>
      <c r="G20" s="3103">
        <f t="shared" si="1"/>
        <v>1.7500000000000002E-2</v>
      </c>
      <c r="H20" s="3103">
        <f t="shared" si="2"/>
        <v>0.13938927304460105</v>
      </c>
      <c r="I20" s="3103">
        <f t="shared" si="3"/>
        <v>0.56075421339858023</v>
      </c>
      <c r="J20" s="3227">
        <v>0.2955340478918706</v>
      </c>
      <c r="K20" s="3227">
        <v>14.742810290951109</v>
      </c>
      <c r="L20" s="3227">
        <v>1.9546985876794647</v>
      </c>
      <c r="M20" s="3497">
        <v>-0.50881831626954921</v>
      </c>
    </row>
    <row r="21" spans="2:13" ht="18" customHeight="1" x14ac:dyDescent="0.2">
      <c r="B21" s="2616" t="s">
        <v>571</v>
      </c>
      <c r="C21" s="2618" t="s">
        <v>571</v>
      </c>
      <c r="D21" s="3227">
        <v>6.4788336921234615</v>
      </c>
      <c r="E21" s="3227">
        <v>40.576845594756797</v>
      </c>
      <c r="F21" s="3227">
        <v>0.98920691784167381</v>
      </c>
      <c r="G21" s="3103">
        <f t="shared" si="1"/>
        <v>1.7500000000000005E-2</v>
      </c>
      <c r="H21" s="3103">
        <f t="shared" si="2"/>
        <v>0.13938927304460103</v>
      </c>
      <c r="I21" s="3103">
        <f t="shared" si="3"/>
        <v>0.56075421339858178</v>
      </c>
      <c r="J21" s="3227">
        <v>0.1133795896121606</v>
      </c>
      <c r="K21" s="3227">
        <v>5.6559770098961719</v>
      </c>
      <c r="L21" s="3227">
        <v>0.7719544324722083</v>
      </c>
      <c r="M21" s="3497">
        <v>-0.21725248536946498</v>
      </c>
    </row>
    <row r="22" spans="2:13" ht="18" customHeight="1" x14ac:dyDescent="0.2">
      <c r="B22" s="2616" t="s">
        <v>574</v>
      </c>
      <c r="C22" s="2618" t="s">
        <v>574</v>
      </c>
      <c r="D22" s="3227">
        <v>2.0678550941230336</v>
      </c>
      <c r="E22" s="3227">
        <v>10.708169139071156</v>
      </c>
      <c r="F22" s="3227">
        <v>0.31572604907075774</v>
      </c>
      <c r="G22" s="3103">
        <f t="shared" si="1"/>
        <v>1.7500000000000002E-2</v>
      </c>
      <c r="H22" s="3103">
        <f t="shared" si="2"/>
        <v>0.16858373955495787</v>
      </c>
      <c r="I22" s="3103">
        <f t="shared" si="3"/>
        <v>0.56075421339858245</v>
      </c>
      <c r="J22" s="3227">
        <v>3.6187464147153091E-2</v>
      </c>
      <c r="K22" s="3227">
        <v>1.8052231972516091</v>
      </c>
      <c r="L22" s="3227">
        <v>0.24638538068343641</v>
      </c>
      <c r="M22" s="3497">
        <v>-6.9340668387321377E-2</v>
      </c>
    </row>
    <row r="23" spans="2:13" ht="18" customHeight="1" x14ac:dyDescent="0.2">
      <c r="B23" s="2616" t="s">
        <v>576</v>
      </c>
      <c r="C23" s="2618" t="s">
        <v>576</v>
      </c>
      <c r="D23" s="3227">
        <v>12.741047366798828</v>
      </c>
      <c r="E23" s="3227">
        <v>79.797003023337808</v>
      </c>
      <c r="F23" s="3227">
        <v>1.9453396698711971</v>
      </c>
      <c r="G23" s="3103">
        <f t="shared" si="1"/>
        <v>1.7500000000000002E-2</v>
      </c>
      <c r="H23" s="3103">
        <f t="shared" si="2"/>
        <v>0.13938927304460105</v>
      </c>
      <c r="I23" s="3103">
        <f t="shared" si="3"/>
        <v>0.56075421339858256</v>
      </c>
      <c r="J23" s="3227">
        <v>0.22296832891897952</v>
      </c>
      <c r="K23" s="3227">
        <v>11.12284624256089</v>
      </c>
      <c r="L23" s="3227">
        <v>1.4747399859478918</v>
      </c>
      <c r="M23" s="3497">
        <v>-0.38388256957621059</v>
      </c>
    </row>
    <row r="24" spans="2:13" ht="18" customHeight="1" x14ac:dyDescent="0.2">
      <c r="B24" s="2616" t="s">
        <v>577</v>
      </c>
      <c r="C24" s="2618" t="s">
        <v>577</v>
      </c>
      <c r="D24" s="3227">
        <v>11.326985313107327</v>
      </c>
      <c r="E24" s="3227">
        <v>70.940751984852085</v>
      </c>
      <c r="F24" s="3227">
        <v>1.7294366181429819</v>
      </c>
      <c r="G24" s="3103">
        <f t="shared" si="1"/>
        <v>1.7500000000000005E-2</v>
      </c>
      <c r="H24" s="3103">
        <f t="shared" si="2"/>
        <v>0.13938927304460103</v>
      </c>
      <c r="I24" s="3103">
        <f t="shared" si="3"/>
        <v>0.56075421339858322</v>
      </c>
      <c r="J24" s="3227">
        <v>0.19822224297937829</v>
      </c>
      <c r="K24" s="3227">
        <v>9.8883798484058687</v>
      </c>
      <c r="L24" s="3227">
        <v>1.3110663260708719</v>
      </c>
      <c r="M24" s="3497">
        <v>-0.34127745564139811</v>
      </c>
    </row>
    <row r="25" spans="2:13" ht="18" customHeight="1" x14ac:dyDescent="0.2">
      <c r="B25" s="105" t="s">
        <v>669</v>
      </c>
      <c r="C25" s="2508"/>
      <c r="D25" s="2108"/>
      <c r="E25" s="2108"/>
      <c r="F25" s="2108"/>
      <c r="G25" s="2108"/>
      <c r="H25" s="2108"/>
      <c r="I25" s="2108"/>
      <c r="J25" s="3103">
        <f>IF(SUM(J26:J37)=0,"NO",SUM(J26:J37))</f>
        <v>8.596084261596805E-2</v>
      </c>
      <c r="K25" s="3103">
        <f>IF(SUM(K26:K37)=0,"NO",SUM(K26:K37))</f>
        <v>10.244979041577119</v>
      </c>
      <c r="L25" s="3103">
        <f>IF(SUM(L26:L37)=0,"NO",SUM(L26:L37))</f>
        <v>19.133545128441597</v>
      </c>
      <c r="M25" s="3226">
        <f>IF(SUM(M26:M37)=0,"NO",SUM(M26:M37))</f>
        <v>-4.417774473967512</v>
      </c>
    </row>
    <row r="26" spans="2:13" ht="18" customHeight="1" x14ac:dyDescent="0.2">
      <c r="B26" s="2616" t="s">
        <v>559</v>
      </c>
      <c r="C26" s="2618" t="s">
        <v>559</v>
      </c>
      <c r="D26" s="3227">
        <v>0.2394026345672812</v>
      </c>
      <c r="E26" s="3227">
        <v>10.235883115452685</v>
      </c>
      <c r="F26" s="3227">
        <v>0.39354532520406704</v>
      </c>
      <c r="G26" s="3103">
        <f>IF(SUM(D26)=0,"NA",J26/D26)</f>
        <v>5.9999999999999993E-3</v>
      </c>
      <c r="H26" s="3103">
        <f>IF(SUM(E26)=0,"NA",K26/E26)</f>
        <v>1.6724966946561594E-2</v>
      </c>
      <c r="I26" s="3103">
        <f t="shared" si="3"/>
        <v>0.62483847626817379</v>
      </c>
      <c r="J26" s="3227">
        <v>1.436415807403687E-3</v>
      </c>
      <c r="K26" s="3227">
        <v>0.17119480677481408</v>
      </c>
      <c r="L26" s="3227">
        <v>0.31972379327351957</v>
      </c>
      <c r="M26" s="3497">
        <v>-7.3821531930547385E-2</v>
      </c>
    </row>
    <row r="27" spans="2:13" ht="18" customHeight="1" x14ac:dyDescent="0.2">
      <c r="B27" s="2616" t="s">
        <v>560</v>
      </c>
      <c r="C27" s="2618" t="s">
        <v>560</v>
      </c>
      <c r="D27" s="3227">
        <v>0.53416566958475864</v>
      </c>
      <c r="E27" s="3227">
        <v>22.838751829276507</v>
      </c>
      <c r="F27" s="3227">
        <v>0.87809560880376514</v>
      </c>
      <c r="G27" s="3103">
        <f t="shared" ref="G27:G37" si="6">IF(SUM(D27)=0,"NA",J27/D27)</f>
        <v>6.0000000000000001E-3</v>
      </c>
      <c r="H27" s="3103">
        <f t="shared" ref="H27:H37" si="7">IF(SUM(E27)=0,"NA",K27/E27)</f>
        <v>1.6724966946561594E-2</v>
      </c>
      <c r="I27" s="3103">
        <f t="shared" si="3"/>
        <v>0.62483847626817401</v>
      </c>
      <c r="J27" s="3227">
        <v>3.204994017508552E-3</v>
      </c>
      <c r="K27" s="3227">
        <v>0.38197736944537275</v>
      </c>
      <c r="L27" s="3227">
        <v>0.71338176551324217</v>
      </c>
      <c r="M27" s="3497">
        <v>-0.16471384329052297</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v>2.3252786715631095</v>
      </c>
      <c r="E29" s="3227">
        <v>99.419460174261445</v>
      </c>
      <c r="F29" s="3227">
        <v>3.8224414390611337</v>
      </c>
      <c r="G29" s="3103">
        <f t="shared" si="6"/>
        <v>5.9999999999999993E-3</v>
      </c>
      <c r="H29" s="3103">
        <f t="shared" si="7"/>
        <v>1.6724966946561597E-2</v>
      </c>
      <c r="I29" s="3103">
        <f t="shared" si="3"/>
        <v>0.62483847626817368</v>
      </c>
      <c r="J29" s="3227">
        <v>1.3951672029378656E-2</v>
      </c>
      <c r="K29" s="3227">
        <v>1.6627871852595197</v>
      </c>
      <c r="L29" s="3227">
        <v>3.105424961734208</v>
      </c>
      <c r="M29" s="3497">
        <v>-0.71701647732692431</v>
      </c>
    </row>
    <row r="30" spans="2:13" ht="18" customHeight="1" x14ac:dyDescent="0.2">
      <c r="B30" s="2616" t="s">
        <v>564</v>
      </c>
      <c r="C30" s="2618" t="s">
        <v>564</v>
      </c>
      <c r="D30" s="3227">
        <v>4.324886504955462E-3</v>
      </c>
      <c r="E30" s="3227">
        <v>0.18491455965945733</v>
      </c>
      <c r="F30" s="3227">
        <v>7.1095243757020596E-3</v>
      </c>
      <c r="G30" s="3103">
        <f t="shared" si="6"/>
        <v>5.9999999999999993E-3</v>
      </c>
      <c r="H30" s="3103">
        <f t="shared" si="7"/>
        <v>1.6724966946561594E-2</v>
      </c>
      <c r="I30" s="3103">
        <f t="shared" si="3"/>
        <v>0.6248384762681739</v>
      </c>
      <c r="J30" s="3227">
        <v>2.5949319029732768E-5</v>
      </c>
      <c r="K30" s="3227">
        <v>3.0926898982424158E-3</v>
      </c>
      <c r="L30" s="3227">
        <v>5.7759143768035875E-3</v>
      </c>
      <c r="M30" s="3497">
        <v>-1.3336099988984719E-3</v>
      </c>
    </row>
    <row r="31" spans="2:13" ht="18" customHeight="1" x14ac:dyDescent="0.2">
      <c r="B31" s="2616" t="s">
        <v>565</v>
      </c>
      <c r="C31" s="2618" t="s">
        <v>565</v>
      </c>
      <c r="D31" s="3227">
        <v>8.3348042285846962</v>
      </c>
      <c r="E31" s="3227">
        <v>356.36233506025695</v>
      </c>
      <c r="F31" s="3227">
        <v>13.701282972843638</v>
      </c>
      <c r="G31" s="3103">
        <f t="shared" si="6"/>
        <v>5.9999999999999993E-3</v>
      </c>
      <c r="H31" s="3103">
        <f t="shared" si="7"/>
        <v>1.6724966946561601E-2</v>
      </c>
      <c r="I31" s="3103">
        <f t="shared" si="3"/>
        <v>0.62483847626817401</v>
      </c>
      <c r="J31" s="3227">
        <v>5.0008825371508171E-2</v>
      </c>
      <c r="K31" s="3227">
        <v>5.9601482748823074</v>
      </c>
      <c r="L31" s="3227">
        <v>11.131185874257167</v>
      </c>
      <c r="M31" s="3497">
        <v>-2.5700970985864711</v>
      </c>
    </row>
    <row r="32" spans="2:13" ht="18" customHeight="1" x14ac:dyDescent="0.2">
      <c r="B32" s="2616" t="s">
        <v>567</v>
      </c>
      <c r="C32" s="2618" t="s">
        <v>567</v>
      </c>
      <c r="D32" s="3227">
        <v>6.3338978903902152E-2</v>
      </c>
      <c r="E32" s="3227">
        <v>94.165828388908167</v>
      </c>
      <c r="F32" s="3227">
        <v>3.6204518104038859</v>
      </c>
      <c r="G32" s="3103">
        <f t="shared" si="6"/>
        <v>0.20863017931062861</v>
      </c>
      <c r="H32" s="3103">
        <f t="shared" si="7"/>
        <v>1.6724966946561597E-2</v>
      </c>
      <c r="I32" s="3103">
        <f t="shared" si="3"/>
        <v>0.62483847626817379</v>
      </c>
      <c r="J32" s="3227">
        <v>1.3214422526073228E-2</v>
      </c>
      <c r="K32" s="3227">
        <v>1.5749203673000807</v>
      </c>
      <c r="L32" s="3227">
        <v>2.9413247015095001</v>
      </c>
      <c r="M32" s="3497">
        <v>-0.67912710889438488</v>
      </c>
    </row>
    <row r="33" spans="2:13" ht="18" customHeight="1" x14ac:dyDescent="0.2">
      <c r="B33" s="2616" t="s">
        <v>569</v>
      </c>
      <c r="C33" s="2618" t="s">
        <v>569</v>
      </c>
      <c r="D33" s="3227">
        <v>0.23417358401279864</v>
      </c>
      <c r="E33" s="3227">
        <v>10.012310177848132</v>
      </c>
      <c r="F33" s="3227">
        <v>0.38494947827576609</v>
      </c>
      <c r="G33" s="3103">
        <f t="shared" si="6"/>
        <v>6.0000000000000001E-3</v>
      </c>
      <c r="H33" s="3103">
        <f t="shared" si="7"/>
        <v>1.6724966946561597E-2</v>
      </c>
      <c r="I33" s="3103">
        <f t="shared" si="3"/>
        <v>0.62483847626817357</v>
      </c>
      <c r="J33" s="3227">
        <v>1.4050415040767919E-3</v>
      </c>
      <c r="K33" s="3227">
        <v>0.16745555678323226</v>
      </c>
      <c r="L33" s="3227">
        <v>0.31274036186091198</v>
      </c>
      <c r="M33" s="3497">
        <v>-7.2209116414853919E-2</v>
      </c>
    </row>
    <row r="34" spans="2:13" ht="18" customHeight="1" x14ac:dyDescent="0.2">
      <c r="B34" s="2616" t="s">
        <v>571</v>
      </c>
      <c r="C34" s="2618" t="s">
        <v>571</v>
      </c>
      <c r="D34" s="3227">
        <v>8.9839072833645769E-2</v>
      </c>
      <c r="E34" s="3227">
        <v>3.8411534208384048</v>
      </c>
      <c r="F34" s="3227">
        <v>0.14768319988731241</v>
      </c>
      <c r="G34" s="3103">
        <f t="shared" si="6"/>
        <v>6.0000000000000001E-3</v>
      </c>
      <c r="H34" s="3103">
        <f t="shared" si="7"/>
        <v>1.6724966946561594E-2</v>
      </c>
      <c r="I34" s="3103">
        <f t="shared" si="3"/>
        <v>0.62483847626817379</v>
      </c>
      <c r="J34" s="3227">
        <v>5.3903443700187466E-4</v>
      </c>
      <c r="K34" s="3227">
        <v>6.4243164000194322E-2</v>
      </c>
      <c r="L34" s="3227">
        <v>0.11998067273765441</v>
      </c>
      <c r="M34" s="3497">
        <v>-2.7702527149657982E-2</v>
      </c>
    </row>
    <row r="35" spans="2:13" ht="18" customHeight="1" x14ac:dyDescent="0.2">
      <c r="B35" s="2616" t="s">
        <v>574</v>
      </c>
      <c r="C35" s="2618" t="s">
        <v>574</v>
      </c>
      <c r="D35" s="3227">
        <v>2.8674016534209951E-2</v>
      </c>
      <c r="E35" s="3227">
        <v>1.2259843431766624</v>
      </c>
      <c r="F35" s="3227">
        <v>4.7136177854764059E-2</v>
      </c>
      <c r="G35" s="3103">
        <f t="shared" si="6"/>
        <v>6.000000000000001E-3</v>
      </c>
      <c r="H35" s="3103">
        <f t="shared" si="7"/>
        <v>1.6724966946561594E-2</v>
      </c>
      <c r="I35" s="3103">
        <f t="shared" si="3"/>
        <v>0.6248384762681739</v>
      </c>
      <c r="J35" s="3227">
        <v>1.7204409920525972E-4</v>
      </c>
      <c r="K35" s="3227">
        <v>2.0504547616631705E-2</v>
      </c>
      <c r="L35" s="3227">
        <v>3.8294337701320236E-2</v>
      </c>
      <c r="M35" s="3497">
        <v>-8.8418401534438185E-3</v>
      </c>
    </row>
    <row r="36" spans="2:13" ht="18" customHeight="1" x14ac:dyDescent="0.2">
      <c r="B36" s="2616" t="s">
        <v>576</v>
      </c>
      <c r="C36" s="2618" t="s">
        <v>576</v>
      </c>
      <c r="D36" s="3227">
        <v>0.17667437331418973</v>
      </c>
      <c r="E36" s="3227">
        <v>7.553877750796703</v>
      </c>
      <c r="F36" s="3227">
        <v>0.29042860713221252</v>
      </c>
      <c r="G36" s="3103">
        <f t="shared" si="6"/>
        <v>6.000000000000001E-3</v>
      </c>
      <c r="H36" s="3103">
        <f t="shared" si="7"/>
        <v>1.6724966946561597E-2</v>
      </c>
      <c r="I36" s="3103">
        <f t="shared" si="3"/>
        <v>0.62483847626817379</v>
      </c>
      <c r="J36" s="3227">
        <v>1.0600462398851385E-3</v>
      </c>
      <c r="K36" s="3227">
        <v>0.12633835570044191</v>
      </c>
      <c r="L36" s="3227">
        <v>0.23594978773869613</v>
      </c>
      <c r="M36" s="3497">
        <v>-5.4478819393516363E-2</v>
      </c>
    </row>
    <row r="37" spans="2:13" ht="18" customHeight="1" x14ac:dyDescent="0.2">
      <c r="B37" s="2616" t="s">
        <v>577</v>
      </c>
      <c r="C37" s="2618" t="s">
        <v>577</v>
      </c>
      <c r="D37" s="3227">
        <v>0.15706621081615713</v>
      </c>
      <c r="E37" s="3227">
        <v>6.7155124596150042</v>
      </c>
      <c r="F37" s="3227">
        <v>0.25819545856686643</v>
      </c>
      <c r="G37" s="3103">
        <f t="shared" si="6"/>
        <v>5.9999999999999993E-3</v>
      </c>
      <c r="H37" s="3103">
        <f t="shared" si="7"/>
        <v>1.6724966946561594E-2</v>
      </c>
      <c r="I37" s="3103">
        <f t="shared" si="3"/>
        <v>0.62483847626817368</v>
      </c>
      <c r="J37" s="3227">
        <v>9.4239726489694269E-4</v>
      </c>
      <c r="K37" s="3227">
        <v>0.1123167239162835</v>
      </c>
      <c r="L37" s="3227">
        <v>0.20976295773857478</v>
      </c>
      <c r="M37" s="3497">
        <v>-4.8432500828291578E-2</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IE</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IE</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IE</v>
      </c>
      <c r="E46" s="3227" t="str">
        <f t="shared" si="11"/>
        <v>IE</v>
      </c>
      <c r="F46" s="3227" t="str">
        <f t="shared" si="11"/>
        <v>IE</v>
      </c>
      <c r="G46" s="3103" t="str">
        <f t="shared" si="12"/>
        <v>NA</v>
      </c>
      <c r="H46" s="3103" t="str">
        <f t="shared" si="13"/>
        <v>NA</v>
      </c>
      <c r="I46" s="3103" t="str">
        <f t="shared" si="3"/>
        <v>NA</v>
      </c>
      <c r="J46" s="3227" t="str">
        <f t="shared" ref="J46:L46" si="26">IF(J20="NO","NO","IE")</f>
        <v>IE</v>
      </c>
      <c r="K46" s="3227" t="str">
        <f t="shared" si="26"/>
        <v>IE</v>
      </c>
      <c r="L46" s="3227" t="str">
        <f t="shared" si="26"/>
        <v>IE</v>
      </c>
      <c r="M46" s="3497" t="str">
        <f t="shared" ref="M46" si="27">IF(M20="NO","NO","IE")</f>
        <v>IE</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IE</v>
      </c>
      <c r="E49" s="3227" t="str">
        <f t="shared" si="11"/>
        <v>IE</v>
      </c>
      <c r="F49" s="3227" t="str">
        <f t="shared" si="11"/>
        <v>IE</v>
      </c>
      <c r="G49" s="3103" t="str">
        <f t="shared" si="12"/>
        <v>NA</v>
      </c>
      <c r="H49" s="3103" t="str">
        <f t="shared" si="13"/>
        <v>NA</v>
      </c>
      <c r="I49" s="3103" t="str">
        <f t="shared" si="3"/>
        <v>NA</v>
      </c>
      <c r="J49" s="3227" t="str">
        <f t="shared" ref="J49:L49" si="32">IF(J23="NO","NO","IE")</f>
        <v>IE</v>
      </c>
      <c r="K49" s="3227" t="str">
        <f t="shared" si="32"/>
        <v>IE</v>
      </c>
      <c r="L49" s="3227" t="str">
        <f t="shared" si="32"/>
        <v>IE</v>
      </c>
      <c r="M49" s="3497" t="str">
        <f t="shared" ref="M49" si="33">IF(M23="NO","NO","IE")</f>
        <v>IE</v>
      </c>
    </row>
    <row r="50" spans="2:13" ht="18" customHeight="1" x14ac:dyDescent="0.2">
      <c r="B50" s="2616" t="s">
        <v>577</v>
      </c>
      <c r="C50" s="2618" t="s">
        <v>577</v>
      </c>
      <c r="D50" s="3227" t="str">
        <f t="shared" si="11"/>
        <v>IE</v>
      </c>
      <c r="E50" s="3227" t="str">
        <f t="shared" si="11"/>
        <v>IE</v>
      </c>
      <c r="F50" s="3227" t="str">
        <f t="shared" si="11"/>
        <v>IE</v>
      </c>
      <c r="G50" s="3103" t="str">
        <f t="shared" si="12"/>
        <v>NA</v>
      </c>
      <c r="H50" s="3103" t="str">
        <f t="shared" si="13"/>
        <v>NA</v>
      </c>
      <c r="I50" s="3103" t="str">
        <f t="shared" si="3"/>
        <v>NA</v>
      </c>
      <c r="J50" s="3227" t="str">
        <f t="shared" ref="J50:L50" si="34">IF(J24="NO","NO","IE")</f>
        <v>IE</v>
      </c>
      <c r="K50" s="3227" t="str">
        <f t="shared" si="34"/>
        <v>IE</v>
      </c>
      <c r="L50" s="3227" t="str">
        <f t="shared" si="34"/>
        <v>IE</v>
      </c>
      <c r="M50" s="3497" t="str">
        <f t="shared" ref="M50" si="35">IF(M24="NO","NO","IE")</f>
        <v>IE</v>
      </c>
    </row>
    <row r="51" spans="2:13" ht="18" customHeight="1" x14ac:dyDescent="0.2">
      <c r="B51" s="104" t="s">
        <v>671</v>
      </c>
      <c r="C51" s="2508"/>
      <c r="D51" s="2108"/>
      <c r="E51" s="2108"/>
      <c r="F51" s="2108"/>
      <c r="G51" s="2108"/>
      <c r="H51" s="2108"/>
      <c r="I51" s="2108"/>
      <c r="J51" s="3103">
        <f>IF(SUM(J52:J63)=0,"NO",SUM(J52:J63))</f>
        <v>4.359566189405105</v>
      </c>
      <c r="K51" s="3103">
        <f>IF(SUM(K52:K63)=0,"NO",SUM(K52:K63))</f>
        <v>87.638960115105988</v>
      </c>
      <c r="L51" s="3103">
        <f>IF(SUM(L52:L63)=0,"NO",SUM(L52:L63))</f>
        <v>28.374268046800953</v>
      </c>
      <c r="M51" s="3226">
        <f>IF(SUM(M52:M63)=0,"NO",SUM(M52:M63))</f>
        <v>-7.6432761917389804</v>
      </c>
    </row>
    <row r="52" spans="2:13" ht="18" customHeight="1" x14ac:dyDescent="0.2">
      <c r="B52" s="2616" t="s">
        <v>559</v>
      </c>
      <c r="C52" s="2618" t="s">
        <v>559</v>
      </c>
      <c r="D52" s="3227">
        <v>1.4284091105456147</v>
      </c>
      <c r="E52" s="3227">
        <v>6.6607607183361504</v>
      </c>
      <c r="F52" s="3227">
        <v>0.6018574075551224</v>
      </c>
      <c r="G52" s="3103">
        <f>IF(SUM(D52)=0,"NA",J52/D52)</f>
        <v>5.0999999999999997E-2</v>
      </c>
      <c r="H52" s="3103">
        <f>IF(SUM(E52)=0,"NA",K52/E52)</f>
        <v>0.21986337753983867</v>
      </c>
      <c r="I52" s="3103">
        <f t="shared" si="3"/>
        <v>0.57558038154303581</v>
      </c>
      <c r="J52" s="3227">
        <v>7.2848864637826347E-2</v>
      </c>
      <c r="K52" s="3227">
        <v>1.4644573485180681</v>
      </c>
      <c r="L52" s="3227">
        <v>0.47413736191510103</v>
      </c>
      <c r="M52" s="3497">
        <v>-0.12772004564002129</v>
      </c>
    </row>
    <row r="53" spans="2:13" ht="18" customHeight="1" x14ac:dyDescent="0.2">
      <c r="B53" s="2616" t="s">
        <v>560</v>
      </c>
      <c r="C53" s="2618" t="s">
        <v>560</v>
      </c>
      <c r="D53" s="3227">
        <v>3.1871291239325688</v>
      </c>
      <c r="E53" s="3227">
        <v>14.861781765622005</v>
      </c>
      <c r="F53" s="3227">
        <v>1.3428906732055101</v>
      </c>
      <c r="G53" s="3103">
        <f t="shared" ref="G53:G63" si="36">IF(SUM(D53)=0,"NA",J53/D53)</f>
        <v>5.1000000000000004E-2</v>
      </c>
      <c r="H53" s="3103">
        <f t="shared" ref="H53:H63" si="37">IF(SUM(E53)=0,"NA",K53/E53)</f>
        <v>0.21986337753983867</v>
      </c>
      <c r="I53" s="3103">
        <f t="shared" si="3"/>
        <v>0.57558038154303559</v>
      </c>
      <c r="J53" s="3227">
        <v>0.16254358532056101</v>
      </c>
      <c r="K53" s="3227">
        <v>3.2675615352496412</v>
      </c>
      <c r="L53" s="3227">
        <v>1.0579160996298604</v>
      </c>
      <c r="M53" s="3497">
        <v>-0.28497457357564909</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v>13.873904291077034</v>
      </c>
      <c r="E55" s="3227">
        <v>64.694880500071022</v>
      </c>
      <c r="F55" s="3227">
        <v>5.8457426570921207</v>
      </c>
      <c r="G55" s="3103">
        <f t="shared" si="36"/>
        <v>5.0999999999999997E-2</v>
      </c>
      <c r="H55" s="3103">
        <f t="shared" si="37"/>
        <v>0.21986337753983864</v>
      </c>
      <c r="I55" s="3103">
        <f t="shared" si="3"/>
        <v>0.5755803815430357</v>
      </c>
      <c r="J55" s="3227">
        <v>0.70756911884492868</v>
      </c>
      <c r="K55" s="3227">
        <v>14.224034936281861</v>
      </c>
      <c r="L55" s="3227">
        <v>4.6052187230318005</v>
      </c>
      <c r="M55" s="3497">
        <v>-1.2405239340603185</v>
      </c>
    </row>
    <row r="56" spans="2:13" ht="18" customHeight="1" x14ac:dyDescent="0.2">
      <c r="B56" s="2616" t="s">
        <v>564</v>
      </c>
      <c r="C56" s="2618" t="s">
        <v>564</v>
      </c>
      <c r="D56" s="3227">
        <v>2.5804675445282095E-2</v>
      </c>
      <c r="E56" s="3227">
        <v>0.12032881006317245</v>
      </c>
      <c r="F56" s="3227">
        <v>1.0872749936722593E-2</v>
      </c>
      <c r="G56" s="3103">
        <f t="shared" si="36"/>
        <v>5.1000000000000004E-2</v>
      </c>
      <c r="H56" s="3103">
        <f t="shared" si="37"/>
        <v>0.21986337753983873</v>
      </c>
      <c r="I56" s="3103">
        <f t="shared" si="3"/>
        <v>0.57558038154303537</v>
      </c>
      <c r="J56" s="3227">
        <v>1.316038447709387E-3</v>
      </c>
      <c r="K56" s="3227">
        <v>2.6455898595838828E-2</v>
      </c>
      <c r="L56" s="3227">
        <v>8.5654457468616954E-3</v>
      </c>
      <c r="M56" s="3497">
        <v>-2.3073041898608914E-3</v>
      </c>
    </row>
    <row r="57" spans="2:13" ht="18" customHeight="1" x14ac:dyDescent="0.2">
      <c r="B57" s="2616" t="s">
        <v>565</v>
      </c>
      <c r="C57" s="2618" t="s">
        <v>565</v>
      </c>
      <c r="D57" s="3227">
        <v>49.730072170022822</v>
      </c>
      <c r="E57" s="3227">
        <v>231.8944263129103</v>
      </c>
      <c r="F57" s="3227">
        <v>20.953669430424206</v>
      </c>
      <c r="G57" s="3103">
        <f t="shared" si="36"/>
        <v>5.0999999999999997E-2</v>
      </c>
      <c r="H57" s="3103">
        <f t="shared" si="37"/>
        <v>0.21986337753983873</v>
      </c>
      <c r="I57" s="3103">
        <f t="shared" si="3"/>
        <v>0.57558038154303448</v>
      </c>
      <c r="J57" s="3227">
        <v>2.5362336806711636</v>
      </c>
      <c r="K57" s="3227">
        <v>50.985091801819706</v>
      </c>
      <c r="L57" s="3227">
        <v>16.507095237957181</v>
      </c>
      <c r="M57" s="3497">
        <v>-4.446574192466997</v>
      </c>
    </row>
    <row r="58" spans="2:13" ht="18" customHeight="1" x14ac:dyDescent="0.2">
      <c r="B58" s="2616" t="s">
        <v>567</v>
      </c>
      <c r="C58" s="2618" t="s">
        <v>567</v>
      </c>
      <c r="D58" s="3227">
        <v>13.140764275603267</v>
      </c>
      <c r="E58" s="3227">
        <v>61.27620290969724</v>
      </c>
      <c r="F58" s="3227">
        <v>5.5368355338944673</v>
      </c>
      <c r="G58" s="3103">
        <f t="shared" si="36"/>
        <v>5.1000000000000011E-2</v>
      </c>
      <c r="H58" s="3103">
        <f t="shared" si="37"/>
        <v>0.2198633775398387</v>
      </c>
      <c r="I58" s="3103">
        <f t="shared" si="3"/>
        <v>0.57558038154303492</v>
      </c>
      <c r="J58" s="3227">
        <v>0.67017897805576676</v>
      </c>
      <c r="K58" s="3227">
        <v>13.472392934542526</v>
      </c>
      <c r="L58" s="3227">
        <v>4.3618647215172359</v>
      </c>
      <c r="M58" s="3497">
        <v>-1.1749708123772253</v>
      </c>
    </row>
    <row r="59" spans="2:13" ht="18" customHeight="1" x14ac:dyDescent="0.2">
      <c r="B59" s="2616" t="s">
        <v>569</v>
      </c>
      <c r="C59" s="2618" t="s">
        <v>569</v>
      </c>
      <c r="D59" s="3227">
        <v>1.3972096901005264</v>
      </c>
      <c r="E59" s="3227">
        <v>6.5152758760726339</v>
      </c>
      <c r="F59" s="3227">
        <v>0.58871159227876191</v>
      </c>
      <c r="G59" s="3103">
        <f t="shared" si="36"/>
        <v>5.0999999999999997E-2</v>
      </c>
      <c r="H59" s="3103">
        <f t="shared" si="37"/>
        <v>0.21986337753983867</v>
      </c>
      <c r="I59" s="3103">
        <f t="shared" si="3"/>
        <v>0.57558038154303481</v>
      </c>
      <c r="J59" s="3227">
        <v>7.1257694195126842E-2</v>
      </c>
      <c r="K59" s="3227">
        <v>1.4324705597171608</v>
      </c>
      <c r="L59" s="3227">
        <v>0.46378121759068924</v>
      </c>
      <c r="M59" s="3497">
        <v>-0.12493037468807196</v>
      </c>
    </row>
    <row r="60" spans="2:13" ht="18" customHeight="1" x14ac:dyDescent="0.2">
      <c r="B60" s="2616" t="s">
        <v>571</v>
      </c>
      <c r="C60" s="2618" t="s">
        <v>571</v>
      </c>
      <c r="D60" s="3227">
        <v>0.53602981583933218</v>
      </c>
      <c r="E60" s="3227">
        <v>2.4995404431688328</v>
      </c>
      <c r="F60" s="3227">
        <v>0.22585512298369498</v>
      </c>
      <c r="G60" s="3103">
        <f t="shared" si="36"/>
        <v>5.0999999999999997E-2</v>
      </c>
      <c r="H60" s="3103">
        <f t="shared" si="37"/>
        <v>0.2198633775398387</v>
      </c>
      <c r="I60" s="3103">
        <f t="shared" si="3"/>
        <v>0.57558038154303481</v>
      </c>
      <c r="J60" s="3227">
        <v>2.7337520607805938E-2</v>
      </c>
      <c r="K60" s="3227">
        <v>0.54955740413252485</v>
      </c>
      <c r="L60" s="3227">
        <v>0.17792645042204946</v>
      </c>
      <c r="M60" s="3497">
        <v>-4.7928672561645257E-2</v>
      </c>
    </row>
    <row r="61" spans="2:13" ht="18" customHeight="1" x14ac:dyDescent="0.2">
      <c r="B61" s="2616" t="s">
        <v>574</v>
      </c>
      <c r="C61" s="2618" t="s">
        <v>574</v>
      </c>
      <c r="D61" s="3227">
        <v>0.17108511160469406</v>
      </c>
      <c r="E61" s="3227">
        <v>0.79778053952163719</v>
      </c>
      <c r="F61" s="3227">
        <v>7.2086379862383101E-2</v>
      </c>
      <c r="G61" s="3103">
        <f t="shared" si="36"/>
        <v>5.0999999999999997E-2</v>
      </c>
      <c r="H61" s="3103">
        <f t="shared" si="37"/>
        <v>0.21986337753983867</v>
      </c>
      <c r="I61" s="3103">
        <f t="shared" si="3"/>
        <v>0.57558038154303559</v>
      </c>
      <c r="J61" s="3227">
        <v>8.7253406918393964E-3</v>
      </c>
      <c r="K61" s="3227">
        <v>0.1754027239547819</v>
      </c>
      <c r="L61" s="3227">
        <v>5.6788942943814869E-2</v>
      </c>
      <c r="M61" s="3497">
        <v>-1.5297436918568209E-2</v>
      </c>
    </row>
    <row r="62" spans="2:13" ht="18" customHeight="1" x14ac:dyDescent="0.2">
      <c r="B62" s="2616" t="s">
        <v>576</v>
      </c>
      <c r="C62" s="2618" t="s">
        <v>576</v>
      </c>
      <c r="D62" s="3227">
        <v>1.0541374571673816</v>
      </c>
      <c r="E62" s="3227">
        <v>4.9155086694632448</v>
      </c>
      <c r="F62" s="3227">
        <v>0.44415877250682728</v>
      </c>
      <c r="G62" s="3103">
        <f t="shared" si="36"/>
        <v>5.0999999999999997E-2</v>
      </c>
      <c r="H62" s="3103">
        <f t="shared" si="37"/>
        <v>0.21986337753983864</v>
      </c>
      <c r="I62" s="3103">
        <f t="shared" si="3"/>
        <v>0.57558038154303548</v>
      </c>
      <c r="J62" s="3227">
        <v>5.3761010315536456E-2</v>
      </c>
      <c r="K62" s="3227">
        <v>1.0807403383945473</v>
      </c>
      <c r="L62" s="3227">
        <v>0.34990392412599647</v>
      </c>
      <c r="M62" s="3497">
        <v>-9.4254848380830564E-2</v>
      </c>
    </row>
    <row r="63" spans="2:13" ht="18" customHeight="1" x14ac:dyDescent="0.2">
      <c r="B63" s="2616" t="s">
        <v>577</v>
      </c>
      <c r="C63" s="2618" t="s">
        <v>577</v>
      </c>
      <c r="D63" s="3227">
        <v>0.93714426699688147</v>
      </c>
      <c r="E63" s="3227">
        <v>4.3699621312569459</v>
      </c>
      <c r="F63" s="3227">
        <v>0.39486391880015731</v>
      </c>
      <c r="G63" s="3103">
        <f t="shared" si="36"/>
        <v>5.1000000000000004E-2</v>
      </c>
      <c r="H63" s="3103">
        <f t="shared" si="37"/>
        <v>0.2198633775398387</v>
      </c>
      <c r="I63" s="3103">
        <f t="shared" si="3"/>
        <v>0.57558038154303526</v>
      </c>
      <c r="J63" s="3227">
        <v>4.7794357616840956E-2</v>
      </c>
      <c r="K63" s="3227">
        <v>0.96079463389934405</v>
      </c>
      <c r="L63" s="3227">
        <v>0.31106992192036487</v>
      </c>
      <c r="M63" s="3497">
        <v>-8.3793996879792207E-2</v>
      </c>
    </row>
    <row r="64" spans="2:13" ht="18" customHeight="1" x14ac:dyDescent="0.2">
      <c r="B64" s="104" t="s">
        <v>672</v>
      </c>
      <c r="C64" s="2508"/>
      <c r="D64" s="2108"/>
      <c r="E64" s="2108"/>
      <c r="F64" s="2108"/>
      <c r="G64" s="2108"/>
      <c r="H64" s="2108"/>
      <c r="I64" s="2108"/>
      <c r="J64" s="3103">
        <f>IF(SUM(J65:J76)=0,"NO",SUM(J65:J76))</f>
        <v>0.57247175932826966</v>
      </c>
      <c r="K64" s="3103">
        <f>IF(SUM(K65:K76)=0,"NO",SUM(K65:K76))</f>
        <v>347.24735466187229</v>
      </c>
      <c r="L64" s="3103">
        <f>IF(SUM(L65:L76)=0,"NO",SUM(L65:L76))</f>
        <v>41.79986521792285</v>
      </c>
      <c r="M64" s="3226">
        <f>IF(SUM(M65:M76)=0,"NO",SUM(M65:M76))</f>
        <v>-18.391033257366647</v>
      </c>
    </row>
    <row r="65" spans="2:13" ht="18" customHeight="1" x14ac:dyDescent="0.2">
      <c r="B65" s="2616" t="s">
        <v>559</v>
      </c>
      <c r="C65" s="2618" t="s">
        <v>559</v>
      </c>
      <c r="D65" s="3227">
        <v>2.733163012256647</v>
      </c>
      <c r="E65" s="3227">
        <v>55.35570334734907</v>
      </c>
      <c r="F65" s="3227">
        <v>1.0668145465362788</v>
      </c>
      <c r="G65" s="3103">
        <f>IF(SUM(D65)=0,"NA",J65/D65)</f>
        <v>3.5000000000000005E-3</v>
      </c>
      <c r="H65" s="3103">
        <f>IF(SUM(E65)=0,"NA",K65/E65)</f>
        <v>0.10482287922865399</v>
      </c>
      <c r="I65" s="3103">
        <f t="shared" si="3"/>
        <v>0.36666573510068828</v>
      </c>
      <c r="J65" s="3227">
        <v>9.5660705428982657E-3</v>
      </c>
      <c r="K65" s="3227">
        <v>5.8025442065963695</v>
      </c>
      <c r="L65" s="3227">
        <v>0.6984806723522583</v>
      </c>
      <c r="M65" s="3497">
        <v>-0.30731633243042622</v>
      </c>
    </row>
    <row r="66" spans="2:13" ht="18" customHeight="1" x14ac:dyDescent="0.2">
      <c r="B66" s="2616" t="s">
        <v>560</v>
      </c>
      <c r="C66" s="2618" t="s">
        <v>560</v>
      </c>
      <c r="D66" s="3227">
        <v>6.098353316642652</v>
      </c>
      <c r="E66" s="3227">
        <v>123.51207578528944</v>
      </c>
      <c r="F66" s="3227">
        <v>2.3803234563534472</v>
      </c>
      <c r="G66" s="3103">
        <f t="shared" ref="G66:G76" si="38">IF(SUM(D66)=0,"NA",J66/D66)</f>
        <v>3.5000000000000001E-3</v>
      </c>
      <c r="H66" s="3103">
        <f t="shared" ref="H66:H76" si="39">IF(SUM(E66)=0,"NA",K66/E66)</f>
        <v>0.10482287922865401</v>
      </c>
      <c r="I66" s="3103">
        <f t="shared" si="3"/>
        <v>0.36666573510068745</v>
      </c>
      <c r="J66" s="3227">
        <v>2.1344236608249283E-2</v>
      </c>
      <c r="K66" s="3227">
        <v>12.946891403321755</v>
      </c>
      <c r="L66" s="3227">
        <v>1.5584807440128632</v>
      </c>
      <c r="M66" s="3497">
        <v>-0.6856976941116173</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v>26.546765743797465</v>
      </c>
      <c r="E68" s="3227">
        <v>537.66090158373333</v>
      </c>
      <c r="F68" s="3227">
        <v>10.361795374799543</v>
      </c>
      <c r="G68" s="3103">
        <f t="shared" si="38"/>
        <v>3.5000000000000005E-3</v>
      </c>
      <c r="H68" s="3103">
        <f t="shared" si="39"/>
        <v>0.10482287922865398</v>
      </c>
      <c r="I68" s="3103">
        <f t="shared" si="3"/>
        <v>0.36666573510068778</v>
      </c>
      <c r="J68" s="3227">
        <v>9.2913680103291138E-2</v>
      </c>
      <c r="K68" s="3227">
        <v>56.359163752680892</v>
      </c>
      <c r="L68" s="3227">
        <v>6.7842286399873117</v>
      </c>
      <c r="M68" s="3497">
        <v>-2.9849133219235306</v>
      </c>
    </row>
    <row r="69" spans="2:13" ht="18" customHeight="1" x14ac:dyDescent="0.2">
      <c r="B69" s="2616" t="s">
        <v>564</v>
      </c>
      <c r="C69" s="2618" t="s">
        <v>564</v>
      </c>
      <c r="D69" s="3227">
        <v>4.9375479300459213E-2</v>
      </c>
      <c r="E69" s="3227">
        <v>1.0000187960002815</v>
      </c>
      <c r="F69" s="3227">
        <v>1.9272351968659167E-2</v>
      </c>
      <c r="G69" s="3103">
        <f t="shared" si="38"/>
        <v>3.5000000000000005E-3</v>
      </c>
      <c r="H69" s="3103">
        <f t="shared" si="39"/>
        <v>0.10482287922865399</v>
      </c>
      <c r="I69" s="3103">
        <f t="shared" si="3"/>
        <v>0.3666657351006879</v>
      </c>
      <c r="J69" s="3227">
        <v>1.7281417755160726E-4</v>
      </c>
      <c r="K69" s="3227">
        <v>0.10482484947952149</v>
      </c>
      <c r="L69" s="3227">
        <v>1.2618280660480888E-2</v>
      </c>
      <c r="M69" s="3497">
        <v>-5.5517695587732853E-3</v>
      </c>
    </row>
    <row r="70" spans="2:13" ht="18" customHeight="1" x14ac:dyDescent="0.2">
      <c r="B70" s="2616" t="s">
        <v>565</v>
      </c>
      <c r="C70" s="2618" t="s">
        <v>565</v>
      </c>
      <c r="D70" s="3227">
        <v>95.155087466532635</v>
      </c>
      <c r="E70" s="3227">
        <v>1927.2091602905907</v>
      </c>
      <c r="F70" s="3227">
        <v>37.141155149181706</v>
      </c>
      <c r="G70" s="3103">
        <f t="shared" si="38"/>
        <v>3.5000000000000001E-3</v>
      </c>
      <c r="H70" s="3103">
        <f t="shared" si="39"/>
        <v>0.10482287922865399</v>
      </c>
      <c r="I70" s="3103">
        <f t="shared" si="3"/>
        <v>0.3666657351006874</v>
      </c>
      <c r="J70" s="3227">
        <v>0.33304280613286424</v>
      </c>
      <c r="K70" s="3227">
        <v>202.01561305749627</v>
      </c>
      <c r="L70" s="3227">
        <v>24.317609002210702</v>
      </c>
      <c r="M70" s="3497">
        <v>-10.69922004694731</v>
      </c>
    </row>
    <row r="71" spans="2:13" ht="18" customHeight="1" x14ac:dyDescent="0.2">
      <c r="B71" s="2616" t="s">
        <v>567</v>
      </c>
      <c r="C71" s="2618" t="s">
        <v>567</v>
      </c>
      <c r="D71" s="3227">
        <v>25.143952531318888</v>
      </c>
      <c r="E71" s="3227">
        <v>509.24923652992044</v>
      </c>
      <c r="F71" s="3227">
        <v>9.8142460576039277</v>
      </c>
      <c r="G71" s="3103">
        <f t="shared" si="38"/>
        <v>3.4999999999999996E-3</v>
      </c>
      <c r="H71" s="3103">
        <f t="shared" si="39"/>
        <v>0.10482287922865399</v>
      </c>
      <c r="I71" s="3103">
        <f t="shared" si="3"/>
        <v>0.36666573510068717</v>
      </c>
      <c r="J71" s="3227">
        <v>8.8003833859616104E-2</v>
      </c>
      <c r="K71" s="3227">
        <v>53.380971218060104</v>
      </c>
      <c r="L71" s="3227">
        <v>6.4257290146657766</v>
      </c>
      <c r="M71" s="3497">
        <v>-2.8271812694954117</v>
      </c>
    </row>
    <row r="72" spans="2:13" ht="18" customHeight="1" x14ac:dyDescent="0.2">
      <c r="B72" s="2616" t="s">
        <v>569</v>
      </c>
      <c r="C72" s="2618" t="s">
        <v>569</v>
      </c>
      <c r="D72" s="3227">
        <v>2.6734650578437225</v>
      </c>
      <c r="E72" s="3227">
        <v>54.146619864180991</v>
      </c>
      <c r="F72" s="3227">
        <v>1.0435131020631281</v>
      </c>
      <c r="G72" s="3103">
        <f t="shared" si="38"/>
        <v>3.4999999999999996E-3</v>
      </c>
      <c r="H72" s="3103">
        <f t="shared" si="39"/>
        <v>0.10482287922865399</v>
      </c>
      <c r="I72" s="3103">
        <f t="shared" si="3"/>
        <v>0.36666573510068795</v>
      </c>
      <c r="J72" s="3227">
        <v>9.3571277024530278E-3</v>
      </c>
      <c r="K72" s="3227">
        <v>5.675804594662881</v>
      </c>
      <c r="L72" s="3227">
        <v>0.68322440437650833</v>
      </c>
      <c r="M72" s="3497">
        <v>-0.30060390572133228</v>
      </c>
    </row>
    <row r="73" spans="2:13" ht="18" customHeight="1" x14ac:dyDescent="0.2">
      <c r="B73" s="2616" t="s">
        <v>571</v>
      </c>
      <c r="C73" s="2618" t="s">
        <v>571</v>
      </c>
      <c r="D73" s="3227">
        <v>1.0256563440422133</v>
      </c>
      <c r="E73" s="3227">
        <v>20.772975509517849</v>
      </c>
      <c r="F73" s="3227">
        <v>0.40033657072946882</v>
      </c>
      <c r="G73" s="3103">
        <f t="shared" si="38"/>
        <v>3.5000000000000005E-3</v>
      </c>
      <c r="H73" s="3103">
        <f t="shared" si="39"/>
        <v>0.10482287922865399</v>
      </c>
      <c r="I73" s="3103">
        <f t="shared" si="3"/>
        <v>0.36666573510068751</v>
      </c>
      <c r="J73" s="3227">
        <v>3.5897972041477469E-3</v>
      </c>
      <c r="K73" s="3227">
        <v>2.1774831030539765</v>
      </c>
      <c r="L73" s="3227">
        <v>0.26211430843177697</v>
      </c>
      <c r="M73" s="3497">
        <v>-0.11532460543756788</v>
      </c>
    </row>
    <row r="74" spans="2:13" ht="18" customHeight="1" x14ac:dyDescent="0.2">
      <c r="B74" s="2616" t="s">
        <v>574</v>
      </c>
      <c r="C74" s="2618" t="s">
        <v>574</v>
      </c>
      <c r="D74" s="3227">
        <v>0.32735964474991208</v>
      </c>
      <c r="E74" s="3227">
        <v>6.6301290122127945</v>
      </c>
      <c r="F74" s="3227">
        <v>0.12777577824741962</v>
      </c>
      <c r="G74" s="3103">
        <f t="shared" si="38"/>
        <v>3.5000000000000001E-3</v>
      </c>
      <c r="H74" s="3103">
        <f t="shared" si="39"/>
        <v>0.10482287922865401</v>
      </c>
      <c r="I74" s="3103">
        <f t="shared" si="3"/>
        <v>0.36666573510068623</v>
      </c>
      <c r="J74" s="3227">
        <v>1.1457587566246923E-3</v>
      </c>
      <c r="K74" s="3227">
        <v>0.69498921271757685</v>
      </c>
      <c r="L74" s="3227">
        <v>8.3659256231894075E-2</v>
      </c>
      <c r="M74" s="3497">
        <v>-3.6808256572741685E-2</v>
      </c>
    </row>
    <row r="75" spans="2:13" ht="18" customHeight="1" x14ac:dyDescent="0.2">
      <c r="B75" s="2616" t="s">
        <v>576</v>
      </c>
      <c r="C75" s="2618" t="s">
        <v>576</v>
      </c>
      <c r="D75" s="3227">
        <v>2.0170198345092096</v>
      </c>
      <c r="E75" s="3227">
        <v>40.851405900090718</v>
      </c>
      <c r="F75" s="3227">
        <v>0.78728787505798692</v>
      </c>
      <c r="G75" s="3103">
        <f t="shared" si="38"/>
        <v>3.4999999999999996E-3</v>
      </c>
      <c r="H75" s="3103">
        <f t="shared" si="39"/>
        <v>0.10482287922865401</v>
      </c>
      <c r="I75" s="3103">
        <f t="shared" si="3"/>
        <v>0.36666573510068673</v>
      </c>
      <c r="J75" s="3227">
        <v>7.0595694207822328E-3</v>
      </c>
      <c r="K75" s="3227">
        <v>4.2821619869859333</v>
      </c>
      <c r="L75" s="3227">
        <v>0.5154648163457356</v>
      </c>
      <c r="M75" s="3497">
        <v>-0.22679332890174117</v>
      </c>
    </row>
    <row r="76" spans="2:13" ht="18" customHeight="1" x14ac:dyDescent="0.2">
      <c r="B76" s="2616" t="s">
        <v>577</v>
      </c>
      <c r="C76" s="2618" t="s">
        <v>577</v>
      </c>
      <c r="D76" s="3227">
        <v>1.7931613770832566</v>
      </c>
      <c r="E76" s="3227">
        <v>36.317522518274124</v>
      </c>
      <c r="F76" s="3227">
        <v>0.69991092107601438</v>
      </c>
      <c r="G76" s="3103">
        <f t="shared" si="38"/>
        <v>3.5000000000000001E-3</v>
      </c>
      <c r="H76" s="3103">
        <f t="shared" si="39"/>
        <v>0.10482287922865398</v>
      </c>
      <c r="I76" s="3103">
        <f t="shared" si="3"/>
        <v>0.36666573510068723</v>
      </c>
      <c r="J76" s="3227">
        <v>6.2760648197913984E-3</v>
      </c>
      <c r="K76" s="3227">
        <v>3.8069072768169701</v>
      </c>
      <c r="L76" s="3227">
        <v>0.45825607864753382</v>
      </c>
      <c r="M76" s="3497">
        <v>-0.20162272626619793</v>
      </c>
    </row>
    <row r="77" spans="2:13" ht="18" customHeight="1" x14ac:dyDescent="0.2">
      <c r="B77" s="104" t="s">
        <v>673</v>
      </c>
      <c r="C77" s="2508"/>
      <c r="D77" s="2108"/>
      <c r="E77" s="2108"/>
      <c r="F77" s="2108"/>
      <c r="G77" s="2108"/>
      <c r="H77" s="2108"/>
      <c r="I77" s="2108"/>
      <c r="J77" s="3103">
        <f>IF(SUM(J78:J89)=0,"NO",SUM(J78:J89))</f>
        <v>1.1298946809691588</v>
      </c>
      <c r="K77" s="3103">
        <f>IF(SUM(K78:K89)=0,"NO",SUM(K78:K89))</f>
        <v>265.65805988111953</v>
      </c>
      <c r="L77" s="3103">
        <f>IF(SUM(L78:L89)=0,"NO",SUM(L78:L89))</f>
        <v>239.2364868208256</v>
      </c>
      <c r="M77" s="3226">
        <f>IF(SUM(M78:M89)=0,"NO",SUM(M78:M89))</f>
        <v>-107.7551546151274</v>
      </c>
    </row>
    <row r="78" spans="2:13" ht="18" customHeight="1" x14ac:dyDescent="0.2">
      <c r="B78" s="2616" t="s">
        <v>559</v>
      </c>
      <c r="C78" s="2618" t="s">
        <v>559</v>
      </c>
      <c r="D78" s="3227">
        <v>2.0517743991800481</v>
      </c>
      <c r="E78" s="3227">
        <v>111.30281448668293</v>
      </c>
      <c r="F78" s="3227">
        <v>2.9496852229362522</v>
      </c>
      <c r="G78" s="3103">
        <f>IF(SUM(D78)=0,"NA",J78/D78)</f>
        <v>9.2021195130611889E-3</v>
      </c>
      <c r="H78" s="3103">
        <f>IF(SUM(E78)=0,"NA",K78/E78)</f>
        <v>3.9883784601643865E-2</v>
      </c>
      <c r="I78" s="3103">
        <f t="shared" si="3"/>
        <v>0.74484847883500571</v>
      </c>
      <c r="J78" s="3227">
        <v>1.8880673235094118E-2</v>
      </c>
      <c r="K78" s="3227">
        <v>4.4391774785435887</v>
      </c>
      <c r="L78" s="3227">
        <v>2.568953619251336</v>
      </c>
      <c r="M78" s="3497">
        <v>-0.37188506790517395</v>
      </c>
    </row>
    <row r="79" spans="2:13" ht="18" customHeight="1" x14ac:dyDescent="0.2">
      <c r="B79" s="2616" t="s">
        <v>560</v>
      </c>
      <c r="C79" s="2618" t="s">
        <v>560</v>
      </c>
      <c r="D79" s="3227">
        <v>4.5780091257385989</v>
      </c>
      <c r="E79" s="3227">
        <v>248.34372660271751</v>
      </c>
      <c r="F79" s="3227">
        <v>6.5814671798492776</v>
      </c>
      <c r="G79" s="3103">
        <f t="shared" ref="G79:G89" si="40">IF(SUM(D79)=0,"NA",J79/D79)</f>
        <v>9.2021195130611889E-3</v>
      </c>
      <c r="H79" s="3103">
        <f t="shared" ref="H79:H89" si="41">IF(SUM(E79)=0,"NA",K79/E79)</f>
        <v>3.9883784601643858E-2</v>
      </c>
      <c r="I79" s="3103">
        <f t="shared" ref="I79:I89" si="42">IF(SUM(F79)=0,"NA",(SUM(L79:M79))/F79)</f>
        <v>0.74484847883500482</v>
      </c>
      <c r="J79" s="3227">
        <v>4.2127387106931355E-2</v>
      </c>
      <c r="K79" s="3227">
        <v>9.9048876989923169</v>
      </c>
      <c r="L79" s="3227">
        <v>80.216809992605619</v>
      </c>
      <c r="M79" s="3497">
        <v>-75.314614175192375</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v>19.928549482740813</v>
      </c>
      <c r="E81" s="3227">
        <v>1081.0660504159737</v>
      </c>
      <c r="F81" s="3227">
        <v>28.64981059676246</v>
      </c>
      <c r="G81" s="3103">
        <f t="shared" si="40"/>
        <v>9.2021195130611889E-3</v>
      </c>
      <c r="H81" s="3103">
        <f t="shared" si="41"/>
        <v>3.9883784601643858E-2</v>
      </c>
      <c r="I81" s="3103">
        <f t="shared" si="42"/>
        <v>0.7448484788350056</v>
      </c>
      <c r="J81" s="3227">
        <v>0.18338489406213471</v>
      </c>
      <c r="K81" s="3227">
        <v>43.117005494940557</v>
      </c>
      <c r="L81" s="3227">
        <v>24.951826741076232</v>
      </c>
      <c r="M81" s="3497">
        <v>-3.6120588991666924</v>
      </c>
    </row>
    <row r="82" spans="2:13" ht="18" customHeight="1" x14ac:dyDescent="0.2">
      <c r="B82" s="2616" t="s">
        <v>564</v>
      </c>
      <c r="C82" s="2618" t="s">
        <v>564</v>
      </c>
      <c r="D82" s="3227">
        <v>3.7065972253254587E-2</v>
      </c>
      <c r="E82" s="3227">
        <v>2.010721566231271</v>
      </c>
      <c r="F82" s="3227">
        <v>5.3287023501649593E-2</v>
      </c>
      <c r="G82" s="3103">
        <f t="shared" si="40"/>
        <v>9.2021195130611872E-3</v>
      </c>
      <c r="H82" s="3103">
        <f t="shared" si="41"/>
        <v>3.9883784601643872E-2</v>
      </c>
      <c r="I82" s="3103">
        <f t="shared" si="42"/>
        <v>0.7448484788350056</v>
      </c>
      <c r="J82" s="3227">
        <v>3.4108550654225858E-4</v>
      </c>
      <c r="K82" s="3227">
        <v>8.0195185841448011E-2</v>
      </c>
      <c r="L82" s="3227">
        <v>8.0323376602455934E-2</v>
      </c>
      <c r="M82" s="3497">
        <v>-4.0632618205607041E-2</v>
      </c>
    </row>
    <row r="83" spans="2:13" ht="18" customHeight="1" x14ac:dyDescent="0.2">
      <c r="B83" s="2616" t="s">
        <v>565</v>
      </c>
      <c r="C83" s="2618" t="s">
        <v>565</v>
      </c>
      <c r="D83" s="3227">
        <v>71.432538615533176</v>
      </c>
      <c r="E83" s="3227">
        <v>3875.0081865797833</v>
      </c>
      <c r="F83" s="3227">
        <v>102.69330959352304</v>
      </c>
      <c r="G83" s="3103">
        <f t="shared" si="40"/>
        <v>9.2021195130611872E-3</v>
      </c>
      <c r="H83" s="3103">
        <f t="shared" si="41"/>
        <v>3.9883784601643865E-2</v>
      </c>
      <c r="I83" s="3103">
        <f t="shared" si="42"/>
        <v>0.74484847883500593</v>
      </c>
      <c r="J83" s="3227">
        <v>0.65733075746149461</v>
      </c>
      <c r="K83" s="3227">
        <v>154.54999184315469</v>
      </c>
      <c r="L83" s="3227">
        <v>94.538136415982081</v>
      </c>
      <c r="M83" s="3497">
        <v>-18.04718097871412</v>
      </c>
    </row>
    <row r="84" spans="2:13" ht="18" customHeight="1" x14ac:dyDescent="0.2">
      <c r="B84" s="2616" t="s">
        <v>567</v>
      </c>
      <c r="C84" s="2618" t="s">
        <v>567</v>
      </c>
      <c r="D84" s="3227">
        <v>18.875463287995839</v>
      </c>
      <c r="E84" s="3227">
        <v>1023.9391765164706</v>
      </c>
      <c r="F84" s="3227">
        <v>27.135865989422204</v>
      </c>
      <c r="G84" s="3103">
        <f t="shared" si="40"/>
        <v>9.2021195130611872E-3</v>
      </c>
      <c r="H84" s="3103">
        <f t="shared" si="41"/>
        <v>3.9883784601643858E-2</v>
      </c>
      <c r="I84" s="3103">
        <f t="shared" si="42"/>
        <v>0.74484847883500593</v>
      </c>
      <c r="J84" s="3227">
        <v>0.17369426904053659</v>
      </c>
      <c r="K84" s="3227">
        <v>40.838569561367507</v>
      </c>
      <c r="L84" s="3227">
        <v>29.384633211436949</v>
      </c>
      <c r="M84" s="3497">
        <v>-9.1725247073452465</v>
      </c>
    </row>
    <row r="85" spans="2:13" ht="18" customHeight="1" x14ac:dyDescent="0.2">
      <c r="B85" s="2616" t="s">
        <v>569</v>
      </c>
      <c r="C85" s="2618" t="s">
        <v>569</v>
      </c>
      <c r="D85" s="3227" t="s">
        <v>2146</v>
      </c>
      <c r="E85" s="3227">
        <v>105.39832223449531</v>
      </c>
      <c r="F85" s="3227">
        <v>2.8513435805006573</v>
      </c>
      <c r="G85" s="3103" t="str">
        <f t="shared" si="40"/>
        <v>NA</v>
      </c>
      <c r="H85" s="3103">
        <f t="shared" si="41"/>
        <v>4.1198156994648627E-2</v>
      </c>
      <c r="I85" s="3103">
        <f t="shared" si="42"/>
        <v>0.75370784062064844</v>
      </c>
      <c r="J85" s="3227">
        <v>1.8468280134126693E-2</v>
      </c>
      <c r="K85" s="3227">
        <v>4.3422166263893027</v>
      </c>
      <c r="L85" s="3227">
        <v>2.538429359008378</v>
      </c>
      <c r="M85" s="3497">
        <v>-0.38934934608167965</v>
      </c>
    </row>
    <row r="86" spans="2:13" ht="18" customHeight="1" x14ac:dyDescent="0.2">
      <c r="B86" s="2616" t="s">
        <v>571</v>
      </c>
      <c r="C86" s="2618" t="s">
        <v>571</v>
      </c>
      <c r="D86" s="3227">
        <v>0.76995606175897202</v>
      </c>
      <c r="E86" s="3227">
        <v>41.767884782607446</v>
      </c>
      <c r="F86" s="3227">
        <v>1.1069092287086946</v>
      </c>
      <c r="G86" s="3103">
        <f t="shared" si="40"/>
        <v>9.2021195130611889E-3</v>
      </c>
      <c r="H86" s="3103">
        <f t="shared" si="41"/>
        <v>3.9883784601643851E-2</v>
      </c>
      <c r="I86" s="3103">
        <f t="shared" si="42"/>
        <v>0.74484847883500616</v>
      </c>
      <c r="J86" s="3227">
        <v>7.0852277001119818E-3</v>
      </c>
      <c r="K86" s="3227">
        <v>1.6658613199357934</v>
      </c>
      <c r="L86" s="3227">
        <v>0.98152150767832191</v>
      </c>
      <c r="M86" s="3497">
        <v>-0.15704185246622082</v>
      </c>
    </row>
    <row r="87" spans="2:13" ht="18" customHeight="1" x14ac:dyDescent="0.2">
      <c r="B87" s="2616" t="s">
        <v>574</v>
      </c>
      <c r="C87" s="2618" t="s">
        <v>574</v>
      </c>
      <c r="D87" s="3227">
        <v>0.24574755893099082</v>
      </c>
      <c r="E87" s="3227">
        <v>13.331092820527495</v>
      </c>
      <c r="F87" s="3227">
        <v>0.35329319999366543</v>
      </c>
      <c r="G87" s="3103">
        <f t="shared" si="40"/>
        <v>9.2021195130611889E-3</v>
      </c>
      <c r="H87" s="3103">
        <f t="shared" si="41"/>
        <v>3.9883784601643865E-2</v>
      </c>
      <c r="I87" s="3103">
        <f t="shared" si="42"/>
        <v>0.74484847883500638</v>
      </c>
      <c r="J87" s="3227">
        <v>2.2613984073260249E-3</v>
      </c>
      <c r="K87" s="3227">
        <v>0.53169443455843957</v>
      </c>
      <c r="L87" s="3227">
        <v>0.37184115911107907</v>
      </c>
      <c r="M87" s="3497">
        <v>-0.1086912565130457</v>
      </c>
    </row>
    <row r="88" spans="2:13" ht="18" customHeight="1" x14ac:dyDescent="0.2">
      <c r="B88" s="2616" t="s">
        <v>576</v>
      </c>
      <c r="C88" s="2618" t="s">
        <v>576</v>
      </c>
      <c r="D88" s="3227" t="s">
        <v>2146</v>
      </c>
      <c r="E88" s="3227">
        <v>79.518715177236885</v>
      </c>
      <c r="F88" s="3227">
        <v>2.15122189085537</v>
      </c>
      <c r="G88" s="3103" t="str">
        <f t="shared" si="40"/>
        <v>NA</v>
      </c>
      <c r="H88" s="3103">
        <f t="shared" si="41"/>
        <v>4.1198156994648627E-2</v>
      </c>
      <c r="I88" s="3103">
        <f t="shared" si="42"/>
        <v>0.75370784062064877</v>
      </c>
      <c r="J88" s="3227">
        <v>1.3933560579187286E-2</v>
      </c>
      <c r="K88" s="3227">
        <v>3.2760245118845535</v>
      </c>
      <c r="L88" s="3227">
        <v>1.9185838258516901</v>
      </c>
      <c r="M88" s="3497">
        <v>-0.29719101979922019</v>
      </c>
    </row>
    <row r="89" spans="2:13" ht="18" customHeight="1" x14ac:dyDescent="0.2">
      <c r="B89" s="2616" t="s">
        <v>577</v>
      </c>
      <c r="C89" s="2618" t="s">
        <v>577</v>
      </c>
      <c r="D89" s="3227" t="s">
        <v>2146</v>
      </c>
      <c r="E89" s="3227">
        <v>70.693349847896258</v>
      </c>
      <c r="F89" s="3227">
        <v>1.9124690507351825</v>
      </c>
      <c r="G89" s="3103" t="str">
        <f t="shared" si="40"/>
        <v>NA</v>
      </c>
      <c r="H89" s="3103">
        <f t="shared" si="41"/>
        <v>4.119815699464862E-2</v>
      </c>
      <c r="I89" s="3103">
        <f t="shared" si="42"/>
        <v>0.75370784062064899</v>
      </c>
      <c r="J89" s="3227">
        <v>1.2387147735673084E-2</v>
      </c>
      <c r="K89" s="3227">
        <v>2.9124357255112492</v>
      </c>
      <c r="L89" s="3227">
        <v>1.685427612221464</v>
      </c>
      <c r="M89" s="3497">
        <v>-0.24398469373802728</v>
      </c>
    </row>
    <row r="90" spans="2:13" ht="18" customHeight="1" x14ac:dyDescent="0.2">
      <c r="B90" s="88" t="s">
        <v>475</v>
      </c>
      <c r="C90" s="2508" t="s">
        <v>623</v>
      </c>
      <c r="D90" s="2108"/>
      <c r="E90" s="2108"/>
      <c r="F90" s="2108"/>
      <c r="G90" s="2108"/>
      <c r="H90" s="2108"/>
      <c r="I90" s="2108"/>
      <c r="J90" s="3103">
        <f>IF(SUM(J91,J104)=0,"NO",SUM(J91,J104))</f>
        <v>21.559250778238457</v>
      </c>
      <c r="K90" s="3103">
        <f t="shared" ref="K90:M90" si="43">IF(SUM(K91,K104)=0,"NO",SUM(K91,K104))</f>
        <v>2.0875446841264664</v>
      </c>
      <c r="L90" s="3103">
        <f t="shared" si="43"/>
        <v>1.017932345697812</v>
      </c>
      <c r="M90" s="3226" t="str">
        <f t="shared" si="43"/>
        <v>NO</v>
      </c>
    </row>
    <row r="91" spans="2:13" ht="18" customHeight="1" x14ac:dyDescent="0.2">
      <c r="B91" s="104" t="s">
        <v>674</v>
      </c>
      <c r="C91" s="2508"/>
      <c r="D91" s="2108"/>
      <c r="E91" s="2108"/>
      <c r="F91" s="2108"/>
      <c r="G91" s="2108"/>
      <c r="H91" s="2108"/>
      <c r="I91" s="2108"/>
      <c r="J91" s="3103">
        <f>IF(SUM(J92:J103)=0,"NO",SUM(J92:J103))</f>
        <v>21.559250778238457</v>
      </c>
      <c r="K91" s="3103">
        <f>IF(SUM(K92:K103)=0,"NO",SUM(K92:K103))</f>
        <v>2.0875446841264664</v>
      </c>
      <c r="L91" s="3103">
        <f>IF(SUM(L92:L103)=0,"NO",SUM(L92:L103))</f>
        <v>1.017932345697812</v>
      </c>
      <c r="M91" s="3226" t="str">
        <f>IF(SUM(M92:M103)=0,"NO",SUM(M92:M103))</f>
        <v>NO</v>
      </c>
    </row>
    <row r="92" spans="2:13" ht="18" customHeight="1" x14ac:dyDescent="0.2">
      <c r="B92" s="2616" t="s">
        <v>559</v>
      </c>
      <c r="C92" s="2618" t="s">
        <v>559</v>
      </c>
      <c r="D92" s="3227">
        <v>0.60042936743482145</v>
      </c>
      <c r="E92" s="3227">
        <v>1.4384249589483264</v>
      </c>
      <c r="F92" s="3227">
        <v>1.7009769422109466E-2</v>
      </c>
      <c r="G92" s="3103">
        <f>IF(SUM(D92)=0,"NA",J92/D92)</f>
        <v>0.6</v>
      </c>
      <c r="H92" s="3103">
        <f>IF(SUM(E92)=0,"NA",K92/E92)</f>
        <v>2.4250912356819674E-2</v>
      </c>
      <c r="I92" s="3103">
        <f t="shared" ref="I92:I103" si="44">IF(SUM(F92)=0,"NA",(SUM(L92:M92))/F92)</f>
        <v>0.99999999999999345</v>
      </c>
      <c r="J92" s="3227">
        <v>0.36025762046089288</v>
      </c>
      <c r="K92" s="3227">
        <v>3.48831176113178E-2</v>
      </c>
      <c r="L92" s="3227">
        <v>1.7009769422109355E-2</v>
      </c>
      <c r="M92" s="3497" t="s">
        <v>2146</v>
      </c>
    </row>
    <row r="93" spans="2:13" ht="18" customHeight="1" x14ac:dyDescent="0.2">
      <c r="B93" s="2616" t="s">
        <v>560</v>
      </c>
      <c r="C93" s="2618" t="s">
        <v>560</v>
      </c>
      <c r="D93" s="3227">
        <v>1.3397043673888125</v>
      </c>
      <c r="E93" s="3227">
        <v>3.209476924649818</v>
      </c>
      <c r="F93" s="3227">
        <v>3.7952944374511209E-2</v>
      </c>
      <c r="G93" s="3103">
        <f t="shared" ref="G93:G103" si="45">IF(SUM(D93)=0,"NA",J93/D93)</f>
        <v>0.6</v>
      </c>
      <c r="H93" s="3103">
        <f t="shared" ref="H93:H103" si="46">IF(SUM(E93)=0,"NA",K93/E93)</f>
        <v>2.4250912356819671E-2</v>
      </c>
      <c r="I93" s="3103">
        <f t="shared" si="44"/>
        <v>1.0000000000000009</v>
      </c>
      <c r="J93" s="3227">
        <v>0.80382262043328745</v>
      </c>
      <c r="K93" s="3227">
        <v>7.7832743610917868E-2</v>
      </c>
      <c r="L93" s="3227">
        <v>3.7952944374511244E-2</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v>5.8318723367429977</v>
      </c>
      <c r="E95" s="3227">
        <v>13.971186590039746</v>
      </c>
      <c r="F95" s="3227">
        <v>0.16521311102915939</v>
      </c>
      <c r="G95" s="3103">
        <f t="shared" si="45"/>
        <v>0.59999999999999987</v>
      </c>
      <c r="H95" s="3103">
        <f t="shared" si="46"/>
        <v>2.4250912356819677E-2</v>
      </c>
      <c r="I95" s="3103">
        <f t="shared" si="44"/>
        <v>0.99999999999999911</v>
      </c>
      <c r="J95" s="3227">
        <v>3.499123402045798</v>
      </c>
      <c r="K95" s="3227">
        <v>0.33881402151582823</v>
      </c>
      <c r="L95" s="3227">
        <v>0.16521311102915925</v>
      </c>
      <c r="M95" s="3497" t="s">
        <v>2146</v>
      </c>
    </row>
    <row r="96" spans="2:13" ht="18" customHeight="1" x14ac:dyDescent="0.2">
      <c r="B96" s="2616" t="s">
        <v>564</v>
      </c>
      <c r="C96" s="2618" t="s">
        <v>564</v>
      </c>
      <c r="D96" s="3227">
        <v>1.0846951927206165E-2</v>
      </c>
      <c r="E96" s="3227">
        <v>2.598561500624751E-2</v>
      </c>
      <c r="F96" s="3227">
        <v>3.0728702029137719E-4</v>
      </c>
      <c r="G96" s="3103">
        <f t="shared" si="45"/>
        <v>0.59999999999999987</v>
      </c>
      <c r="H96" s="3103">
        <f t="shared" si="46"/>
        <v>2.4250912356819677E-2</v>
      </c>
      <c r="I96" s="3103">
        <f t="shared" si="44"/>
        <v>0.99999999999999634</v>
      </c>
      <c r="J96" s="3227">
        <v>6.508171156323698E-3</v>
      </c>
      <c r="K96" s="3227">
        <v>6.3017487205456653E-4</v>
      </c>
      <c r="L96" s="3227">
        <v>3.0728702029137606E-4</v>
      </c>
      <c r="M96" s="3497" t="s">
        <v>2146</v>
      </c>
    </row>
    <row r="97" spans="2:13" ht="18" customHeight="1" x14ac:dyDescent="0.2">
      <c r="B97" s="2616" t="s">
        <v>565</v>
      </c>
      <c r="C97" s="2618" t="s">
        <v>565</v>
      </c>
      <c r="D97" s="3227">
        <v>20.903952204651873</v>
      </c>
      <c r="E97" s="3227">
        <v>50.078773995174721</v>
      </c>
      <c r="F97" s="3227">
        <v>0.59219522944224334</v>
      </c>
      <c r="G97" s="3103">
        <f t="shared" si="45"/>
        <v>0.60000000000000009</v>
      </c>
      <c r="H97" s="3103">
        <f t="shared" si="46"/>
        <v>2.4250912356819677E-2</v>
      </c>
      <c r="I97" s="3103">
        <f t="shared" si="44"/>
        <v>0.99999999999999678</v>
      </c>
      <c r="J97" s="3227">
        <v>12.542371322791125</v>
      </c>
      <c r="K97" s="3227">
        <v>1.2144559590939625</v>
      </c>
      <c r="L97" s="3227">
        <v>0.59219522944224146</v>
      </c>
      <c r="M97" s="3497" t="s">
        <v>2146</v>
      </c>
    </row>
    <row r="98" spans="2:13" ht="18" customHeight="1" x14ac:dyDescent="0.2">
      <c r="B98" s="2616" t="s">
        <v>567</v>
      </c>
      <c r="C98" s="2618" t="s">
        <v>567</v>
      </c>
      <c r="D98" s="3227">
        <v>5.5236981641742391</v>
      </c>
      <c r="E98" s="3227">
        <v>13.232905876989399</v>
      </c>
      <c r="F98" s="3227">
        <v>0.1564827392293274</v>
      </c>
      <c r="G98" s="3103">
        <f t="shared" si="45"/>
        <v>0.60000000000000009</v>
      </c>
      <c r="H98" s="3103">
        <f t="shared" si="46"/>
        <v>2.4250912356819677E-2</v>
      </c>
      <c r="I98" s="3103">
        <f t="shared" si="44"/>
        <v>0.99999999999998956</v>
      </c>
      <c r="J98" s="3227">
        <v>3.314218898504544</v>
      </c>
      <c r="K98" s="3227">
        <v>0.32091004064891393</v>
      </c>
      <c r="L98" s="3227">
        <v>0.15648273922932576</v>
      </c>
      <c r="M98" s="3497" t="s">
        <v>2146</v>
      </c>
    </row>
    <row r="99" spans="2:13" ht="18" customHeight="1" x14ac:dyDescent="0.2">
      <c r="B99" s="2616" t="s">
        <v>569</v>
      </c>
      <c r="C99" s="2618" t="s">
        <v>569</v>
      </c>
      <c r="D99" s="3227">
        <v>0.58731474351939306</v>
      </c>
      <c r="E99" s="3227">
        <v>1.4070067715805663</v>
      </c>
      <c r="F99" s="3227">
        <v>1.6638240744536351E-2</v>
      </c>
      <c r="G99" s="3103">
        <f t="shared" si="45"/>
        <v>0.6</v>
      </c>
      <c r="H99" s="3103">
        <f t="shared" si="46"/>
        <v>2.4250912356819674E-2</v>
      </c>
      <c r="I99" s="3103">
        <f t="shared" si="44"/>
        <v>0.99999999999999645</v>
      </c>
      <c r="J99" s="3227">
        <v>0.35238884611163579</v>
      </c>
      <c r="K99" s="3227">
        <v>3.4121197903052111E-2</v>
      </c>
      <c r="L99" s="3227">
        <v>1.6638240744536292E-2</v>
      </c>
      <c r="M99" s="3497" t="s">
        <v>2146</v>
      </c>
    </row>
    <row r="100" spans="2:13" ht="18" customHeight="1" x14ac:dyDescent="0.2">
      <c r="B100" s="2616" t="s">
        <v>571</v>
      </c>
      <c r="C100" s="2618" t="s">
        <v>571</v>
      </c>
      <c r="D100" s="3227">
        <v>0.22531923163642981</v>
      </c>
      <c r="E100" s="3227">
        <v>0.53978839826165337</v>
      </c>
      <c r="F100" s="3227">
        <v>6.3831457692958161E-3</v>
      </c>
      <c r="G100" s="3103">
        <f t="shared" si="45"/>
        <v>0.60000000000000009</v>
      </c>
      <c r="H100" s="3103">
        <f t="shared" si="46"/>
        <v>2.4250912356819674E-2</v>
      </c>
      <c r="I100" s="3103">
        <f t="shared" si="44"/>
        <v>0.99999999999999323</v>
      </c>
      <c r="J100" s="3227">
        <v>0.1351915389818579</v>
      </c>
      <c r="K100" s="3227">
        <v>1.3090361137471428E-2</v>
      </c>
      <c r="L100" s="3227">
        <v>6.3831457692957727E-3</v>
      </c>
      <c r="M100" s="3497" t="s">
        <v>2146</v>
      </c>
    </row>
    <row r="101" spans="2:13" ht="18" customHeight="1" x14ac:dyDescent="0.2">
      <c r="B101" s="2616" t="s">
        <v>574</v>
      </c>
      <c r="C101" s="2618" t="s">
        <v>574</v>
      </c>
      <c r="D101" s="3227">
        <v>7.1915338945916008E-2</v>
      </c>
      <c r="E101" s="3227">
        <v>0.17228474168906049</v>
      </c>
      <c r="F101" s="3227">
        <v>2.0373142949502202E-3</v>
      </c>
      <c r="G101" s="3103">
        <f t="shared" si="45"/>
        <v>0.6</v>
      </c>
      <c r="H101" s="3103">
        <f t="shared" si="46"/>
        <v>2.4250912356819677E-2</v>
      </c>
      <c r="I101" s="3103">
        <f t="shared" si="44"/>
        <v>0.99999999999999767</v>
      </c>
      <c r="J101" s="3227">
        <v>4.3149203367549606E-2</v>
      </c>
      <c r="K101" s="3227">
        <v>4.1780621711187231E-3</v>
      </c>
      <c r="L101" s="3227">
        <v>2.0373142949502154E-3</v>
      </c>
      <c r="M101" s="3497" t="s">
        <v>2146</v>
      </c>
    </row>
    <row r="102" spans="2:13" ht="18" customHeight="1" x14ac:dyDescent="0.2">
      <c r="B102" s="2616" t="s">
        <v>576</v>
      </c>
      <c r="C102" s="2618" t="s">
        <v>576</v>
      </c>
      <c r="D102" s="3227">
        <v>0.44310490735710689</v>
      </c>
      <c r="E102" s="3227">
        <v>1.0615289536851933</v>
      </c>
      <c r="F102" s="3227">
        <v>1.2552870849988433E-2</v>
      </c>
      <c r="G102" s="3103">
        <f t="shared" si="45"/>
        <v>0.6</v>
      </c>
      <c r="H102" s="3103">
        <f t="shared" si="46"/>
        <v>2.4250912356819674E-2</v>
      </c>
      <c r="I102" s="3103">
        <f t="shared" si="44"/>
        <v>1.0000000000000024</v>
      </c>
      <c r="J102" s="3227">
        <v>0.26586294441426411</v>
      </c>
      <c r="K102" s="3227">
        <v>2.5743045620046114E-2</v>
      </c>
      <c r="L102" s="3227">
        <v>1.2552870849988462E-2</v>
      </c>
      <c r="M102" s="3497" t="s">
        <v>2146</v>
      </c>
    </row>
    <row r="103" spans="2:13" ht="18" customHeight="1" x14ac:dyDescent="0.2">
      <c r="B103" s="2616" t="s">
        <v>577</v>
      </c>
      <c r="C103" s="2618" t="s">
        <v>577</v>
      </c>
      <c r="D103" s="3227">
        <v>0.3939270166186315</v>
      </c>
      <c r="E103" s="3227">
        <v>0.94371542006529463</v>
      </c>
      <c r="F103" s="3227">
        <v>1.1159693521402879E-2</v>
      </c>
      <c r="G103" s="3103">
        <f t="shared" si="45"/>
        <v>0.6</v>
      </c>
      <c r="H103" s="3103">
        <f t="shared" si="46"/>
        <v>2.4250912356819677E-2</v>
      </c>
      <c r="I103" s="3103">
        <f t="shared" si="44"/>
        <v>0.99999999999999611</v>
      </c>
      <c r="J103" s="3227">
        <v>0.2363562099711789</v>
      </c>
      <c r="K103" s="3227">
        <v>2.2885959941782726E-2</v>
      </c>
      <c r="L103" s="3227">
        <v>1.1159693521402836E-2</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IE</v>
      </c>
      <c r="E112" s="3227" t="str">
        <f t="shared" si="47"/>
        <v>IE</v>
      </c>
      <c r="F112" s="2108"/>
      <c r="G112" s="3103" t="str">
        <f t="shared" si="48"/>
        <v>NA</v>
      </c>
      <c r="H112" s="3103" t="str">
        <f t="shared" si="49"/>
        <v>NA</v>
      </c>
      <c r="I112" s="2108"/>
      <c r="J112" s="3227" t="str">
        <f t="shared" ref="J112:K112" si="62">IF(J99="NO","NO","IE")</f>
        <v>IE</v>
      </c>
      <c r="K112" s="3227" t="str">
        <f t="shared" si="62"/>
        <v>IE</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IE</v>
      </c>
      <c r="E115" s="3227" t="str">
        <f t="shared" si="47"/>
        <v>IE</v>
      </c>
      <c r="F115" s="2108"/>
      <c r="G115" s="3103" t="str">
        <f t="shared" si="48"/>
        <v>NA</v>
      </c>
      <c r="H115" s="3103" t="str">
        <f t="shared" si="49"/>
        <v>NA</v>
      </c>
      <c r="I115" s="2108"/>
      <c r="J115" s="3227" t="str">
        <f t="shared" ref="J115:K115" si="68">IF(J102="NO","NO","IE")</f>
        <v>IE</v>
      </c>
      <c r="K115" s="3227" t="str">
        <f t="shared" si="68"/>
        <v>IE</v>
      </c>
      <c r="L115" s="3228"/>
      <c r="M115" s="3497" t="str">
        <f t="shared" ref="M115" si="69">IF(M102="NO","NO","IE")</f>
        <v>NO</v>
      </c>
    </row>
    <row r="116" spans="2:13" ht="18" customHeight="1" x14ac:dyDescent="0.2">
      <c r="B116" s="2616" t="s">
        <v>577</v>
      </c>
      <c r="C116" s="2618" t="s">
        <v>577</v>
      </c>
      <c r="D116" s="3227" t="str">
        <f t="shared" si="47"/>
        <v>IE</v>
      </c>
      <c r="E116" s="3227" t="str">
        <f t="shared" si="47"/>
        <v>IE</v>
      </c>
      <c r="F116" s="2108"/>
      <c r="G116" s="3103" t="str">
        <f t="shared" si="48"/>
        <v>NA</v>
      </c>
      <c r="H116" s="3103" t="str">
        <f t="shared" si="49"/>
        <v>NA</v>
      </c>
      <c r="I116" s="2108"/>
      <c r="J116" s="3227" t="str">
        <f t="shared" ref="J116:K116" si="70">IF(J103="NO","NO","IE")</f>
        <v>IE</v>
      </c>
      <c r="K116" s="3227" t="str">
        <f t="shared" si="70"/>
        <v>IE</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0.12249481710246829</v>
      </c>
      <c r="K117" s="3103">
        <f>IF(SUM(K118:K129)=0,"NO",SUM(K118:K129))</f>
        <v>10.228613540434008</v>
      </c>
      <c r="L117" s="3103">
        <f>IF(SUM(L118:L129)=0,"NO",SUM(L118:L129))</f>
        <v>7.2535861980108587</v>
      </c>
      <c r="M117" s="3226">
        <f>IF(SUM(M118:M129)=0,"NO",SUM(M118:M129))</f>
        <v>-4.7452439463265685</v>
      </c>
    </row>
    <row r="118" spans="2:13" ht="18" customHeight="1" x14ac:dyDescent="0.2">
      <c r="B118" s="2616" t="s">
        <v>559</v>
      </c>
      <c r="C118" s="2618" t="s">
        <v>559</v>
      </c>
      <c r="D118" s="3227">
        <v>0.58482937864123985</v>
      </c>
      <c r="E118" s="3227">
        <v>3.5528407819348651</v>
      </c>
      <c r="F118" s="3227">
        <v>0.20050186532811534</v>
      </c>
      <c r="G118" s="3103">
        <f>IF(SUM(D118)=0,"NA",J118/D118)</f>
        <v>3.4999999999999996E-3</v>
      </c>
      <c r="H118" s="3103">
        <f>IF(SUM(E118)=0,"NA",K118/E118)</f>
        <v>4.8108358300695743E-2</v>
      </c>
      <c r="I118" s="3103">
        <f t="shared" ref="I118:I129" si="72">IF(SUM(F118)=0,"NA",(SUM(L118:M118))/F118)</f>
        <v>0.20904890072704685</v>
      </c>
      <c r="J118" s="3227">
        <v>2.0469028252443392E-3</v>
      </c>
      <c r="K118" s="3227">
        <v>0.17092133732264653</v>
      </c>
      <c r="L118" s="3227">
        <v>0.12120827993434015</v>
      </c>
      <c r="M118" s="3497">
        <v>-7.9293585393775248E-2</v>
      </c>
    </row>
    <row r="119" spans="2:13" ht="18" customHeight="1" x14ac:dyDescent="0.2">
      <c r="B119" s="2616" t="s">
        <v>560</v>
      </c>
      <c r="C119" s="2618" t="s">
        <v>560</v>
      </c>
      <c r="D119" s="3227">
        <v>1.3048969874512437</v>
      </c>
      <c r="E119" s="3227">
        <v>7.9272543455528242</v>
      </c>
      <c r="F119" s="3227">
        <v>0.44736856526065655</v>
      </c>
      <c r="G119" s="3103">
        <f t="shared" ref="G119:G129" si="73">IF(SUM(D119)=0,"NA",J119/D119)</f>
        <v>3.5000000000000005E-3</v>
      </c>
      <c r="H119" s="3103">
        <f t="shared" ref="H119:H129" si="74">IF(SUM(E119)=0,"NA",K119/E119)</f>
        <v>4.810835830069575E-2</v>
      </c>
      <c r="I119" s="3103">
        <f t="shared" si="72"/>
        <v>0.20904890072704649</v>
      </c>
      <c r="J119" s="3227">
        <v>4.5671394560793535E-3</v>
      </c>
      <c r="K119" s="3227">
        <v>0.38136719239660266</v>
      </c>
      <c r="L119" s="3227">
        <v>0.27044523602411635</v>
      </c>
      <c r="M119" s="3497">
        <v>-0.17692332923654014</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v>5.6803521946029383</v>
      </c>
      <c r="E121" s="3227">
        <v>34.508161986709432</v>
      </c>
      <c r="F121" s="3227">
        <v>1.9474418562635296</v>
      </c>
      <c r="G121" s="3103">
        <f t="shared" si="73"/>
        <v>3.4999999999999996E-3</v>
      </c>
      <c r="H121" s="3103">
        <f t="shared" si="74"/>
        <v>4.810835830069575E-2</v>
      </c>
      <c r="I121" s="3103">
        <f t="shared" si="72"/>
        <v>0.20904890072704674</v>
      </c>
      <c r="J121" s="3227">
        <v>1.9881232681110281E-2</v>
      </c>
      <c r="K121" s="3227">
        <v>1.6601310211550662</v>
      </c>
      <c r="L121" s="3227">
        <v>1.1772762177726301</v>
      </c>
      <c r="M121" s="3497">
        <v>-0.77016563849089992</v>
      </c>
    </row>
    <row r="122" spans="2:13" ht="18" customHeight="1" x14ac:dyDescent="0.2">
      <c r="B122" s="2616" t="s">
        <v>564</v>
      </c>
      <c r="C122" s="2618" t="s">
        <v>564</v>
      </c>
      <c r="D122" s="3227">
        <v>1.056513305276994E-2</v>
      </c>
      <c r="E122" s="3227">
        <v>6.4183224966670879E-2</v>
      </c>
      <c r="F122" s="3227">
        <v>3.6221314487341711E-3</v>
      </c>
      <c r="G122" s="3103">
        <f t="shared" si="73"/>
        <v>3.5000000000000005E-3</v>
      </c>
      <c r="H122" s="3103">
        <f t="shared" si="74"/>
        <v>4.810835830069575E-2</v>
      </c>
      <c r="I122" s="3103">
        <f t="shared" si="72"/>
        <v>0.20904890072704674</v>
      </c>
      <c r="J122" s="3227">
        <v>3.6977965684694795E-5</v>
      </c>
      <c r="K122" s="3227">
        <v>3.0877495835907637E-3</v>
      </c>
      <c r="L122" s="3227">
        <v>2.1896670231904575E-3</v>
      </c>
      <c r="M122" s="3497">
        <v>-1.4324644255437138E-3</v>
      </c>
    </row>
    <row r="123" spans="2:13" ht="18" customHeight="1" x14ac:dyDescent="0.2">
      <c r="B123" s="2616" t="s">
        <v>565</v>
      </c>
      <c r="C123" s="2618" t="s">
        <v>565</v>
      </c>
      <c r="D123" s="3227">
        <v>20.360838496661003</v>
      </c>
      <c r="E123" s="3227">
        <v>123.69217417461927</v>
      </c>
      <c r="F123" s="3227">
        <v>6.9804737027914392</v>
      </c>
      <c r="G123" s="3103">
        <f t="shared" si="73"/>
        <v>3.5000000000000005E-3</v>
      </c>
      <c r="H123" s="3103">
        <f t="shared" si="74"/>
        <v>4.810835830069575E-2</v>
      </c>
      <c r="I123" s="3103">
        <f t="shared" si="72"/>
        <v>0.20904890072704677</v>
      </c>
      <c r="J123" s="3227">
        <v>7.1262934738313521E-2</v>
      </c>
      <c r="K123" s="3227">
        <v>5.950627434184649</v>
      </c>
      <c r="L123" s="3227">
        <v>4.2198670284570241</v>
      </c>
      <c r="M123" s="3497">
        <v>-2.760606674334416</v>
      </c>
    </row>
    <row r="124" spans="2:13" ht="18" customHeight="1" x14ac:dyDescent="0.2">
      <c r="B124" s="2616" t="s">
        <v>567</v>
      </c>
      <c r="C124" s="2618" t="s">
        <v>567</v>
      </c>
      <c r="D124" s="3227">
        <v>5.3801848150048226</v>
      </c>
      <c r="E124" s="3227">
        <v>32.684643971727979</v>
      </c>
      <c r="F124" s="3227">
        <v>1.8445330050360091</v>
      </c>
      <c r="G124" s="3103">
        <f t="shared" si="73"/>
        <v>3.4999999999999996E-3</v>
      </c>
      <c r="H124" s="3103">
        <f t="shared" si="74"/>
        <v>4.8108358300695757E-2</v>
      </c>
      <c r="I124" s="3103">
        <f t="shared" si="72"/>
        <v>0.2090489007270469</v>
      </c>
      <c r="J124" s="3227">
        <v>1.8830646852516876E-2</v>
      </c>
      <c r="K124" s="3227">
        <v>1.5724045631225652</v>
      </c>
      <c r="L124" s="3227">
        <v>1.1150653010467719</v>
      </c>
      <c r="M124" s="3497">
        <v>-0.72946770398923777</v>
      </c>
    </row>
    <row r="125" spans="2:13" ht="18" customHeight="1" x14ac:dyDescent="0.2">
      <c r="B125" s="2616" t="s">
        <v>569</v>
      </c>
      <c r="C125" s="2618" t="s">
        <v>569</v>
      </c>
      <c r="D125" s="3227">
        <v>0.57205549086766061</v>
      </c>
      <c r="E125" s="3227">
        <v>3.4752393633274874</v>
      </c>
      <c r="F125" s="3227">
        <v>0.19612248833435839</v>
      </c>
      <c r="G125" s="3103">
        <f t="shared" si="73"/>
        <v>3.5000000000000001E-3</v>
      </c>
      <c r="H125" s="3103">
        <f t="shared" si="74"/>
        <v>4.810835830069575E-2</v>
      </c>
      <c r="I125" s="3103">
        <f t="shared" si="72"/>
        <v>0.20904890072704643</v>
      </c>
      <c r="J125" s="3227">
        <v>2.0021942180368122E-3</v>
      </c>
      <c r="K125" s="3227">
        <v>0.16718806047164053</v>
      </c>
      <c r="L125" s="3227">
        <v>0.11856083946425448</v>
      </c>
      <c r="M125" s="3497">
        <v>-7.7561648870103875E-2</v>
      </c>
    </row>
    <row r="126" spans="2:13" ht="18" customHeight="1" x14ac:dyDescent="0.2">
      <c r="B126" s="2616" t="s">
        <v>571</v>
      </c>
      <c r="C126" s="2618" t="s">
        <v>571</v>
      </c>
      <c r="D126" s="3227">
        <v>0.21946512509343449</v>
      </c>
      <c r="E126" s="3227">
        <v>1.3332515005589489</v>
      </c>
      <c r="F126" s="3227">
        <v>7.5241033646319733E-2</v>
      </c>
      <c r="G126" s="3103">
        <f t="shared" si="73"/>
        <v>3.4999999999999996E-3</v>
      </c>
      <c r="H126" s="3103">
        <f t="shared" si="74"/>
        <v>4.810835830069575E-2</v>
      </c>
      <c r="I126" s="3103">
        <f t="shared" si="72"/>
        <v>0.20904890072704671</v>
      </c>
      <c r="J126" s="3227">
        <v>7.6812793782702064E-4</v>
      </c>
      <c r="K126" s="3227">
        <v>6.4140540893830172E-2</v>
      </c>
      <c r="L126" s="3227">
        <v>4.548504450982481E-2</v>
      </c>
      <c r="M126" s="3497">
        <v>-2.9755989136494933E-2</v>
      </c>
    </row>
    <row r="127" spans="2:13" ht="18" customHeight="1" x14ac:dyDescent="0.2">
      <c r="B127" s="2616" t="s">
        <v>574</v>
      </c>
      <c r="C127" s="2618" t="s">
        <v>574</v>
      </c>
      <c r="D127" s="3227">
        <v>7.0046878569909002E-2</v>
      </c>
      <c r="E127" s="3227">
        <v>0.42553506359173021</v>
      </c>
      <c r="F127" s="3227">
        <v>2.4014747423101463E-2</v>
      </c>
      <c r="G127" s="3103">
        <f t="shared" si="73"/>
        <v>3.5000000000000001E-3</v>
      </c>
      <c r="H127" s="3103">
        <f t="shared" si="74"/>
        <v>4.8108358300695743E-2</v>
      </c>
      <c r="I127" s="3103">
        <f t="shared" si="72"/>
        <v>0.20904890072704652</v>
      </c>
      <c r="J127" s="3227">
        <v>2.451640749946815E-4</v>
      </c>
      <c r="K127" s="3227">
        <v>2.0471793308780305E-2</v>
      </c>
      <c r="L127" s="3227">
        <v>1.4517501986569249E-2</v>
      </c>
      <c r="M127" s="3497">
        <v>-9.4972454365322145E-3</v>
      </c>
    </row>
    <row r="128" spans="2:13" ht="18" customHeight="1" x14ac:dyDescent="0.2">
      <c r="B128" s="2616" t="s">
        <v>576</v>
      </c>
      <c r="C128" s="2618" t="s">
        <v>576</v>
      </c>
      <c r="D128" s="3227">
        <v>0.43159242651579915</v>
      </c>
      <c r="E128" s="3227">
        <v>2.6219256933742381</v>
      </c>
      <c r="F128" s="3227">
        <v>0.14796638085958697</v>
      </c>
      <c r="G128" s="3103">
        <f t="shared" si="73"/>
        <v>3.5000000000000001E-3</v>
      </c>
      <c r="H128" s="3103">
        <f t="shared" si="74"/>
        <v>4.8108358300695743E-2</v>
      </c>
      <c r="I128" s="3103">
        <f t="shared" si="72"/>
        <v>0.2090489007270469</v>
      </c>
      <c r="J128" s="3227">
        <v>1.5105734928052971E-3</v>
      </c>
      <c r="K128" s="3227">
        <v>0.12613654069464797</v>
      </c>
      <c r="L128" s="3227">
        <v>8.9449295061421616E-2</v>
      </c>
      <c r="M128" s="3497">
        <v>-5.8517085798165405E-2</v>
      </c>
    </row>
    <row r="129" spans="2:13" ht="18" customHeight="1" x14ac:dyDescent="0.2">
      <c r="B129" s="2616" t="s">
        <v>577</v>
      </c>
      <c r="C129" s="2618" t="s">
        <v>577</v>
      </c>
      <c r="D129" s="3227">
        <v>0.38369224567297683</v>
      </c>
      <c r="E129" s="3227">
        <v>2.3309319058257656</v>
      </c>
      <c r="F129" s="3227">
        <v>0.13154436794557517</v>
      </c>
      <c r="G129" s="3103">
        <f t="shared" si="73"/>
        <v>3.5000000000000001E-3</v>
      </c>
      <c r="H129" s="3103">
        <f t="shared" si="74"/>
        <v>4.8108358300695743E-2</v>
      </c>
      <c r="I129" s="3103">
        <f t="shared" si="72"/>
        <v>0.20904890072704671</v>
      </c>
      <c r="J129" s="3227">
        <v>1.3429228598554189E-3</v>
      </c>
      <c r="K129" s="3227">
        <v>0.11213730729998952</v>
      </c>
      <c r="L129" s="3227">
        <v>7.9521786730715915E-2</v>
      </c>
      <c r="M129" s="3497">
        <v>-5.2022581214859268E-2</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60.245459894405464</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60.245459894405464</v>
      </c>
      <c r="L131" s="3229"/>
      <c r="M131" s="3226" t="str">
        <f>IF(SUM(M132:M143)=0,"NO",SUM(M132:M143))</f>
        <v>NO</v>
      </c>
    </row>
    <row r="132" spans="2:13" ht="18" customHeight="1" x14ac:dyDescent="0.2">
      <c r="B132" s="2616" t="s">
        <v>559</v>
      </c>
      <c r="C132" s="2618" t="s">
        <v>559</v>
      </c>
      <c r="D132" s="3227" t="s">
        <v>2146</v>
      </c>
      <c r="E132" s="3227">
        <v>1.4174091841966905</v>
      </c>
      <c r="F132" s="3229"/>
      <c r="G132" s="3103" t="str">
        <f>IF(SUM(D132)=0,"NA",J132/D132)</f>
        <v>NA</v>
      </c>
      <c r="H132" s="3103">
        <f>IF(SUM(E132)=0,"NA",K132/E132)</f>
        <v>0.71024566776367692</v>
      </c>
      <c r="I132" s="4327"/>
      <c r="J132" s="3227" t="s">
        <v>2146</v>
      </c>
      <c r="K132" s="3227">
        <v>1.0067087325241471</v>
      </c>
      <c r="L132" s="3229"/>
      <c r="M132" s="3497" t="s">
        <v>2146</v>
      </c>
    </row>
    <row r="133" spans="2:13" ht="18" customHeight="1" x14ac:dyDescent="0.2">
      <c r="B133" s="2616" t="s">
        <v>560</v>
      </c>
      <c r="C133" s="2618" t="s">
        <v>560</v>
      </c>
      <c r="D133" s="3227" t="s">
        <v>2146</v>
      </c>
      <c r="E133" s="3227">
        <v>3.1625856052942858</v>
      </c>
      <c r="F133" s="3229"/>
      <c r="G133" s="3103" t="str">
        <f t="shared" ref="G133:G143" si="75">IF(SUM(D133)=0,"NA",J133/D133)</f>
        <v>NA</v>
      </c>
      <c r="H133" s="3103">
        <f t="shared" ref="H133:H143" si="76">IF(SUM(E133)=0,"NA",K133/E133)</f>
        <v>0.71024566776367692</v>
      </c>
      <c r="I133" s="4327"/>
      <c r="J133" s="3227" t="s">
        <v>2146</v>
      </c>
      <c r="K133" s="3227">
        <v>2.2462127250920325</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v>13.767063803819449</v>
      </c>
      <c r="F135" s="3229"/>
      <c r="G135" s="3103" t="str">
        <f t="shared" si="75"/>
        <v>NA</v>
      </c>
      <c r="H135" s="3103">
        <f t="shared" si="76"/>
        <v>0.71024566776367681</v>
      </c>
      <c r="I135" s="4327"/>
      <c r="J135" s="3227" t="s">
        <v>2146</v>
      </c>
      <c r="K135" s="3227">
        <v>9.7779974244888894</v>
      </c>
      <c r="L135" s="3229"/>
      <c r="M135" s="3497" t="s">
        <v>2146</v>
      </c>
    </row>
    <row r="136" spans="2:13" ht="18" customHeight="1" x14ac:dyDescent="0.2">
      <c r="B136" s="2616" t="s">
        <v>564</v>
      </c>
      <c r="C136" s="2618" t="s">
        <v>564</v>
      </c>
      <c r="D136" s="3227" t="s">
        <v>2146</v>
      </c>
      <c r="E136" s="3227">
        <v>2.5605958195958775E-2</v>
      </c>
      <c r="F136" s="3229"/>
      <c r="G136" s="3103" t="str">
        <f t="shared" si="75"/>
        <v>NA</v>
      </c>
      <c r="H136" s="3103">
        <f t="shared" si="76"/>
        <v>0.71024566776367692</v>
      </c>
      <c r="I136" s="4327"/>
      <c r="J136" s="3227" t="s">
        <v>2146</v>
      </c>
      <c r="K136" s="3227">
        <v>1.8186520877617535E-2</v>
      </c>
      <c r="L136" s="3229"/>
      <c r="M136" s="3497" t="s">
        <v>2146</v>
      </c>
    </row>
    <row r="137" spans="2:13" ht="18" customHeight="1" x14ac:dyDescent="0.2">
      <c r="B137" s="2616" t="s">
        <v>565</v>
      </c>
      <c r="C137" s="2618" t="s">
        <v>565</v>
      </c>
      <c r="D137" s="3227" t="s">
        <v>2146</v>
      </c>
      <c r="E137" s="3227">
        <v>49.347109664982526</v>
      </c>
      <c r="F137" s="3229"/>
      <c r="G137" s="3103" t="str">
        <f t="shared" si="75"/>
        <v>NA</v>
      </c>
      <c r="H137" s="3103">
        <f t="shared" si="76"/>
        <v>0.71024566776367681</v>
      </c>
      <c r="I137" s="4327"/>
      <c r="J137" s="3227" t="s">
        <v>2146</v>
      </c>
      <c r="K137" s="3227">
        <v>35.048570856212905</v>
      </c>
      <c r="L137" s="3229"/>
      <c r="M137" s="3497" t="s">
        <v>2146</v>
      </c>
    </row>
    <row r="138" spans="2:13" ht="18" customHeight="1" x14ac:dyDescent="0.2">
      <c r="B138" s="2616" t="s">
        <v>567</v>
      </c>
      <c r="C138" s="2618" t="s">
        <v>567</v>
      </c>
      <c r="D138" s="3227" t="s">
        <v>2146</v>
      </c>
      <c r="E138" s="3227">
        <v>13.039569570155756</v>
      </c>
      <c r="F138" s="3229"/>
      <c r="G138" s="3103" t="str">
        <f t="shared" si="75"/>
        <v>NA</v>
      </c>
      <c r="H138" s="3103">
        <f t="shared" si="76"/>
        <v>0.7102456677636767</v>
      </c>
      <c r="I138" s="4327"/>
      <c r="J138" s="3227" t="s">
        <v>2146</v>
      </c>
      <c r="K138" s="3227">
        <v>9.2612977967061934</v>
      </c>
      <c r="L138" s="3229"/>
      <c r="M138" s="3497" t="s">
        <v>2146</v>
      </c>
    </row>
    <row r="139" spans="2:13" ht="18" customHeight="1" x14ac:dyDescent="0.2">
      <c r="B139" s="2616" t="s">
        <v>569</v>
      </c>
      <c r="C139" s="2618" t="s">
        <v>569</v>
      </c>
      <c r="D139" s="3227" t="s">
        <v>2146</v>
      </c>
      <c r="E139" s="3227">
        <v>1.3864500249796294</v>
      </c>
      <c r="F139" s="3229"/>
      <c r="G139" s="3103" t="str">
        <f t="shared" si="75"/>
        <v>NA</v>
      </c>
      <c r="H139" s="3103">
        <f t="shared" si="76"/>
        <v>0.71024566776367692</v>
      </c>
      <c r="I139" s="4327"/>
      <c r="J139" s="3227" t="s">
        <v>2146</v>
      </c>
      <c r="K139" s="3227">
        <v>0.98472012381262342</v>
      </c>
      <c r="L139" s="3229"/>
      <c r="M139" s="3497" t="s">
        <v>2146</v>
      </c>
    </row>
    <row r="140" spans="2:13" ht="18" customHeight="1" x14ac:dyDescent="0.2">
      <c r="B140" s="2616" t="s">
        <v>571</v>
      </c>
      <c r="C140" s="2618" t="s">
        <v>571</v>
      </c>
      <c r="D140" s="3227" t="s">
        <v>2146</v>
      </c>
      <c r="E140" s="3227">
        <v>0.53190194487328391</v>
      </c>
      <c r="F140" s="3229"/>
      <c r="G140" s="3103" t="str">
        <f t="shared" si="75"/>
        <v>NA</v>
      </c>
      <c r="H140" s="3103">
        <f t="shared" si="76"/>
        <v>0.71024566776367681</v>
      </c>
      <c r="I140" s="4327"/>
      <c r="J140" s="3227" t="s">
        <v>2146</v>
      </c>
      <c r="K140" s="3227">
        <v>0.37778105202132395</v>
      </c>
      <c r="L140" s="3229"/>
      <c r="M140" s="3497" t="s">
        <v>2146</v>
      </c>
    </row>
    <row r="141" spans="2:13" ht="18" customHeight="1" x14ac:dyDescent="0.2">
      <c r="B141" s="2616" t="s">
        <v>574</v>
      </c>
      <c r="C141" s="2618" t="s">
        <v>574</v>
      </c>
      <c r="D141" s="3227" t="s">
        <v>2146</v>
      </c>
      <c r="E141" s="3227">
        <v>0.16976761536838803</v>
      </c>
      <c r="F141" s="3229"/>
      <c r="G141" s="3103" t="str">
        <f t="shared" si="75"/>
        <v>NA</v>
      </c>
      <c r="H141" s="3103">
        <f t="shared" si="76"/>
        <v>0.71024566776367681</v>
      </c>
      <c r="I141" s="4327"/>
      <c r="J141" s="3227" t="s">
        <v>2146</v>
      </c>
      <c r="K141" s="3227">
        <v>0.1205767133419678</v>
      </c>
      <c r="L141" s="3229"/>
      <c r="M141" s="3497" t="s">
        <v>2146</v>
      </c>
    </row>
    <row r="142" spans="2:13" ht="18" customHeight="1" x14ac:dyDescent="0.2">
      <c r="B142" s="2616" t="s">
        <v>576</v>
      </c>
      <c r="C142" s="2618" t="s">
        <v>576</v>
      </c>
      <c r="D142" s="3227" t="s">
        <v>2146</v>
      </c>
      <c r="E142" s="3227">
        <v>1.0460197307367132</v>
      </c>
      <c r="F142" s="3229"/>
      <c r="G142" s="3103" t="str">
        <f t="shared" si="75"/>
        <v>NA</v>
      </c>
      <c r="H142" s="3103">
        <f t="shared" si="76"/>
        <v>0.71024566776367704</v>
      </c>
      <c r="I142" s="4327"/>
      <c r="J142" s="3227" t="s">
        <v>2146</v>
      </c>
      <c r="K142" s="3227">
        <v>0.74293098215107845</v>
      </c>
      <c r="L142" s="3229"/>
      <c r="M142" s="3497" t="s">
        <v>2146</v>
      </c>
    </row>
    <row r="143" spans="2:13" ht="18" customHeight="1" x14ac:dyDescent="0.2">
      <c r="B143" s="2616" t="s">
        <v>577</v>
      </c>
      <c r="C143" s="2618" t="s">
        <v>577</v>
      </c>
      <c r="D143" s="3227" t="s">
        <v>2146</v>
      </c>
      <c r="E143" s="3227">
        <v>0.92992748446645879</v>
      </c>
      <c r="F143" s="3229"/>
      <c r="G143" s="3103" t="str">
        <f t="shared" si="75"/>
        <v>NA</v>
      </c>
      <c r="H143" s="3103">
        <f t="shared" si="76"/>
        <v>0.71024566776367681</v>
      </c>
      <c r="I143" s="4327"/>
      <c r="J143" s="3227" t="s">
        <v>2146</v>
      </c>
      <c r="K143" s="3227">
        <v>0.66047696717667626</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23.661838591800951</v>
      </c>
      <c r="L146" s="3103">
        <f>IF(SUM(L147:L158)=0,"NO",SUM(L147:L158))</f>
        <v>8.8128448006299038</v>
      </c>
      <c r="M146" s="3226" t="str">
        <f>IF(SUM(M147:M158)=0,"NO",SUM(M147:M158))</f>
        <v>NO</v>
      </c>
    </row>
    <row r="147" spans="2:13" ht="18" customHeight="1" x14ac:dyDescent="0.2">
      <c r="B147" s="2616" t="s">
        <v>559</v>
      </c>
      <c r="C147" s="2618" t="s">
        <v>559</v>
      </c>
      <c r="D147" s="3227">
        <v>0.69406440541862435</v>
      </c>
      <c r="E147" s="3227">
        <v>1.1378164237840329</v>
      </c>
      <c r="F147" s="3227">
        <v>0.14726367488478617</v>
      </c>
      <c r="G147" s="3103" t="str">
        <f>IFERROR(J147/D147,"NA")</f>
        <v>NA</v>
      </c>
      <c r="H147" s="3103">
        <f>IF(SUM(E147)=0,"NA",K147/E147)</f>
        <v>0.34750079386480121</v>
      </c>
      <c r="I147" s="3103">
        <f t="shared" ref="I147:I158" si="77">IF(SUM(F147)=0,"NA",(SUM(L147:M147))/F147)</f>
        <v>1.0000000000000007</v>
      </c>
      <c r="J147" s="3227" t="s">
        <v>2146</v>
      </c>
      <c r="K147" s="3227">
        <v>0.39539211053736051</v>
      </c>
      <c r="L147" s="3227">
        <v>0.14726367488478626</v>
      </c>
      <c r="M147" s="3497" t="s">
        <v>2146</v>
      </c>
    </row>
    <row r="148" spans="2:13" ht="18" customHeight="1" x14ac:dyDescent="0.2">
      <c r="B148" s="2616" t="s">
        <v>560</v>
      </c>
      <c r="C148" s="2618" t="s">
        <v>560</v>
      </c>
      <c r="D148" s="3227">
        <v>1.5486269753275976</v>
      </c>
      <c r="E148" s="3227">
        <v>2.5387459623144779</v>
      </c>
      <c r="F148" s="3227">
        <v>0.32858117723945385</v>
      </c>
      <c r="G148" s="3103" t="str">
        <f t="shared" ref="G148:G158" si="78">IFERROR(J148/D148,"NA")</f>
        <v>NA</v>
      </c>
      <c r="H148" s="3103">
        <f t="shared" ref="H148:H158" si="79">IF(SUM(E148)=0,"NA",K148/E148)</f>
        <v>0.34750079386480115</v>
      </c>
      <c r="I148" s="3103">
        <f t="shared" si="77"/>
        <v>0.99999999999999944</v>
      </c>
      <c r="J148" s="3227" t="s">
        <v>2146</v>
      </c>
      <c r="K148" s="3227">
        <v>0.8822162373253396</v>
      </c>
      <c r="L148" s="3227">
        <v>0.32858117723945368</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v>6.7413341608715394</v>
      </c>
      <c r="E150" s="3227">
        <v>11.051425006919343</v>
      </c>
      <c r="F150" s="3227">
        <v>1.4303480115184855</v>
      </c>
      <c r="G150" s="3103" t="str">
        <f t="shared" si="78"/>
        <v>NA</v>
      </c>
      <c r="H150" s="3103">
        <f t="shared" si="79"/>
        <v>0.34750079386480115</v>
      </c>
      <c r="I150" s="3103">
        <f t="shared" si="77"/>
        <v>0.99999999999999989</v>
      </c>
      <c r="J150" s="3227" t="s">
        <v>2146</v>
      </c>
      <c r="K150" s="3227">
        <v>3.8403789632417871</v>
      </c>
      <c r="L150" s="3227">
        <v>1.4303480115184852</v>
      </c>
      <c r="M150" s="3497" t="s">
        <v>2146</v>
      </c>
    </row>
    <row r="151" spans="2:13" ht="18" customHeight="1" x14ac:dyDescent="0.2">
      <c r="B151" s="2616" t="s">
        <v>564</v>
      </c>
      <c r="C151" s="2618" t="s">
        <v>564</v>
      </c>
      <c r="D151" s="3227">
        <v>1.2538499361089278E-2</v>
      </c>
      <c r="E151" s="3227">
        <v>2.055502398808098E-2</v>
      </c>
      <c r="F151" s="3227">
        <v>2.6603662124710984E-3</v>
      </c>
      <c r="G151" s="3103" t="str">
        <f t="shared" si="78"/>
        <v>NA</v>
      </c>
      <c r="H151" s="3103">
        <f t="shared" si="79"/>
        <v>0.34750079386480109</v>
      </c>
      <c r="I151" s="3103">
        <f t="shared" si="77"/>
        <v>0.99999999999999956</v>
      </c>
      <c r="J151" s="3227" t="s">
        <v>2146</v>
      </c>
      <c r="K151" s="3227">
        <v>7.1428871537681706E-3</v>
      </c>
      <c r="L151" s="3227">
        <v>2.6603662124710971E-3</v>
      </c>
      <c r="M151" s="3497" t="s">
        <v>2146</v>
      </c>
    </row>
    <row r="152" spans="2:13" ht="18" customHeight="1" x14ac:dyDescent="0.2">
      <c r="B152" s="2616" t="s">
        <v>565</v>
      </c>
      <c r="C152" s="2618" t="s">
        <v>565</v>
      </c>
      <c r="D152" s="3227">
        <v>24.163856641132746</v>
      </c>
      <c r="E152" s="3227">
        <v>39.613085952247779</v>
      </c>
      <c r="F152" s="3227">
        <v>5.1269857675759543</v>
      </c>
      <c r="G152" s="3103" t="str">
        <f t="shared" si="78"/>
        <v>NA</v>
      </c>
      <c r="H152" s="3103">
        <f t="shared" si="79"/>
        <v>0.34750079386480115</v>
      </c>
      <c r="I152" s="3103">
        <f t="shared" si="77"/>
        <v>1</v>
      </c>
      <c r="J152" s="3227" t="s">
        <v>2146</v>
      </c>
      <c r="K152" s="3227">
        <v>13.765578815840707</v>
      </c>
      <c r="L152" s="3227">
        <v>5.1269857675759543</v>
      </c>
      <c r="M152" s="3497" t="s">
        <v>2146</v>
      </c>
    </row>
    <row r="153" spans="2:13" ht="18" customHeight="1" x14ac:dyDescent="0.2">
      <c r="B153" s="2616" t="s">
        <v>567</v>
      </c>
      <c r="C153" s="2618" t="s">
        <v>567</v>
      </c>
      <c r="D153" s="3227">
        <v>6.3851012125014224</v>
      </c>
      <c r="E153" s="3227">
        <v>10.467433526900921</v>
      </c>
      <c r="F153" s="3227">
        <v>1.3547639984464068</v>
      </c>
      <c r="G153" s="3103" t="str">
        <f t="shared" si="78"/>
        <v>NA</v>
      </c>
      <c r="H153" s="3103">
        <f t="shared" si="79"/>
        <v>0.34750079386480109</v>
      </c>
      <c r="I153" s="3103">
        <f t="shared" si="77"/>
        <v>0.99999999999999989</v>
      </c>
      <c r="J153" s="3227" t="s">
        <v>2146</v>
      </c>
      <c r="K153" s="3227">
        <v>3.6374414603251051</v>
      </c>
      <c r="L153" s="3227">
        <v>1.3547639984464066</v>
      </c>
      <c r="M153" s="3497" t="s">
        <v>2146</v>
      </c>
    </row>
    <row r="154" spans="2:13" ht="18" customHeight="1" x14ac:dyDescent="0.2">
      <c r="B154" s="2616" t="s">
        <v>569</v>
      </c>
      <c r="C154" s="2618" t="s">
        <v>569</v>
      </c>
      <c r="D154" s="3227">
        <v>0.67890459788116442</v>
      </c>
      <c r="E154" s="3227">
        <v>1.1129641509072483</v>
      </c>
      <c r="F154" s="3227">
        <v>0.14404713049627818</v>
      </c>
      <c r="G154" s="3103" t="str">
        <f t="shared" si="78"/>
        <v>NA</v>
      </c>
      <c r="H154" s="3103">
        <f t="shared" si="79"/>
        <v>0.34750079386480121</v>
      </c>
      <c r="I154" s="3103">
        <f t="shared" si="77"/>
        <v>0.99999999999999978</v>
      </c>
      <c r="J154" s="3227" t="s">
        <v>2146</v>
      </c>
      <c r="K154" s="3227">
        <v>0.38675592598333319</v>
      </c>
      <c r="L154" s="3227">
        <v>0.14404713049627815</v>
      </c>
      <c r="M154" s="3497" t="s">
        <v>2146</v>
      </c>
    </row>
    <row r="155" spans="2:13" ht="18" customHeight="1" x14ac:dyDescent="0.2">
      <c r="B155" s="2616" t="s">
        <v>571</v>
      </c>
      <c r="C155" s="2618" t="s">
        <v>571</v>
      </c>
      <c r="D155" s="3227">
        <v>0.26045704460332908</v>
      </c>
      <c r="E155" s="3227">
        <v>0.42698098436725573</v>
      </c>
      <c r="F155" s="3227">
        <v>5.5262683460597005E-2</v>
      </c>
      <c r="G155" s="3103" t="str">
        <f t="shared" si="78"/>
        <v>NA</v>
      </c>
      <c r="H155" s="3103">
        <f t="shared" si="79"/>
        <v>0.34750079386480109</v>
      </c>
      <c r="I155" s="3103">
        <f t="shared" si="77"/>
        <v>1.0000000000000002</v>
      </c>
      <c r="J155" s="3227" t="s">
        <v>2146</v>
      </c>
      <c r="K155" s="3227">
        <v>0.1483762310327956</v>
      </c>
      <c r="L155" s="3227">
        <v>5.5262683460597012E-2</v>
      </c>
      <c r="M155" s="3497" t="s">
        <v>2146</v>
      </c>
    </row>
    <row r="156" spans="2:13" ht="18" customHeight="1" x14ac:dyDescent="0.2">
      <c r="B156" s="2616" t="s">
        <v>574</v>
      </c>
      <c r="C156" s="2618" t="s">
        <v>574</v>
      </c>
      <c r="D156" s="3227">
        <v>8.3130305866317145E-2</v>
      </c>
      <c r="E156" s="3227">
        <v>0.13627989937307866</v>
      </c>
      <c r="F156" s="3227">
        <v>1.7638239680057309E-2</v>
      </c>
      <c r="G156" s="3103" t="str">
        <f t="shared" si="78"/>
        <v>NA</v>
      </c>
      <c r="H156" s="3103">
        <f t="shared" si="79"/>
        <v>0.34750079386480115</v>
      </c>
      <c r="I156" s="3103">
        <f t="shared" si="77"/>
        <v>1</v>
      </c>
      <c r="J156" s="3227" t="s">
        <v>2146</v>
      </c>
      <c r="K156" s="3227">
        <v>4.7357373219960051E-2</v>
      </c>
      <c r="L156" s="3227">
        <v>1.7638239680057309E-2</v>
      </c>
      <c r="M156" s="3497" t="s">
        <v>2146</v>
      </c>
    </row>
    <row r="157" spans="2:13" ht="18" customHeight="1" x14ac:dyDescent="0.2">
      <c r="B157" s="2616" t="s">
        <v>576</v>
      </c>
      <c r="C157" s="2618" t="s">
        <v>576</v>
      </c>
      <c r="D157" s="3227">
        <v>0.51220569935941695</v>
      </c>
      <c r="E157" s="3227">
        <v>0.83968584548780945</v>
      </c>
      <c r="F157" s="3227">
        <v>0.10867765728326695</v>
      </c>
      <c r="G157" s="3103" t="str">
        <f t="shared" si="78"/>
        <v>NA</v>
      </c>
      <c r="H157" s="3103">
        <f t="shared" si="79"/>
        <v>0.34750079386480121</v>
      </c>
      <c r="I157" s="3103">
        <f t="shared" si="77"/>
        <v>0.999999999999999</v>
      </c>
      <c r="J157" s="3227" t="s">
        <v>2146</v>
      </c>
      <c r="K157" s="3227">
        <v>0.29179149790405057</v>
      </c>
      <c r="L157" s="3227">
        <v>0.10867765728326684</v>
      </c>
      <c r="M157" s="3497" t="s">
        <v>2146</v>
      </c>
    </row>
    <row r="158" spans="2:13" ht="18" customHeight="1" x14ac:dyDescent="0.2">
      <c r="B158" s="2616" t="s">
        <v>577</v>
      </c>
      <c r="C158" s="2618" t="s">
        <v>577</v>
      </c>
      <c r="D158" s="3227">
        <v>0.45535867396996138</v>
      </c>
      <c r="E158" s="3227">
        <v>0.74649351545846887</v>
      </c>
      <c r="F158" s="3227">
        <v>9.6616093832147892E-2</v>
      </c>
      <c r="G158" s="3103" t="str">
        <f t="shared" si="78"/>
        <v>NA</v>
      </c>
      <c r="H158" s="3103">
        <f t="shared" si="79"/>
        <v>0.34750079386480115</v>
      </c>
      <c r="I158" s="3103">
        <f t="shared" si="77"/>
        <v>0.99999999999999911</v>
      </c>
      <c r="J158" s="3227" t="s">
        <v>2146</v>
      </c>
      <c r="K158" s="3227">
        <v>0.25940708923674416</v>
      </c>
      <c r="L158" s="3227">
        <v>9.6616093832147809E-2</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0.87661684601452072</v>
      </c>
      <c r="K162" s="3233">
        <f t="shared" ref="K162:M162" si="85">IF(SUM(K163,K165,K175)=0,"NO",SUM(K163,K165,K175))</f>
        <v>6.3484203812893867</v>
      </c>
      <c r="L162" s="3233">
        <f t="shared" si="85"/>
        <v>0.45600000000000002</v>
      </c>
      <c r="M162" s="3234" t="str">
        <f t="shared" si="85"/>
        <v>NO</v>
      </c>
    </row>
    <row r="163" spans="2:13" ht="18" customHeight="1" x14ac:dyDescent="0.2">
      <c r="B163" s="88" t="s">
        <v>681</v>
      </c>
      <c r="C163" s="2508"/>
      <c r="D163" s="4326"/>
      <c r="E163" s="4326"/>
      <c r="F163" s="4326"/>
      <c r="G163" s="4327"/>
      <c r="H163" s="4327"/>
      <c r="I163" s="4327"/>
      <c r="J163" s="3230">
        <f>J164</f>
        <v>0.87661684601452072</v>
      </c>
      <c r="K163" s="3230">
        <f t="shared" ref="K163:M163" si="86">K164</f>
        <v>5.6251673914592475</v>
      </c>
      <c r="L163" s="3230">
        <f t="shared" si="86"/>
        <v>0.45600000000000002</v>
      </c>
      <c r="M163" s="3226" t="str">
        <f t="shared" si="86"/>
        <v>NO</v>
      </c>
    </row>
    <row r="164" spans="2:13" ht="18" customHeight="1" x14ac:dyDescent="0.2">
      <c r="B164" s="2616" t="s">
        <v>1621</v>
      </c>
      <c r="C164" s="2618" t="s">
        <v>1621</v>
      </c>
      <c r="D164" s="3235">
        <v>10.313139364876712</v>
      </c>
      <c r="E164" s="3235">
        <v>533.74234650088215</v>
      </c>
      <c r="F164" s="3235">
        <v>0.45600000000000002</v>
      </c>
      <c r="G164" s="3103">
        <f t="shared" ref="G164" si="87">IF(SUM(D164)=0,"NA",J164/D164)</f>
        <v>8.500000000000002E-2</v>
      </c>
      <c r="H164" s="3103">
        <f t="shared" ref="H164" si="88">IF(SUM(E164)=0,"NA",K164/E164)</f>
        <v>1.0539106421547442E-2</v>
      </c>
      <c r="I164" s="3103">
        <f t="shared" ref="I164" si="89">IF(SUM(F164)=0,"NA",(SUM(L164:M164))/F164)</f>
        <v>1</v>
      </c>
      <c r="J164" s="3142">
        <v>0.87661684601452072</v>
      </c>
      <c r="K164" s="3142">
        <v>5.6251673914592475</v>
      </c>
      <c r="L164" s="3142">
        <v>0.45600000000000002</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0.72325298983013919</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0.72325298983013919</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0.72325298983013919</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0.72325298983013919</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1815.7872546355406</v>
      </c>
      <c r="D10" s="2500">
        <f t="shared" ref="D10:I10" si="0">IF(SUM(D11,D20,D31:D32,D42:D47)=0,"NO",SUM(D11,D20,D31:D32,D42:D47))</f>
        <v>2427.3665121629169</v>
      </c>
      <c r="E10" s="2500">
        <f t="shared" si="0"/>
        <v>39.646160078923195</v>
      </c>
      <c r="F10" s="2500">
        <f t="shared" si="0"/>
        <v>11.532718650733093</v>
      </c>
      <c r="G10" s="2500">
        <f t="shared" si="0"/>
        <v>199.73085384221017</v>
      </c>
      <c r="H10" s="2915">
        <f t="shared" si="0"/>
        <v>11.650966474128927</v>
      </c>
      <c r="I10" s="2924" t="str">
        <f t="shared" si="0"/>
        <v>NO</v>
      </c>
      <c r="J10" s="2925">
        <f>IF(SUM(C10:E10)=0,"NO",SUM(C10)+28*SUM(D10)+265*SUM(E10))</f>
        <v>80288.282016111858</v>
      </c>
    </row>
    <row r="11" spans="1:10" ht="18" customHeight="1" x14ac:dyDescent="0.2">
      <c r="B11" s="234" t="s">
        <v>694</v>
      </c>
      <c r="C11" s="2926"/>
      <c r="D11" s="2137">
        <f>SUM(D16:D19)</f>
        <v>2170.8874174141565</v>
      </c>
      <c r="E11" s="1929"/>
      <c r="F11" s="1929"/>
      <c r="G11" s="1929"/>
      <c r="H11" s="2927"/>
      <c r="I11" s="2928"/>
      <c r="J11" s="1880">
        <f>IF(SUM(C11:E11)=0,"NO",SUM(C11)+28*SUM(D11)+265*SUM(E11))</f>
        <v>60784.847687596382</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1573.1051516425805</v>
      </c>
      <c r="E16" s="628"/>
      <c r="F16" s="628"/>
      <c r="G16" s="628"/>
      <c r="H16" s="2930"/>
      <c r="I16" s="2931"/>
      <c r="J16" s="2934">
        <f>IF(SUM(C16:E16)=0,"NO",SUM(C16)+28*SUM(D16)+265*SUM(E16))</f>
        <v>44046.944245992257</v>
      </c>
    </row>
    <row r="17" spans="2:10" ht="18" customHeight="1" x14ac:dyDescent="0.2">
      <c r="B17" s="228" t="s">
        <v>699</v>
      </c>
      <c r="C17" s="2936"/>
      <c r="D17" s="2920">
        <f>Table3.A!G24</f>
        <v>583.63749327084338</v>
      </c>
      <c r="E17" s="628"/>
      <c r="F17" s="628"/>
      <c r="G17" s="628"/>
      <c r="H17" s="2930"/>
      <c r="I17" s="2931"/>
      <c r="J17" s="2934">
        <f t="shared" ref="J17:J21" si="1">IF(SUM(C17:E17)=0,"NO",SUM(C17)+28*SUM(D17)+265*SUM(E17))</f>
        <v>16341.849811583616</v>
      </c>
    </row>
    <row r="18" spans="2:10" ht="18" customHeight="1" x14ac:dyDescent="0.2">
      <c r="B18" s="228" t="s">
        <v>700</v>
      </c>
      <c r="C18" s="2936"/>
      <c r="D18" s="2920">
        <f>Table3.A!G27</f>
        <v>3.9730337860851397</v>
      </c>
      <c r="E18" s="628"/>
      <c r="F18" s="628"/>
      <c r="G18" s="628"/>
      <c r="H18" s="2930"/>
      <c r="I18" s="2931"/>
      <c r="J18" s="2934">
        <f t="shared" si="1"/>
        <v>111.24494601038391</v>
      </c>
    </row>
    <row r="19" spans="2:10" ht="18" customHeight="1" thickBot="1" x14ac:dyDescent="0.25">
      <c r="B19" s="1297" t="s">
        <v>701</v>
      </c>
      <c r="C19" s="2937"/>
      <c r="D19" s="2500">
        <f>Table3.A!G30</f>
        <v>10.171738714647901</v>
      </c>
      <c r="E19" s="1923"/>
      <c r="F19" s="1923"/>
      <c r="G19" s="1923"/>
      <c r="H19" s="2938"/>
      <c r="I19" s="2939"/>
      <c r="J19" s="2934">
        <f t="shared" si="1"/>
        <v>284.80868401014123</v>
      </c>
    </row>
    <row r="20" spans="2:10" ht="18" customHeight="1" x14ac:dyDescent="0.2">
      <c r="B20" s="1456" t="s">
        <v>702</v>
      </c>
      <c r="C20" s="2940"/>
      <c r="D20" s="2920">
        <f>IF(SUM(D26:D30)=0,"NO",SUM(D26:D30))</f>
        <v>248.19808337208875</v>
      </c>
      <c r="E20" s="2920">
        <f>IF(SUM(E26:E30)=0,"NO",SUM(E26:E30))</f>
        <v>1.7792742428177359</v>
      </c>
      <c r="F20" s="2134"/>
      <c r="G20" s="2134"/>
      <c r="H20" s="2920" t="str">
        <f>IF(SUM(H26:H30)=0,"NE",SUM(H26:H30))</f>
        <v>NE</v>
      </c>
      <c r="I20" s="2931"/>
      <c r="J20" s="2941">
        <f t="shared" si="1"/>
        <v>7421.0540087651843</v>
      </c>
    </row>
    <row r="21" spans="2:10" ht="18" customHeight="1" x14ac:dyDescent="0.2">
      <c r="B21" s="228" t="s">
        <v>2019</v>
      </c>
      <c r="C21" s="2936"/>
      <c r="D21" s="2920">
        <f>D26</f>
        <v>156.56119588600484</v>
      </c>
      <c r="E21" s="2920">
        <f>E26</f>
        <v>0.84297460202760177</v>
      </c>
      <c r="F21" s="2942"/>
      <c r="G21" s="2942"/>
      <c r="H21" s="2920" t="str">
        <f>H26</f>
        <v>NE</v>
      </c>
      <c r="I21" s="2931"/>
      <c r="J21" s="2934">
        <f t="shared" si="1"/>
        <v>4607.1017543454491</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156.56119588600484</v>
      </c>
      <c r="E26" s="2920">
        <f>'Table3.B(b)'!X15</f>
        <v>0.84297460202760177</v>
      </c>
      <c r="F26" s="628"/>
      <c r="G26" s="628"/>
      <c r="H26" s="2944" t="s">
        <v>2154</v>
      </c>
      <c r="I26" s="2931"/>
      <c r="J26" s="2934">
        <f t="shared" ref="J26:J48" si="2">IF(SUM(C26:E26)=0,"NO",SUM(C26)+28*SUM(D26)+265*SUM(E26))</f>
        <v>4607.1017543454491</v>
      </c>
    </row>
    <row r="27" spans="2:10" ht="18" customHeight="1" x14ac:dyDescent="0.2">
      <c r="B27" s="228" t="s">
        <v>705</v>
      </c>
      <c r="C27" s="2936"/>
      <c r="D27" s="2920">
        <f>'Table3.B(a)'!K24</f>
        <v>29.760491131087441</v>
      </c>
      <c r="E27" s="2920" t="str">
        <f>'Table3.B(b)'!X24</f>
        <v>NA</v>
      </c>
      <c r="F27" s="2942"/>
      <c r="G27" s="2942"/>
      <c r="H27" s="2944" t="s">
        <v>2154</v>
      </c>
      <c r="I27" s="2931"/>
      <c r="J27" s="2934">
        <f t="shared" si="2"/>
        <v>833.29375167044839</v>
      </c>
    </row>
    <row r="28" spans="2:10" ht="18" customHeight="1" x14ac:dyDescent="0.2">
      <c r="B28" s="228" t="s">
        <v>706</v>
      </c>
      <c r="C28" s="2936"/>
      <c r="D28" s="2920">
        <f>'Table3.B(a)'!K27</f>
        <v>58.030751468937105</v>
      </c>
      <c r="E28" s="2920">
        <f>'Table3.B(b)'!X27</f>
        <v>0.26429927564452593</v>
      </c>
      <c r="F28" s="2942"/>
      <c r="G28" s="2942"/>
      <c r="H28" s="2944" t="s">
        <v>2154</v>
      </c>
      <c r="I28" s="2931"/>
      <c r="J28" s="2934">
        <f t="shared" si="2"/>
        <v>1694.9003491760382</v>
      </c>
    </row>
    <row r="29" spans="2:10" ht="18" customHeight="1" x14ac:dyDescent="0.2">
      <c r="B29" s="228" t="s">
        <v>707</v>
      </c>
      <c r="C29" s="2936"/>
      <c r="D29" s="2920">
        <f>'Table3.B(a)'!K30</f>
        <v>3.8456448860593735</v>
      </c>
      <c r="E29" s="2920">
        <f>'Table3.B(b)'!X30</f>
        <v>0.32979968747914512</v>
      </c>
      <c r="F29" s="2942"/>
      <c r="G29" s="2942"/>
      <c r="H29" s="2944" t="s">
        <v>2154</v>
      </c>
      <c r="I29" s="2931"/>
      <c r="J29" s="2934">
        <f t="shared" si="2"/>
        <v>195.07497399163591</v>
      </c>
    </row>
    <row r="30" spans="2:10" ht="18" customHeight="1" thickBot="1" x14ac:dyDescent="0.25">
      <c r="B30" s="1297" t="s">
        <v>708</v>
      </c>
      <c r="C30" s="2945"/>
      <c r="D30" s="2946"/>
      <c r="E30" s="2947">
        <f>SUM('Table3.B(b)'!Y46:Z46)</f>
        <v>0.34220067766646328</v>
      </c>
      <c r="F30" s="2948"/>
      <c r="G30" s="2948"/>
      <c r="H30" s="2949"/>
      <c r="I30" s="2950"/>
      <c r="J30" s="2934">
        <f t="shared" si="2"/>
        <v>90.683179581612777</v>
      </c>
    </row>
    <row r="31" spans="2:10" ht="18" customHeight="1" thickBot="1" x14ac:dyDescent="0.25">
      <c r="B31" s="2639" t="s">
        <v>709</v>
      </c>
      <c r="C31" s="2951"/>
      <c r="D31" s="2952">
        <f>Table3.C!G11</f>
        <v>3.1597074319999998</v>
      </c>
      <c r="E31" s="2953"/>
      <c r="F31" s="2953"/>
      <c r="G31" s="2953"/>
      <c r="H31" s="2954" t="s">
        <v>2154</v>
      </c>
      <c r="I31" s="2955"/>
      <c r="J31" s="2956">
        <f t="shared" si="2"/>
        <v>88.47180809599999</v>
      </c>
    </row>
    <row r="32" spans="2:10" ht="18" customHeight="1" x14ac:dyDescent="0.2">
      <c r="B32" s="2638" t="s">
        <v>2020</v>
      </c>
      <c r="C32" s="2957"/>
      <c r="D32" s="2958" t="s">
        <v>2154</v>
      </c>
      <c r="E32" s="2958">
        <f>IF(SUM(E33,E41)=0,"NO",SUM(E33,E41))</f>
        <v>37.667271906664197</v>
      </c>
      <c r="F32" s="2958" t="str">
        <f>IF(SUM(F33,F41)=0,"NO",SUM(F33,F41))</f>
        <v>NO</v>
      </c>
      <c r="G32" s="2958" t="str">
        <f>IF(SUM(G33,G41)=0,"NO",SUM(G33,G41))</f>
        <v>NO</v>
      </c>
      <c r="H32" s="2958" t="str">
        <f>IF(SUM(H33,H41)=0,"NO",SUM(H33,H41))</f>
        <v>NO</v>
      </c>
      <c r="I32" s="2959"/>
      <c r="J32" s="2960">
        <f t="shared" si="2"/>
        <v>9981.8270552660124</v>
      </c>
    </row>
    <row r="33" spans="2:10" ht="18" customHeight="1" x14ac:dyDescent="0.2">
      <c r="B33" s="228" t="s">
        <v>710</v>
      </c>
      <c r="C33" s="2961"/>
      <c r="D33" s="2962" t="s">
        <v>2154</v>
      </c>
      <c r="E33" s="2962">
        <f>IF(SUM(E34:E40)=0,"NO",SUM(E34:E40))</f>
        <v>28.042489688620993</v>
      </c>
      <c r="F33" s="2962" t="str">
        <f>IF(SUM(F34:F40)=0,"NO",SUM(F34:F40))</f>
        <v>NO</v>
      </c>
      <c r="G33" s="2962" t="str">
        <f>IF(SUM(G34:G40)=0,"NO",SUM(G34:G40))</f>
        <v>NO</v>
      </c>
      <c r="H33" s="2962" t="str">
        <f>IF(SUM(H34:H40)=0,"NO",SUM(H34:H40))</f>
        <v>NO</v>
      </c>
      <c r="I33" s="2931"/>
      <c r="J33" s="2963">
        <f t="shared" si="2"/>
        <v>7431.2597674845629</v>
      </c>
    </row>
    <row r="34" spans="2:10" ht="18" customHeight="1" x14ac:dyDescent="0.2">
      <c r="B34" s="232" t="s">
        <v>711</v>
      </c>
      <c r="C34" s="2961"/>
      <c r="D34" s="2905" t="s">
        <v>2154</v>
      </c>
      <c r="E34" s="2962">
        <f>Table3.D!F11</f>
        <v>5.9484610325604645</v>
      </c>
      <c r="F34" s="2964" t="s">
        <v>2147</v>
      </c>
      <c r="G34" s="2964" t="s">
        <v>2147</v>
      </c>
      <c r="H34" s="2964" t="s">
        <v>2147</v>
      </c>
      <c r="I34" s="2931"/>
      <c r="J34" s="2963">
        <f t="shared" si="2"/>
        <v>1576.3421736285231</v>
      </c>
    </row>
    <row r="35" spans="2:10" ht="18" customHeight="1" x14ac:dyDescent="0.2">
      <c r="B35" s="232" t="s">
        <v>712</v>
      </c>
      <c r="C35" s="2961"/>
      <c r="D35" s="2905" t="s">
        <v>2154</v>
      </c>
      <c r="E35" s="2962">
        <f>Table3.D!F12</f>
        <v>1.391896146866755</v>
      </c>
      <c r="F35" s="2964" t="s">
        <v>2147</v>
      </c>
      <c r="G35" s="2964" t="s">
        <v>2147</v>
      </c>
      <c r="H35" s="2965" t="s">
        <v>2147</v>
      </c>
      <c r="I35" s="2931"/>
      <c r="J35" s="2963">
        <f t="shared" si="2"/>
        <v>368.8524789196901</v>
      </c>
    </row>
    <row r="36" spans="2:10" ht="18" customHeight="1" x14ac:dyDescent="0.2">
      <c r="B36" s="232" t="s">
        <v>713</v>
      </c>
      <c r="C36" s="2961"/>
      <c r="D36" s="2905" t="s">
        <v>2154</v>
      </c>
      <c r="E36" s="2962">
        <f>Table3.D!F16</f>
        <v>11.26987604180221</v>
      </c>
      <c r="F36" s="2964" t="s">
        <v>2147</v>
      </c>
      <c r="G36" s="2964" t="s">
        <v>2147</v>
      </c>
      <c r="H36" s="2965" t="s">
        <v>2147</v>
      </c>
      <c r="I36" s="2931"/>
      <c r="J36" s="2963">
        <f t="shared" si="2"/>
        <v>2986.5171510775854</v>
      </c>
    </row>
    <row r="37" spans="2:10" ht="18" customHeight="1" x14ac:dyDescent="0.2">
      <c r="B37" s="232" t="s">
        <v>714</v>
      </c>
      <c r="C37" s="2961"/>
      <c r="D37" s="2905" t="s">
        <v>2154</v>
      </c>
      <c r="E37" s="2962">
        <f>Table3.D!F17</f>
        <v>8.7829212893886179</v>
      </c>
      <c r="F37" s="2964" t="s">
        <v>2147</v>
      </c>
      <c r="G37" s="2964" t="s">
        <v>2147</v>
      </c>
      <c r="H37" s="2965" t="s">
        <v>2147</v>
      </c>
      <c r="I37" s="2931"/>
      <c r="J37" s="2963">
        <f t="shared" si="2"/>
        <v>2327.4741416879838</v>
      </c>
    </row>
    <row r="38" spans="2:10" ht="18" customHeight="1" x14ac:dyDescent="0.2">
      <c r="B38" s="1705" t="s">
        <v>715</v>
      </c>
      <c r="C38" s="2961"/>
      <c r="D38" s="2905" t="s">
        <v>2154</v>
      </c>
      <c r="E38" s="2962">
        <f>Table3.D!F18</f>
        <v>0.5613351780029443</v>
      </c>
      <c r="F38" s="2964" t="s">
        <v>2147</v>
      </c>
      <c r="G38" s="2964" t="s">
        <v>2147</v>
      </c>
      <c r="H38" s="2965" t="s">
        <v>2147</v>
      </c>
      <c r="I38" s="2931"/>
      <c r="J38" s="2963">
        <f t="shared" si="2"/>
        <v>148.75382217078024</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9.624782218043201</v>
      </c>
      <c r="F41" s="2969" t="s">
        <v>2147</v>
      </c>
      <c r="G41" s="2969" t="s">
        <v>2147</v>
      </c>
      <c r="H41" s="2970" t="s">
        <v>2147</v>
      </c>
      <c r="I41" s="2971"/>
      <c r="J41" s="2972">
        <f t="shared" si="2"/>
        <v>2550.5672877814482</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5.1213039446720545</v>
      </c>
      <c r="E43" s="2979">
        <f>SUM(Table3.F!J10,Table3.F!J20,Table3.F!J23,Table3.F!J26:J27)</f>
        <v>0.19961392944126019</v>
      </c>
      <c r="F43" s="2909">
        <v>11.532718650733093</v>
      </c>
      <c r="G43" s="2909">
        <v>199.73085384221017</v>
      </c>
      <c r="H43" s="2910">
        <v>11.650966474128927</v>
      </c>
      <c r="I43" s="2980" t="s">
        <v>2146</v>
      </c>
      <c r="J43" s="2981">
        <f t="shared" si="2"/>
        <v>196.29420175275146</v>
      </c>
    </row>
    <row r="44" spans="2:10" ht="18" customHeight="1" thickBot="1" x14ac:dyDescent="0.25">
      <c r="B44" s="2641" t="s">
        <v>721</v>
      </c>
      <c r="C44" s="2982">
        <f>'Table3.G-J'!E10</f>
        <v>1069.5072182802071</v>
      </c>
      <c r="D44" s="2983"/>
      <c r="E44" s="2983"/>
      <c r="F44" s="2983"/>
      <c r="G44" s="2983"/>
      <c r="H44" s="2984"/>
      <c r="I44" s="2985"/>
      <c r="J44" s="2981">
        <f t="shared" si="2"/>
        <v>1069.5072182802071</v>
      </c>
    </row>
    <row r="45" spans="2:10" ht="18" customHeight="1" thickBot="1" x14ac:dyDescent="0.25">
      <c r="B45" s="2641" t="s">
        <v>722</v>
      </c>
      <c r="C45" s="2982">
        <f>'Table3.G-J'!E13</f>
        <v>746.28003635533344</v>
      </c>
      <c r="D45" s="2983"/>
      <c r="E45" s="2983"/>
      <c r="F45" s="2983"/>
      <c r="G45" s="2983"/>
      <c r="H45" s="2984"/>
      <c r="I45" s="2985"/>
      <c r="J45" s="2981">
        <f t="shared" si="2"/>
        <v>746.28003635533344</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28036.887999999999</v>
      </c>
      <c r="D10" s="3241"/>
      <c r="E10" s="3241"/>
      <c r="F10" s="3131">
        <f>IF(SUM(C10)=0,"NA",G10*1000/C10)</f>
        <v>56.108408024548964</v>
      </c>
      <c r="G10" s="3242">
        <f>G15</f>
        <v>1573.1051516425805</v>
      </c>
      <c r="I10" s="275" t="s">
        <v>738</v>
      </c>
      <c r="J10" s="276" t="s">
        <v>739</v>
      </c>
      <c r="K10" s="691">
        <v>465.42371045451898</v>
      </c>
      <c r="L10" s="691">
        <v>362.87243131985701</v>
      </c>
      <c r="M10" s="3147">
        <v>530.79689268128595</v>
      </c>
      <c r="N10" s="3147">
        <v>45.075955774761802</v>
      </c>
      <c r="O10" s="2911">
        <v>58.125088453713403</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14.653836340217101</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28036.887999999999</v>
      </c>
      <c r="D15" s="3248"/>
      <c r="E15" s="3248"/>
      <c r="F15" s="3131">
        <f>IF(SUM(C15)=0,"NA",G15*1000/C15)</f>
        <v>56.108408024548964</v>
      </c>
      <c r="G15" s="3249">
        <f>G20</f>
        <v>1573.1051516425805</v>
      </c>
      <c r="I15" s="1777" t="s">
        <v>748</v>
      </c>
      <c r="J15" s="1849" t="s">
        <v>297</v>
      </c>
      <c r="K15" s="3445">
        <v>75</v>
      </c>
      <c r="L15" s="3445">
        <v>58.018438500307099</v>
      </c>
      <c r="M15" s="1560">
        <v>80.266087290517902</v>
      </c>
      <c r="N15" s="1560">
        <v>66.585720602669497</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1573.1051516425805</v>
      </c>
      <c r="I20" s="72"/>
      <c r="J20" s="288"/>
      <c r="K20" s="288"/>
      <c r="L20" s="288"/>
      <c r="M20" s="288"/>
      <c r="N20" s="288"/>
      <c r="O20" s="288"/>
    </row>
    <row r="21" spans="2:15" ht="18" customHeight="1" x14ac:dyDescent="0.2">
      <c r="B21" s="2633" t="s">
        <v>2196</v>
      </c>
      <c r="C21" s="3272">
        <v>2663.67</v>
      </c>
      <c r="D21" s="3257">
        <v>235.46595419713401</v>
      </c>
      <c r="E21" s="3257">
        <v>6.1533167898600096</v>
      </c>
      <c r="F21" s="3131">
        <f t="shared" ref="F21:F30" si="0">IF(SUM(C21)=0,"NA",G21*1000/C21)</f>
        <v>95.770948952102842</v>
      </c>
      <c r="G21" s="3239">
        <v>255.1022035952478</v>
      </c>
      <c r="I21" s="72"/>
      <c r="J21" s="288"/>
      <c r="K21" s="288"/>
      <c r="L21" s="288"/>
      <c r="M21" s="288"/>
      <c r="N21" s="288"/>
      <c r="O21" s="288"/>
    </row>
    <row r="22" spans="2:15" ht="18" customHeight="1" x14ac:dyDescent="0.2">
      <c r="B22" s="2633" t="s">
        <v>2197</v>
      </c>
      <c r="C22" s="3272">
        <v>24487.758000000002</v>
      </c>
      <c r="D22" s="3257">
        <v>125.102183774127</v>
      </c>
      <c r="E22" s="3257">
        <v>6.21225</v>
      </c>
      <c r="F22" s="3131">
        <f t="shared" si="0"/>
        <v>51.370084783553928</v>
      </c>
      <c r="G22" s="3239">
        <v>1257.9382046191511</v>
      </c>
      <c r="I22" s="72"/>
      <c r="J22" s="288"/>
      <c r="K22" s="288"/>
      <c r="L22" s="288"/>
      <c r="M22" s="288"/>
      <c r="N22" s="288"/>
      <c r="O22" s="288"/>
    </row>
    <row r="23" spans="2:15" ht="18" customHeight="1" x14ac:dyDescent="0.2">
      <c r="B23" s="2633" t="s">
        <v>2198</v>
      </c>
      <c r="C23" s="3272">
        <v>885.46</v>
      </c>
      <c r="D23" s="3257">
        <v>203.079243307605</v>
      </c>
      <c r="E23" s="3257">
        <v>5.0534583736008303</v>
      </c>
      <c r="F23" s="3131">
        <f t="shared" si="0"/>
        <v>67.834507971203266</v>
      </c>
      <c r="G23" s="3239">
        <v>60.064743428181643</v>
      </c>
      <c r="I23" s="72"/>
      <c r="J23" s="288"/>
      <c r="K23" s="288"/>
      <c r="L23" s="288"/>
      <c r="M23" s="288"/>
      <c r="N23" s="288"/>
      <c r="O23" s="288"/>
    </row>
    <row r="24" spans="2:15" ht="18" customHeight="1" x14ac:dyDescent="0.2">
      <c r="B24" s="287" t="s">
        <v>753</v>
      </c>
      <c r="C24" s="2635">
        <f>C25</f>
        <v>85711.178</v>
      </c>
      <c r="D24" s="3258"/>
      <c r="E24" s="3258"/>
      <c r="F24" s="3131">
        <f t="shared" si="0"/>
        <v>6.809350972528267</v>
      </c>
      <c r="G24" s="3128">
        <f>G25</f>
        <v>583.63749327084338</v>
      </c>
      <c r="I24" s="72"/>
    </row>
    <row r="25" spans="2:15" ht="18" customHeight="1" x14ac:dyDescent="0.2">
      <c r="B25" s="282" t="s">
        <v>754</v>
      </c>
      <c r="C25" s="2635">
        <f>C26</f>
        <v>85711.178</v>
      </c>
      <c r="D25" s="3258"/>
      <c r="E25" s="3258"/>
      <c r="F25" s="3131">
        <f t="shared" si="0"/>
        <v>6.809350972528267</v>
      </c>
      <c r="G25" s="3128">
        <f>G26</f>
        <v>583.63749327084338</v>
      </c>
    </row>
    <row r="26" spans="2:15" ht="18" customHeight="1" x14ac:dyDescent="0.2">
      <c r="B26" s="2634" t="s">
        <v>2201</v>
      </c>
      <c r="C26" s="289">
        <v>85711.178</v>
      </c>
      <c r="D26" s="3259">
        <v>16.712442089300399</v>
      </c>
      <c r="E26" s="3259">
        <v>6.1640952498320498</v>
      </c>
      <c r="F26" s="3131">
        <f t="shared" si="0"/>
        <v>6.809350972528267</v>
      </c>
      <c r="G26" s="3240">
        <v>583.63749327084338</v>
      </c>
    </row>
    <row r="27" spans="2:15" ht="18" customHeight="1" x14ac:dyDescent="0.2">
      <c r="B27" s="287" t="s">
        <v>755</v>
      </c>
      <c r="C27" s="2635">
        <f>C28</f>
        <v>2604.681</v>
      </c>
      <c r="D27" s="3258"/>
      <c r="E27" s="3258"/>
      <c r="F27" s="3131">
        <f t="shared" si="0"/>
        <v>1.5253437123721252</v>
      </c>
      <c r="G27" s="3128">
        <f>G28</f>
        <v>3.9730337860851397</v>
      </c>
    </row>
    <row r="28" spans="2:15" ht="18" customHeight="1" x14ac:dyDescent="0.2">
      <c r="B28" s="282" t="s">
        <v>756</v>
      </c>
      <c r="C28" s="2635">
        <f>C29</f>
        <v>2604.681</v>
      </c>
      <c r="D28" s="3258"/>
      <c r="E28" s="3258"/>
      <c r="F28" s="3131">
        <f t="shared" si="0"/>
        <v>1.5253437123721252</v>
      </c>
      <c r="G28" s="3128">
        <f>G29</f>
        <v>3.9730337860851397</v>
      </c>
    </row>
    <row r="29" spans="2:15" ht="18" customHeight="1" x14ac:dyDescent="0.2">
      <c r="B29" s="2634" t="s">
        <v>817</v>
      </c>
      <c r="C29" s="289">
        <v>2604.681</v>
      </c>
      <c r="D29" s="3259">
        <v>32.966522094599704</v>
      </c>
      <c r="E29" s="3259">
        <v>0.7</v>
      </c>
      <c r="F29" s="3131">
        <f t="shared" si="0"/>
        <v>1.5253437123721252</v>
      </c>
      <c r="G29" s="3240">
        <v>3.9730337860851397</v>
      </c>
    </row>
    <row r="30" spans="2:15" ht="18" customHeight="1" x14ac:dyDescent="0.2">
      <c r="B30" s="287" t="s">
        <v>757</v>
      </c>
      <c r="C30" s="2635">
        <f>SUM(C32:C39)</f>
        <v>72720.565000000002</v>
      </c>
      <c r="D30" s="3258"/>
      <c r="E30" s="3258"/>
      <c r="F30" s="3131">
        <f t="shared" si="0"/>
        <v>0.13987430810868839</v>
      </c>
      <c r="G30" s="3128">
        <f>SUM(G32:G39)</f>
        <v>10.171738714647901</v>
      </c>
    </row>
    <row r="31" spans="2:15" ht="18" customHeight="1" x14ac:dyDescent="0.2">
      <c r="B31" s="1305" t="s">
        <v>345</v>
      </c>
      <c r="C31" s="3273"/>
      <c r="D31" s="3261"/>
      <c r="E31" s="3261"/>
      <c r="F31" s="3261"/>
      <c r="G31" s="3262"/>
    </row>
    <row r="32" spans="2:15" ht="18" customHeight="1" x14ac:dyDescent="0.2">
      <c r="B32" s="286" t="s">
        <v>758</v>
      </c>
      <c r="C32" s="3267">
        <v>2.6549999999999998</v>
      </c>
      <c r="D32" s="3263" t="s">
        <v>2147</v>
      </c>
      <c r="E32" s="3263" t="s">
        <v>2147</v>
      </c>
      <c r="F32" s="3131">
        <f t="shared" ref="F32:F40" si="1">IF(SUM(C32)=0,"NA",G32*1000/C32)</f>
        <v>75.996851224105455</v>
      </c>
      <c r="G32" s="3239">
        <v>0.20177163999999997</v>
      </c>
    </row>
    <row r="33" spans="2:7" ht="18" customHeight="1" x14ac:dyDescent="0.2">
      <c r="B33" s="286" t="s">
        <v>759</v>
      </c>
      <c r="C33" s="3267">
        <v>2.0339999999999998</v>
      </c>
      <c r="D33" s="3263" t="s">
        <v>2147</v>
      </c>
      <c r="E33" s="3263" t="s">
        <v>2147</v>
      </c>
      <c r="F33" s="3131">
        <f t="shared" si="1"/>
        <v>46.000938710292907</v>
      </c>
      <c r="G33" s="3239">
        <v>9.3565909336735753E-2</v>
      </c>
    </row>
    <row r="34" spans="2:7" ht="18" customHeight="1" x14ac:dyDescent="0.2">
      <c r="B34" s="286" t="s">
        <v>760</v>
      </c>
      <c r="C34" s="3267">
        <v>79.695999999999998</v>
      </c>
      <c r="D34" s="3263" t="s">
        <v>2147</v>
      </c>
      <c r="E34" s="3263" t="s">
        <v>2147</v>
      </c>
      <c r="F34" s="3131">
        <f t="shared" si="1"/>
        <v>19.999954828347718</v>
      </c>
      <c r="G34" s="3239">
        <v>1.5939163999999999</v>
      </c>
    </row>
    <row r="35" spans="2:7" ht="18" customHeight="1" x14ac:dyDescent="0.2">
      <c r="B35" s="286" t="s">
        <v>761</v>
      </c>
      <c r="C35" s="3267">
        <v>518.024</v>
      </c>
      <c r="D35" s="3263" t="s">
        <v>2147</v>
      </c>
      <c r="E35" s="3263" t="s">
        <v>2147</v>
      </c>
      <c r="F35" s="3131">
        <f t="shared" si="1"/>
        <v>5.0000019304124903</v>
      </c>
      <c r="G35" s="3239">
        <v>2.5901209999999999</v>
      </c>
    </row>
    <row r="36" spans="2:7" ht="18" customHeight="1" x14ac:dyDescent="0.2">
      <c r="B36" s="286" t="s">
        <v>762</v>
      </c>
      <c r="C36" s="3267">
        <v>263.29300000000001</v>
      </c>
      <c r="D36" s="3263" t="s">
        <v>2147</v>
      </c>
      <c r="E36" s="3263" t="s">
        <v>2147</v>
      </c>
      <c r="F36" s="3131">
        <f t="shared" si="1"/>
        <v>18.00003372668472</v>
      </c>
      <c r="G36" s="3239">
        <v>4.7392828799999993</v>
      </c>
    </row>
    <row r="37" spans="2:7" ht="18" customHeight="1" x14ac:dyDescent="0.2">
      <c r="B37" s="286" t="s">
        <v>763</v>
      </c>
      <c r="C37" s="3267">
        <v>0.36599999999999999</v>
      </c>
      <c r="D37" s="3263" t="s">
        <v>2147</v>
      </c>
      <c r="E37" s="3263" t="s">
        <v>2147</v>
      </c>
      <c r="F37" s="3131">
        <f t="shared" si="1"/>
        <v>9.9976094038510848</v>
      </c>
      <c r="G37" s="3239">
        <v>3.6591250418094969E-3</v>
      </c>
    </row>
    <row r="38" spans="2:7" ht="18" customHeight="1" x14ac:dyDescent="0.2">
      <c r="B38" s="286" t="s">
        <v>764</v>
      </c>
      <c r="C38" s="3274">
        <v>71723.482000000004</v>
      </c>
      <c r="D38" s="3263" t="s">
        <v>2147</v>
      </c>
      <c r="E38" s="3263" t="s">
        <v>2147</v>
      </c>
      <c r="F38" s="3131" t="s">
        <v>2147</v>
      </c>
      <c r="G38" s="3264" t="s">
        <v>2154</v>
      </c>
    </row>
    <row r="39" spans="2:7" ht="18" customHeight="1" x14ac:dyDescent="0.2">
      <c r="B39" s="286" t="s">
        <v>765</v>
      </c>
      <c r="C39" s="2635">
        <f>SUM(C40:C44)</f>
        <v>131.01499999999999</v>
      </c>
      <c r="D39" s="3258"/>
      <c r="E39" s="3258"/>
      <c r="F39" s="3131">
        <f t="shared" si="1"/>
        <v>7.2466645824474849</v>
      </c>
      <c r="G39" s="3128">
        <f>SUM(G40:G44)</f>
        <v>0.9494217602693571</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32.899000000000001</v>
      </c>
      <c r="D42" s="2967" t="s">
        <v>2147</v>
      </c>
      <c r="E42" s="2967" t="s">
        <v>2147</v>
      </c>
      <c r="F42" s="3131">
        <f t="shared" si="2"/>
        <v>5.0000190495359815</v>
      </c>
      <c r="G42" s="3201">
        <v>0.16449562671068427</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98.116</v>
      </c>
      <c r="D44" s="3258"/>
      <c r="E44" s="3258"/>
      <c r="F44" s="3131">
        <f>IF(SUM(C44)=0,"NA",G44*1000/C44)</f>
        <v>7.9999809771971213</v>
      </c>
      <c r="G44" s="3128">
        <f>G45</f>
        <v>0.7849261335586728</v>
      </c>
    </row>
    <row r="45" spans="2:7" ht="18" customHeight="1" thickBot="1" x14ac:dyDescent="0.25">
      <c r="B45" s="2636" t="s">
        <v>2199</v>
      </c>
      <c r="C45" s="3276">
        <v>98.116</v>
      </c>
      <c r="D45" s="3137" t="s">
        <v>2147</v>
      </c>
      <c r="E45" s="3137" t="s">
        <v>2147</v>
      </c>
      <c r="F45" s="3265">
        <f>IF(SUM(C45)=0,"NA",G45*1000/C45)</f>
        <v>7.9999809771971213</v>
      </c>
      <c r="G45" s="3203">
        <v>0.7849261335586728</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28036.887999999999</v>
      </c>
      <c r="D10" s="2942"/>
      <c r="E10" s="2942"/>
      <c r="F10" s="2942"/>
      <c r="G10" s="2942"/>
      <c r="H10" s="2942"/>
      <c r="I10" s="3279"/>
      <c r="J10" s="3280">
        <f>IF(SUM(C10)=0,"NA",K10*1000/C10)</f>
        <v>5.5841146095103289</v>
      </c>
      <c r="K10" s="3281">
        <f>K15</f>
        <v>156.56119588600484</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28036.887999999999</v>
      </c>
      <c r="D15" s="3293"/>
      <c r="E15" s="3293"/>
      <c r="F15" s="3293"/>
      <c r="G15" s="3293"/>
      <c r="H15" s="3293"/>
      <c r="I15" s="3288"/>
      <c r="J15" s="3287">
        <f>IF(SUM(C15)=0,"NA",K15*1000/C15)</f>
        <v>5.5841146095103289</v>
      </c>
      <c r="K15" s="3281">
        <f>SUM(K17:K20)</f>
        <v>156.56119588600484</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28036.887999999999</v>
      </c>
      <c r="D20" s="3293"/>
      <c r="E20" s="3293"/>
      <c r="F20" s="3293"/>
      <c r="G20" s="3293"/>
      <c r="H20" s="3293"/>
      <c r="I20" s="3288"/>
      <c r="J20" s="3301">
        <f>IF(SUM(C20)=0,"NA",K20*1000/C20)</f>
        <v>5.5841146095103289</v>
      </c>
      <c r="K20" s="3281">
        <f>SUM(K21:K23)</f>
        <v>156.56119588600484</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2663.67</v>
      </c>
      <c r="D21" s="3325">
        <v>7.55599797753964</v>
      </c>
      <c r="E21" s="3325">
        <v>92.433144993262658</v>
      </c>
      <c r="F21" s="3325">
        <v>1.0857029197699999E-2</v>
      </c>
      <c r="G21" s="3298">
        <f>Table3.A!K10</f>
        <v>465.42371045451898</v>
      </c>
      <c r="H21" s="3299">
        <v>3.3832999423538301</v>
      </c>
      <c r="I21" s="3300">
        <v>0.24</v>
      </c>
      <c r="J21" s="3301">
        <f>IF(SUM(C21)=0,"NA",K21*1000/C21)</f>
        <v>14.269895048837009</v>
      </c>
      <c r="K21" s="3277">
        <v>38.010291344735677</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24487.758000000002</v>
      </c>
      <c r="D22" s="3325" t="s">
        <v>2146</v>
      </c>
      <c r="E22" s="3325">
        <v>83.591600277041294</v>
      </c>
      <c r="F22" s="3325">
        <v>16.408399722958698</v>
      </c>
      <c r="G22" s="3298">
        <f>Table3.A!L10</f>
        <v>362.87243131985701</v>
      </c>
      <c r="H22" s="3299" t="s">
        <v>2147</v>
      </c>
      <c r="I22" s="3300" t="s">
        <v>2147</v>
      </c>
      <c r="J22" s="3301">
        <f t="shared" ref="J22:J45" si="0">IF(SUM(C22)=0,"NA",K22*1000/C22)</f>
        <v>4.7163402427111754</v>
      </c>
      <c r="K22" s="3277">
        <v>115.49259850917252</v>
      </c>
      <c r="M22" s="1594" t="s">
        <v>800</v>
      </c>
      <c r="N22" s="4486" t="s">
        <v>2196</v>
      </c>
      <c r="O22" s="1690" t="s">
        <v>802</v>
      </c>
      <c r="P22" s="1691" t="s">
        <v>791</v>
      </c>
      <c r="Q22" s="3774">
        <v>5.4770856146205098</v>
      </c>
      <c r="R22" s="300" t="s">
        <v>2146</v>
      </c>
      <c r="S22" s="3772">
        <v>4.5613583667502002</v>
      </c>
      <c r="T22" s="3772">
        <v>0.72567064925571367</v>
      </c>
      <c r="U22" s="3772" t="s">
        <v>2146</v>
      </c>
      <c r="V22" s="3772" t="s">
        <v>2153</v>
      </c>
      <c r="W22" s="3772" t="s">
        <v>2146</v>
      </c>
      <c r="X22" s="3772">
        <v>89.235885369373605</v>
      </c>
      <c r="Y22" s="301" t="s">
        <v>2146</v>
      </c>
      <c r="Z22" s="301" t="s">
        <v>2146</v>
      </c>
      <c r="AA22" s="301" t="s">
        <v>2146</v>
      </c>
      <c r="AB22" s="1306" t="s">
        <v>2146</v>
      </c>
    </row>
    <row r="23" spans="2:28" s="84" customFormat="1" ht="18" customHeight="1" x14ac:dyDescent="0.2">
      <c r="B23" s="2642" t="s">
        <v>2198</v>
      </c>
      <c r="C23" s="3325">
        <f>Table3.A!C23</f>
        <v>885.46</v>
      </c>
      <c r="D23" s="3325" t="s">
        <v>2146</v>
      </c>
      <c r="E23" s="3325">
        <v>100</v>
      </c>
      <c r="F23" s="3325" t="s">
        <v>2146</v>
      </c>
      <c r="G23" s="3298">
        <f>Table3.A!M10</f>
        <v>530.79689268128595</v>
      </c>
      <c r="H23" s="3299">
        <v>1.75330227648623</v>
      </c>
      <c r="I23" s="3300">
        <v>0.19</v>
      </c>
      <c r="J23" s="3301">
        <f t="shared" si="0"/>
        <v>3.4539177739216282</v>
      </c>
      <c r="K23" s="3277">
        <v>3.0583060320966453</v>
      </c>
      <c r="M23" s="1664" t="s">
        <v>813</v>
      </c>
      <c r="N23" s="4487"/>
      <c r="O23" s="1692" t="s">
        <v>794</v>
      </c>
      <c r="P23" s="1693" t="s">
        <v>792</v>
      </c>
      <c r="Q23" s="3776">
        <v>8.2796218403458006</v>
      </c>
      <c r="R23" s="277" t="s">
        <v>2146</v>
      </c>
      <c r="S23" s="691">
        <v>2.4195110269232099</v>
      </c>
      <c r="T23" s="3147">
        <v>1.7573959912669543</v>
      </c>
      <c r="U23" s="3147" t="s">
        <v>2146</v>
      </c>
      <c r="V23" s="3147" t="s">
        <v>2153</v>
      </c>
      <c r="W23" s="3147" t="s">
        <v>2146</v>
      </c>
      <c r="X23" s="3147">
        <v>87.543471141464096</v>
      </c>
      <c r="Y23" s="278" t="s">
        <v>2146</v>
      </c>
      <c r="Z23" s="278" t="s">
        <v>2146</v>
      </c>
      <c r="AA23" s="278" t="s">
        <v>2146</v>
      </c>
      <c r="AB23" s="279" t="s">
        <v>2146</v>
      </c>
    </row>
    <row r="24" spans="2:28" s="84" customFormat="1" ht="18" customHeight="1" thickBot="1" x14ac:dyDescent="0.25">
      <c r="B24" s="1643" t="s">
        <v>811</v>
      </c>
      <c r="C24" s="4184">
        <f>C25</f>
        <v>85711.178</v>
      </c>
      <c r="D24" s="3303"/>
      <c r="E24" s="3303"/>
      <c r="F24" s="3303"/>
      <c r="G24" s="3303"/>
      <c r="H24" s="3303"/>
      <c r="I24" s="3304"/>
      <c r="J24" s="3301">
        <f t="shared" si="0"/>
        <v>0.34721831884153359</v>
      </c>
      <c r="K24" s="3281">
        <f>K25</f>
        <v>29.760491131087441</v>
      </c>
      <c r="M24" s="1656"/>
      <c r="N24" s="4487"/>
      <c r="O24" s="1694"/>
      <c r="P24" s="1693" t="s">
        <v>793</v>
      </c>
      <c r="Q24" s="4208">
        <v>7.1634743782955903</v>
      </c>
      <c r="R24" s="304" t="s">
        <v>2146</v>
      </c>
      <c r="S24" s="1559">
        <v>5.7735465138501798</v>
      </c>
      <c r="T24" s="1560">
        <v>2.9839710096835086</v>
      </c>
      <c r="U24" s="1560" t="s">
        <v>2146</v>
      </c>
      <c r="V24" s="1560" t="s">
        <v>2153</v>
      </c>
      <c r="W24" s="1560" t="s">
        <v>2146</v>
      </c>
      <c r="X24" s="1560">
        <v>84.079008098170704</v>
      </c>
      <c r="Y24" s="305" t="s">
        <v>2146</v>
      </c>
      <c r="Z24" s="305" t="s">
        <v>2146</v>
      </c>
      <c r="AA24" s="305" t="s">
        <v>2146</v>
      </c>
      <c r="AB24" s="442" t="s">
        <v>2146</v>
      </c>
    </row>
    <row r="25" spans="2:28" s="84" customFormat="1" ht="18" customHeight="1" x14ac:dyDescent="0.2">
      <c r="B25" s="1644" t="s">
        <v>812</v>
      </c>
      <c r="C25" s="4184">
        <f>C26</f>
        <v>85711.178</v>
      </c>
      <c r="D25" s="3250"/>
      <c r="E25" s="3250"/>
      <c r="F25" s="3250"/>
      <c r="G25" s="3250"/>
      <c r="H25" s="3250"/>
      <c r="I25" s="3260"/>
      <c r="J25" s="3301">
        <f t="shared" si="0"/>
        <v>0.34721831884153359</v>
      </c>
      <c r="K25" s="3281">
        <f>K26</f>
        <v>29.760491131087441</v>
      </c>
      <c r="M25" s="1656"/>
      <c r="N25" s="4487"/>
      <c r="O25" s="1695" t="s">
        <v>2026</v>
      </c>
      <c r="P25" s="1691" t="s">
        <v>791</v>
      </c>
      <c r="Q25" s="4209">
        <v>0.7</v>
      </c>
      <c r="R25" s="1308" t="s">
        <v>2146</v>
      </c>
      <c r="S25" s="692">
        <v>4.66875E-2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85711.178</v>
      </c>
      <c r="D26" s="3325" t="s">
        <v>2146</v>
      </c>
      <c r="E26" s="3325">
        <v>100</v>
      </c>
      <c r="F26" s="3325" t="s">
        <v>2146</v>
      </c>
      <c r="G26" s="3305">
        <f>Table3.A!N10</f>
        <v>45.075955774761802</v>
      </c>
      <c r="H26" s="3033" t="s">
        <v>2147</v>
      </c>
      <c r="I26" s="3126" t="s">
        <v>2147</v>
      </c>
      <c r="J26" s="3301">
        <f t="shared" si="0"/>
        <v>0.34721831884153359</v>
      </c>
      <c r="K26" s="3277">
        <v>29.760491131087441</v>
      </c>
      <c r="M26" s="1656"/>
      <c r="N26" s="4487"/>
      <c r="O26" s="1696"/>
      <c r="P26" s="1693" t="s">
        <v>792</v>
      </c>
      <c r="Q26" s="3776">
        <v>0.74404687891793997</v>
      </c>
      <c r="R26" s="277" t="s">
        <v>2146</v>
      </c>
      <c r="S26" s="691">
        <v>7.4502790185880005E-2</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2604.681</v>
      </c>
      <c r="D27" s="3250"/>
      <c r="E27" s="3250"/>
      <c r="F27" s="3250"/>
      <c r="G27" s="3250"/>
      <c r="H27" s="3250"/>
      <c r="I27" s="3260"/>
      <c r="J27" s="3301">
        <f t="shared" si="0"/>
        <v>22.27940829181658</v>
      </c>
      <c r="K27" s="3281">
        <f>K28</f>
        <v>58.030751468937105</v>
      </c>
      <c r="M27" s="1656"/>
      <c r="N27" s="4488"/>
      <c r="O27" s="1697"/>
      <c r="P27" s="1693" t="s">
        <v>793</v>
      </c>
      <c r="Q27" s="4208">
        <v>0.8</v>
      </c>
      <c r="R27" s="304" t="s">
        <v>2146</v>
      </c>
      <c r="S27" s="1559">
        <v>0.27314814814815003</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2604.681</v>
      </c>
      <c r="D28" s="3250"/>
      <c r="E28" s="3250"/>
      <c r="F28" s="3250"/>
      <c r="G28" s="3250"/>
      <c r="H28" s="3250"/>
      <c r="I28" s="3260"/>
      <c r="J28" s="3301">
        <f t="shared" si="0"/>
        <v>22.27940829181658</v>
      </c>
      <c r="K28" s="3281">
        <f>K29</f>
        <v>58.030751468937105</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2604.681</v>
      </c>
      <c r="D29" s="3325">
        <v>0.73805415647961004</v>
      </c>
      <c r="E29" s="3325">
        <v>99.261945843520394</v>
      </c>
      <c r="F29" s="3325" t="s">
        <v>2146</v>
      </c>
      <c r="G29" s="3305">
        <f>Table3.A!O10</f>
        <v>58.125088453713403</v>
      </c>
      <c r="H29" s="3033">
        <v>0.37247151061709999</v>
      </c>
      <c r="I29" s="3126">
        <v>0.45</v>
      </c>
      <c r="J29" s="3301">
        <f t="shared" si="0"/>
        <v>22.27940829181658</v>
      </c>
      <c r="K29" s="3277">
        <v>58.030751468937105</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72720.565000000002</v>
      </c>
      <c r="D30" s="3250"/>
      <c r="E30" s="3250"/>
      <c r="F30" s="3250"/>
      <c r="G30" s="3250"/>
      <c r="H30" s="3250"/>
      <c r="I30" s="3260"/>
      <c r="J30" s="3301">
        <f t="shared" si="0"/>
        <v>5.2882494601896639E-2</v>
      </c>
      <c r="K30" s="3281">
        <f>SUM(K32:K39)</f>
        <v>3.8456448860593735</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2.6549999999999998</v>
      </c>
      <c r="D32" s="3325" t="s">
        <v>2146</v>
      </c>
      <c r="E32" s="3325" t="s">
        <v>2146</v>
      </c>
      <c r="F32" s="3325">
        <v>100</v>
      </c>
      <c r="G32" s="3307" t="s">
        <v>2147</v>
      </c>
      <c r="H32" s="3307" t="s">
        <v>2147</v>
      </c>
      <c r="I32" s="3307" t="s">
        <v>2147</v>
      </c>
      <c r="J32" s="3301">
        <f t="shared" si="0"/>
        <v>11.569517322838282</v>
      </c>
      <c r="K32" s="3277">
        <v>3.0717068492135634E-2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2.0339999999999998</v>
      </c>
      <c r="D33" s="3325" t="s">
        <v>2146</v>
      </c>
      <c r="E33" s="3325">
        <v>26.255192207158601</v>
      </c>
      <c r="F33" s="3325">
        <v>73.744807792841399</v>
      </c>
      <c r="G33" s="3307" t="s">
        <v>2147</v>
      </c>
      <c r="H33" s="3307" t="s">
        <v>2147</v>
      </c>
      <c r="I33" s="3307" t="s">
        <v>2147</v>
      </c>
      <c r="J33" s="3287">
        <f t="shared" si="0"/>
        <v>9.3200203014111995</v>
      </c>
      <c r="K33" s="3277">
        <v>1.8956921293070375E-2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79.695999999999998</v>
      </c>
      <c r="D34" s="3325" t="s">
        <v>2146</v>
      </c>
      <c r="E34" s="3325">
        <v>100</v>
      </c>
      <c r="F34" s="3325" t="e">
        <v>#VALUE!</v>
      </c>
      <c r="G34" s="3307" t="s">
        <v>2147</v>
      </c>
      <c r="H34" s="3307" t="s">
        <v>2147</v>
      </c>
      <c r="I34" s="3307" t="s">
        <v>2147</v>
      </c>
      <c r="J34" s="3287">
        <f t="shared" si="0"/>
        <v>0.99987399820053269</v>
      </c>
      <c r="K34" s="3277">
        <v>7.9685958160589654E-2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518.024</v>
      </c>
      <c r="D35" s="3325" t="s">
        <v>2146</v>
      </c>
      <c r="E35" s="3325">
        <v>99.871673948823243</v>
      </c>
      <c r="F35" s="3325">
        <v>0.12832605117675999</v>
      </c>
      <c r="G35" s="3307" t="s">
        <v>2147</v>
      </c>
      <c r="H35" s="3307" t="s">
        <v>2147</v>
      </c>
      <c r="I35" s="3307" t="s">
        <v>2147</v>
      </c>
      <c r="J35" s="3287">
        <f t="shared" si="0"/>
        <v>0.35863279614375715</v>
      </c>
      <c r="K35" s="3277">
        <v>0.18578039558957365</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19</v>
      </c>
      <c r="Z35" s="278" t="s">
        <v>2146</v>
      </c>
      <c r="AA35" s="278" t="s">
        <v>2146</v>
      </c>
      <c r="AB35" s="279" t="s">
        <v>2146</v>
      </c>
    </row>
    <row r="36" spans="2:28" s="84" customFormat="1" ht="18" customHeight="1" thickBot="1" x14ac:dyDescent="0.25">
      <c r="B36" s="1644" t="s">
        <v>822</v>
      </c>
      <c r="C36" s="3307">
        <f>Table3.A!C36</f>
        <v>263.29300000000001</v>
      </c>
      <c r="D36" s="3325" t="s">
        <v>2146</v>
      </c>
      <c r="E36" s="3325">
        <v>97.296590998172277</v>
      </c>
      <c r="F36" s="3325">
        <v>2.7034090018277199</v>
      </c>
      <c r="G36" s="3307" t="s">
        <v>2147</v>
      </c>
      <c r="H36" s="3307" t="s">
        <v>2147</v>
      </c>
      <c r="I36" s="3307" t="s">
        <v>2147</v>
      </c>
      <c r="J36" s="3287">
        <f t="shared" si="0"/>
        <v>3.2313269216988854</v>
      </c>
      <c r="K36" s="3277">
        <v>0.85078575919486465</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0.36599999999999999</v>
      </c>
      <c r="D37" s="3325" t="s">
        <v>2146</v>
      </c>
      <c r="E37" s="3325">
        <v>95.492567371779472</v>
      </c>
      <c r="F37" s="3325">
        <v>4.5074326282205304</v>
      </c>
      <c r="G37" s="3307" t="s">
        <v>2147</v>
      </c>
      <c r="H37" s="3307" t="s">
        <v>2147</v>
      </c>
      <c r="I37" s="3307" t="s">
        <v>2147</v>
      </c>
      <c r="J37" s="3287">
        <f t="shared" si="0"/>
        <v>1.1283742964988011</v>
      </c>
      <c r="K37" s="3277">
        <v>4.1298499251856118E-4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71723.482000000004</v>
      </c>
      <c r="D38" s="3325">
        <v>1.25370507020954</v>
      </c>
      <c r="E38" s="3325">
        <v>98.746294929790466</v>
      </c>
      <c r="F38" s="3325" t="s">
        <v>2146</v>
      </c>
      <c r="G38" s="3307" t="s">
        <v>2147</v>
      </c>
      <c r="H38" s="3307" t="s">
        <v>2147</v>
      </c>
      <c r="I38" s="3307" t="s">
        <v>2147</v>
      </c>
      <c r="J38" s="3287">
        <f t="shared" si="0"/>
        <v>3.6703338289009194E-2</v>
      </c>
      <c r="K38" s="3277">
        <v>2.6324912231116619</v>
      </c>
      <c r="M38" s="1656"/>
      <c r="N38" s="4487"/>
      <c r="O38" s="1696"/>
      <c r="P38" s="1693" t="s">
        <v>792</v>
      </c>
      <c r="Q38" s="3776">
        <v>0.76210232275807999</v>
      </c>
      <c r="R38" s="277" t="s">
        <v>2146</v>
      </c>
      <c r="S38" s="277" t="s">
        <v>2146</v>
      </c>
      <c r="T38" s="3147" t="s">
        <v>2153</v>
      </c>
      <c r="U38" s="3147" t="s">
        <v>2146</v>
      </c>
      <c r="V38" s="3147">
        <v>2.0672504749897826E-2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131.01499999999999</v>
      </c>
      <c r="D39" s="3294"/>
      <c r="E39" s="3294"/>
      <c r="F39" s="3294"/>
      <c r="G39" s="3294"/>
      <c r="H39" s="3294"/>
      <c r="I39" s="3295"/>
      <c r="J39" s="3287">
        <f t="shared" si="0"/>
        <v>0.3573222548941668</v>
      </c>
      <c r="K39" s="3281">
        <f>SUM(K40:K44)</f>
        <v>4.6814575224959257E-2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59.9</v>
      </c>
      <c r="R40" s="300" t="s">
        <v>2146</v>
      </c>
      <c r="S40" s="300" t="s">
        <v>2146</v>
      </c>
      <c r="T40" s="3773" t="s">
        <v>2153</v>
      </c>
      <c r="U40" s="3773" t="s">
        <v>2153</v>
      </c>
      <c r="V40" s="3773">
        <v>36.1</v>
      </c>
      <c r="W40" s="3773" t="s">
        <v>2153</v>
      </c>
      <c r="X40" s="301" t="s">
        <v>2146</v>
      </c>
      <c r="Y40" s="301" t="s">
        <v>2146</v>
      </c>
      <c r="Z40" s="3773" t="s">
        <v>2146</v>
      </c>
      <c r="AA40" s="301" t="s">
        <v>2146</v>
      </c>
      <c r="AB40" s="3775">
        <v>32.5</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68.516899519833402</v>
      </c>
      <c r="R41" s="277" t="s">
        <v>2146</v>
      </c>
      <c r="S41" s="277" t="s">
        <v>2146</v>
      </c>
      <c r="T41" s="3147" t="s">
        <v>2153</v>
      </c>
      <c r="U41" s="3147" t="s">
        <v>2153</v>
      </c>
      <c r="V41" s="3147">
        <v>27.938690126561305</v>
      </c>
      <c r="W41" s="3147" t="s">
        <v>2153</v>
      </c>
      <c r="X41" s="278" t="s">
        <v>2146</v>
      </c>
      <c r="Y41" s="278" t="s">
        <v>2146</v>
      </c>
      <c r="Z41" s="3147">
        <v>0.60424705440663995</v>
      </c>
      <c r="AA41" s="278" t="s">
        <v>2146</v>
      </c>
      <c r="AB41" s="2911">
        <v>23.6143598221677</v>
      </c>
    </row>
    <row r="42" spans="2:28" s="84" customFormat="1" ht="18" customHeight="1" thickBot="1" x14ac:dyDescent="0.25">
      <c r="B42" s="350" t="s">
        <v>828</v>
      </c>
      <c r="C42" s="3307">
        <f>Table3.A!C42</f>
        <v>32.899000000000001</v>
      </c>
      <c r="D42" s="3325" t="s">
        <v>2146</v>
      </c>
      <c r="E42" s="3325">
        <v>100</v>
      </c>
      <c r="F42" s="3325" t="s">
        <v>2146</v>
      </c>
      <c r="G42" s="3307" t="s">
        <v>2147</v>
      </c>
      <c r="H42" s="3307" t="s">
        <v>2147</v>
      </c>
      <c r="I42" s="3307" t="s">
        <v>2147</v>
      </c>
      <c r="J42" s="3287">
        <f t="shared" si="0"/>
        <v>0.35732391071188829</v>
      </c>
      <c r="K42" s="3277">
        <v>1.1755599338510413E-2</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1.8337950138504155</v>
      </c>
      <c r="W43" s="3773" t="s">
        <v>2153</v>
      </c>
      <c r="X43" s="301" t="s">
        <v>2146</v>
      </c>
      <c r="Y43" s="301" t="s">
        <v>2146</v>
      </c>
      <c r="Z43" s="3773" t="s">
        <v>2146</v>
      </c>
      <c r="AA43" s="301" t="s">
        <v>2146</v>
      </c>
      <c r="AB43" s="3775">
        <v>3.9230769230769999E-2</v>
      </c>
    </row>
    <row r="44" spans="2:28" s="84" customFormat="1" ht="18" customHeight="1" x14ac:dyDescent="0.2">
      <c r="B44" s="2644" t="s">
        <v>2091</v>
      </c>
      <c r="C44" s="4184">
        <f>C45</f>
        <v>98.116</v>
      </c>
      <c r="D44" s="3294"/>
      <c r="E44" s="3294"/>
      <c r="F44" s="3294"/>
      <c r="G44" s="3294"/>
      <c r="H44" s="3294"/>
      <c r="I44" s="3295"/>
      <c r="J44" s="3287">
        <f t="shared" si="0"/>
        <v>0.35732169968658367</v>
      </c>
      <c r="K44" s="3281">
        <f>K45</f>
        <v>3.5058975886448844E-2</v>
      </c>
      <c r="M44" s="4491"/>
      <c r="N44" s="4492"/>
      <c r="O44" s="1696"/>
      <c r="P44" s="1693" t="s">
        <v>792</v>
      </c>
      <c r="Q44" s="3776">
        <v>0.75611175086677995</v>
      </c>
      <c r="R44" s="277" t="s">
        <v>2146</v>
      </c>
      <c r="S44" s="277" t="s">
        <v>2146</v>
      </c>
      <c r="T44" s="3147" t="s">
        <v>2153</v>
      </c>
      <c r="U44" s="3147" t="s">
        <v>2153</v>
      </c>
      <c r="V44" s="3147">
        <v>1.9022430505047099</v>
      </c>
      <c r="W44" s="3147" t="s">
        <v>2153</v>
      </c>
      <c r="X44" s="278" t="s">
        <v>2146</v>
      </c>
      <c r="Y44" s="278" t="s">
        <v>2146</v>
      </c>
      <c r="Z44" s="3147">
        <v>0.1</v>
      </c>
      <c r="AA44" s="278" t="s">
        <v>2146</v>
      </c>
      <c r="AB44" s="2911">
        <v>3.9452636391600002E-2</v>
      </c>
    </row>
    <row r="45" spans="2:28" s="84" customFormat="1" ht="18" customHeight="1" thickBot="1" x14ac:dyDescent="0.25">
      <c r="B45" s="2648" t="s">
        <v>2199</v>
      </c>
      <c r="C45" s="4186">
        <f>Table3.A!C45</f>
        <v>98.116</v>
      </c>
      <c r="D45" s="3040" t="s">
        <v>2146</v>
      </c>
      <c r="E45" s="3040">
        <v>100</v>
      </c>
      <c r="F45" s="3040" t="s">
        <v>2146</v>
      </c>
      <c r="G45" s="3040" t="s">
        <v>2147</v>
      </c>
      <c r="H45" s="3040" t="s">
        <v>2147</v>
      </c>
      <c r="I45" s="3308" t="s">
        <v>2147</v>
      </c>
      <c r="J45" s="3309">
        <f t="shared" si="0"/>
        <v>0.35732169968658367</v>
      </c>
      <c r="K45" s="3278">
        <v>3.5058975886448844E-2</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47.188903914872462</v>
      </c>
      <c r="U46" s="3773" t="s">
        <v>2146</v>
      </c>
      <c r="V46" s="3773" t="s">
        <v>2146</v>
      </c>
      <c r="W46" s="3773" t="s">
        <v>2153</v>
      </c>
      <c r="X46" s="3773">
        <v>0.9422116297034</v>
      </c>
      <c r="Y46" s="3773">
        <v>18.305886878523999</v>
      </c>
      <c r="Z46" s="3773">
        <v>0.39453565110743999</v>
      </c>
      <c r="AA46" s="301" t="s">
        <v>2146</v>
      </c>
      <c r="AB46" s="3775">
        <v>99.057788370296606</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44.772077699278036</v>
      </c>
      <c r="U47" s="3147" t="s">
        <v>2146</v>
      </c>
      <c r="V47" s="3147" t="s">
        <v>2146</v>
      </c>
      <c r="W47" s="3147" t="s">
        <v>2153</v>
      </c>
      <c r="X47" s="3147">
        <v>0.95748253519932003</v>
      </c>
      <c r="Y47" s="3147">
        <v>18.805360020031902</v>
      </c>
      <c r="Z47" s="3147">
        <v>0.29027736156041001</v>
      </c>
      <c r="AA47" s="278" t="s">
        <v>2146</v>
      </c>
      <c r="AB47" s="2911">
        <v>99.042517464800696</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1.9999999999999997E-2</v>
      </c>
      <c r="U50" s="3147" t="s">
        <v>2146</v>
      </c>
      <c r="V50" s="3147" t="s">
        <v>2146</v>
      </c>
      <c r="W50" s="3147" t="s">
        <v>2153</v>
      </c>
      <c r="X50" s="3147">
        <v>1.32176741224E-2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28036.887999999999</v>
      </c>
      <c r="D10" s="3490"/>
      <c r="E10" s="3491"/>
      <c r="F10" s="3478">
        <f>F15</f>
        <v>28402438.020488679</v>
      </c>
      <c r="G10" s="3478" t="str">
        <f t="shared" ref="G10:R10" si="0">G15</f>
        <v>NO</v>
      </c>
      <c r="H10" s="3478">
        <f t="shared" si="0"/>
        <v>8604665.8031302392</v>
      </c>
      <c r="I10" s="3478">
        <f t="shared" si="0"/>
        <v>5637179.3313264987</v>
      </c>
      <c r="J10" s="3478" t="str">
        <f t="shared" si="0"/>
        <v>NO</v>
      </c>
      <c r="K10" s="3478">
        <f t="shared" si="0"/>
        <v>77933300.004667938</v>
      </c>
      <c r="L10" s="3478">
        <f t="shared" si="0"/>
        <v>9268084.0519311074</v>
      </c>
      <c r="M10" s="3478">
        <f t="shared" si="0"/>
        <v>1172753681.4322901</v>
      </c>
      <c r="N10" s="3478">
        <f t="shared" si="0"/>
        <v>9268084.0519311074</v>
      </c>
      <c r="O10" s="3478" t="str">
        <f t="shared" si="0"/>
        <v>NO</v>
      </c>
      <c r="P10" s="3478" t="str">
        <f t="shared" si="0"/>
        <v>NO</v>
      </c>
      <c r="Q10" s="3478" t="str">
        <f t="shared" si="0"/>
        <v>NO</v>
      </c>
      <c r="R10" s="3478">
        <f t="shared" si="0"/>
        <v>1311867432.6957657</v>
      </c>
      <c r="S10" s="2651"/>
      <c r="T10" s="2652"/>
      <c r="U10" s="3456">
        <f>IF(SUM(X10)=0,"NA",X10*1000/C10)</f>
        <v>3.0066625155673547E-2</v>
      </c>
      <c r="V10" s="3448"/>
      <c r="W10" s="3449"/>
      <c r="X10" s="3311">
        <f t="shared" ref="X10" si="1">X15</f>
        <v>0.84297460202760177</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28036.887999999999</v>
      </c>
      <c r="D15" s="3493"/>
      <c r="E15" s="3493"/>
      <c r="F15" s="2649">
        <f>F20</f>
        <v>28402438.020488679</v>
      </c>
      <c r="G15" s="2649" t="str">
        <f t="shared" ref="G15:R15" si="2">G20</f>
        <v>NO</v>
      </c>
      <c r="H15" s="2649">
        <f t="shared" si="2"/>
        <v>8604665.8031302392</v>
      </c>
      <c r="I15" s="2649">
        <f t="shared" si="2"/>
        <v>5637179.3313264987</v>
      </c>
      <c r="J15" s="2649" t="str">
        <f t="shared" si="2"/>
        <v>NO</v>
      </c>
      <c r="K15" s="2649">
        <f t="shared" si="2"/>
        <v>77933300.004667938</v>
      </c>
      <c r="L15" s="2649">
        <f t="shared" si="2"/>
        <v>9268084.0519311074</v>
      </c>
      <c r="M15" s="2649">
        <f t="shared" si="2"/>
        <v>1172753681.4322901</v>
      </c>
      <c r="N15" s="2649">
        <f t="shared" si="2"/>
        <v>9268084.0519311074</v>
      </c>
      <c r="O15" s="2649" t="str">
        <f t="shared" si="2"/>
        <v>NO</v>
      </c>
      <c r="P15" s="2649" t="str">
        <f t="shared" si="2"/>
        <v>NO</v>
      </c>
      <c r="Q15" s="2649" t="str">
        <f t="shared" si="2"/>
        <v>NO</v>
      </c>
      <c r="R15" s="2649">
        <f t="shared" si="2"/>
        <v>1311867432.6957657</v>
      </c>
      <c r="S15" s="2657"/>
      <c r="T15" s="2658"/>
      <c r="U15" s="3456">
        <f>IF(SUM(X15)=0,"NA",X15*1000/C15)</f>
        <v>3.0066625155673547E-2</v>
      </c>
      <c r="V15" s="3454"/>
      <c r="W15" s="3455"/>
      <c r="X15" s="3314">
        <f t="shared" ref="X15" si="3">X20</f>
        <v>0.84297460202760177</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28036.887999999999</v>
      </c>
      <c r="D20" s="3492"/>
      <c r="E20" s="3492"/>
      <c r="F20" s="2649">
        <f>IF(SUM(F21:F23)=0,"NO",SUM(F21:F23))</f>
        <v>28402438.020488679</v>
      </c>
      <c r="G20" s="2649" t="str">
        <f t="shared" ref="G20:Q20" si="6">IF(SUM(G21:G23)=0,"NO",SUM(G21:G23))</f>
        <v>NO</v>
      </c>
      <c r="H20" s="2649">
        <f t="shared" si="6"/>
        <v>8604665.8031302392</v>
      </c>
      <c r="I20" s="2649">
        <f t="shared" si="6"/>
        <v>5637179.3313264987</v>
      </c>
      <c r="J20" s="2649" t="str">
        <f t="shared" si="6"/>
        <v>NO</v>
      </c>
      <c r="K20" s="2649">
        <f t="shared" si="6"/>
        <v>77933300.004667938</v>
      </c>
      <c r="L20" s="2649">
        <f t="shared" si="6"/>
        <v>9268084.0519311074</v>
      </c>
      <c r="M20" s="2649">
        <f t="shared" si="6"/>
        <v>1172753681.4322901</v>
      </c>
      <c r="N20" s="2649">
        <f t="shared" si="6"/>
        <v>9268084.0519311074</v>
      </c>
      <c r="O20" s="2649" t="str">
        <f t="shared" si="6"/>
        <v>NO</v>
      </c>
      <c r="P20" s="2649" t="str">
        <f t="shared" si="6"/>
        <v>NO</v>
      </c>
      <c r="Q20" s="2649" t="str">
        <f t="shared" si="6"/>
        <v>NO</v>
      </c>
      <c r="R20" s="3482">
        <f>IF(SUM(F20:Q20)=0,"NO",SUM(F20:Q20))</f>
        <v>1311867432.6957657</v>
      </c>
      <c r="S20" s="2657"/>
      <c r="T20" s="2658"/>
      <c r="U20" s="3456">
        <f t="shared" si="4"/>
        <v>3.0066625155673547E-2</v>
      </c>
      <c r="V20" s="3454"/>
      <c r="W20" s="3455"/>
      <c r="X20" s="3314">
        <f t="shared" ref="X20" si="7">IF(SUM(X21:X23)=0,"NO",SUM(X21:X23))</f>
        <v>0.84297460202760177</v>
      </c>
      <c r="Y20" s="3173"/>
      <c r="Z20" s="3457"/>
    </row>
    <row r="21" spans="2:26" ht="18" customHeight="1" x14ac:dyDescent="0.2">
      <c r="B21" s="2647" t="s">
        <v>2196</v>
      </c>
      <c r="C21" s="3495">
        <f>Table3.A!C21</f>
        <v>2663.67</v>
      </c>
      <c r="D21" s="3307">
        <v>127.97895596616819</v>
      </c>
      <c r="E21" s="3494">
        <f>'Table3.B(a)'!G21</f>
        <v>465.42371045451898</v>
      </c>
      <c r="F21" s="3479">
        <v>27236706.454575099</v>
      </c>
      <c r="G21" s="3479" t="s">
        <v>2146</v>
      </c>
      <c r="H21" s="3479">
        <v>8604665.8031302392</v>
      </c>
      <c r="I21" s="3479">
        <v>5637179.3313264987</v>
      </c>
      <c r="J21" s="3479" t="s">
        <v>2146</v>
      </c>
      <c r="K21" s="3479" t="s">
        <v>2153</v>
      </c>
      <c r="L21" s="3479" t="s">
        <v>2146</v>
      </c>
      <c r="M21" s="3479">
        <v>299415100.98732698</v>
      </c>
      <c r="N21" s="3479" t="s">
        <v>2146</v>
      </c>
      <c r="O21" s="3479" t="s">
        <v>2146</v>
      </c>
      <c r="P21" s="3479" t="s">
        <v>2146</v>
      </c>
      <c r="Q21" s="3479" t="s">
        <v>2146</v>
      </c>
      <c r="R21" s="3482">
        <f t="shared" ref="R21:R45" si="8">IF(SUM(F21:Q21)=0,"NO",SUM(F21:Q21))</f>
        <v>340893652.5763588</v>
      </c>
      <c r="S21" s="2657"/>
      <c r="T21" s="2658"/>
      <c r="U21" s="3456">
        <f t="shared" si="4"/>
        <v>1.6628232220044278E-2</v>
      </c>
      <c r="V21" s="3454"/>
      <c r="W21" s="3455"/>
      <c r="X21" s="3315">
        <v>4.4292123317565345E-2</v>
      </c>
      <c r="Y21" s="3173"/>
      <c r="Z21" s="3457"/>
    </row>
    <row r="22" spans="2:26" ht="18" customHeight="1" x14ac:dyDescent="0.2">
      <c r="B22" s="2647" t="s">
        <v>2197</v>
      </c>
      <c r="C22" s="3495">
        <f>Table3.A!C22</f>
        <v>24487.758000000002</v>
      </c>
      <c r="D22" s="3307">
        <v>35.664292775691614</v>
      </c>
      <c r="E22" s="3494">
        <f>'Table3.B(a)'!G22</f>
        <v>362.87243131985701</v>
      </c>
      <c r="F22" s="3483" t="s">
        <v>2146</v>
      </c>
      <c r="G22" s="3479" t="s">
        <v>2146</v>
      </c>
      <c r="H22" s="3483" t="s">
        <v>2146</v>
      </c>
      <c r="I22" s="3483" t="s">
        <v>2146</v>
      </c>
      <c r="J22" s="3483" t="s">
        <v>2146</v>
      </c>
      <c r="K22" s="3483" t="s">
        <v>2146</v>
      </c>
      <c r="L22" s="3483" t="s">
        <v>2146</v>
      </c>
      <c r="M22" s="3483">
        <v>873338580.44496298</v>
      </c>
      <c r="N22" s="3483" t="s">
        <v>2146</v>
      </c>
      <c r="O22" s="3483" t="s">
        <v>2146</v>
      </c>
      <c r="P22" s="3483" t="s">
        <v>2146</v>
      </c>
      <c r="Q22" s="3483" t="s">
        <v>2146</v>
      </c>
      <c r="R22" s="3482">
        <f t="shared" si="8"/>
        <v>873338580.44496298</v>
      </c>
      <c r="S22" s="2657"/>
      <c r="T22" s="2658"/>
      <c r="U22" s="3456" t="str">
        <f>IF(SUM(X22)=0,"NA",X22*1000/C22)</f>
        <v>NA</v>
      </c>
      <c r="V22" s="3454"/>
      <c r="W22" s="3455"/>
      <c r="X22" s="3315" t="s">
        <v>2147</v>
      </c>
      <c r="Y22" s="3173"/>
      <c r="Z22" s="3457"/>
    </row>
    <row r="23" spans="2:26" ht="18" customHeight="1" x14ac:dyDescent="0.2">
      <c r="B23" s="2647" t="s">
        <v>2198</v>
      </c>
      <c r="C23" s="3495">
        <f>Table3.A!C23</f>
        <v>885.46</v>
      </c>
      <c r="D23" s="3307">
        <v>73.140363852051308</v>
      </c>
      <c r="E23" s="3494">
        <f>'Table3.B(a)'!G23</f>
        <v>530.79689268128595</v>
      </c>
      <c r="F23" s="3483">
        <v>1165731.5659135799</v>
      </c>
      <c r="G23" s="3479" t="s">
        <v>2146</v>
      </c>
      <c r="H23" s="3483" t="s">
        <v>2146</v>
      </c>
      <c r="I23" s="3483" t="s">
        <v>2153</v>
      </c>
      <c r="J23" s="3483" t="s">
        <v>2153</v>
      </c>
      <c r="K23" s="3483">
        <v>77933300.004667938</v>
      </c>
      <c r="L23" s="3483">
        <v>9268084.0519311074</v>
      </c>
      <c r="M23" s="3483" t="s">
        <v>2146</v>
      </c>
      <c r="N23" s="3483">
        <v>9268084.0519311074</v>
      </c>
      <c r="O23" s="3483" t="s">
        <v>2146</v>
      </c>
      <c r="P23" s="3483" t="s">
        <v>2146</v>
      </c>
      <c r="Q23" s="3483" t="s">
        <v>2146</v>
      </c>
      <c r="R23" s="3482">
        <f t="shared" si="8"/>
        <v>97635199.674443737</v>
      </c>
      <c r="S23" s="2657"/>
      <c r="T23" s="2658"/>
      <c r="U23" s="3456">
        <f t="shared" ref="U23:U30" si="9">IF(SUM(X23)=0,"NA",X23*1000/C23)</f>
        <v>0.90199724291332917</v>
      </c>
      <c r="V23" s="3454"/>
      <c r="W23" s="3455"/>
      <c r="X23" s="3315">
        <v>0.79868247871003639</v>
      </c>
      <c r="Y23" s="3173"/>
      <c r="Z23" s="3457"/>
    </row>
    <row r="24" spans="2:26" ht="18" customHeight="1" x14ac:dyDescent="0.2">
      <c r="B24" s="351" t="s">
        <v>811</v>
      </c>
      <c r="C24" s="3314">
        <f>C25</f>
        <v>85711.178</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603542176.80620503</v>
      </c>
      <c r="N24" s="2649" t="str">
        <f t="shared" si="10"/>
        <v>NO</v>
      </c>
      <c r="O24" s="2649" t="str">
        <f t="shared" si="10"/>
        <v>NO</v>
      </c>
      <c r="P24" s="2649" t="str">
        <f t="shared" si="10"/>
        <v>NO</v>
      </c>
      <c r="Q24" s="2649" t="str">
        <f t="shared" si="10"/>
        <v>NO</v>
      </c>
      <c r="R24" s="3482">
        <f t="shared" si="8"/>
        <v>603542176.80620503</v>
      </c>
      <c r="S24" s="2657"/>
      <c r="T24" s="2658"/>
      <c r="U24" s="3456" t="str">
        <f t="shared" si="9"/>
        <v>NA</v>
      </c>
      <c r="V24" s="3454"/>
      <c r="W24" s="3455"/>
      <c r="X24" s="3314" t="str">
        <f t="shared" ref="X24:X25" si="11">X25</f>
        <v>NA</v>
      </c>
      <c r="Y24" s="3173"/>
      <c r="Z24" s="3457"/>
    </row>
    <row r="25" spans="2:26" ht="18" customHeight="1" x14ac:dyDescent="0.2">
      <c r="B25" s="350" t="s">
        <v>812</v>
      </c>
      <c r="C25" s="3314">
        <f>C26</f>
        <v>85711.178</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603542176.80620503</v>
      </c>
      <c r="N25" s="2649" t="str">
        <f t="shared" si="10"/>
        <v>NO</v>
      </c>
      <c r="O25" s="2649" t="str">
        <f t="shared" si="10"/>
        <v>NO</v>
      </c>
      <c r="P25" s="2649" t="str">
        <f t="shared" si="10"/>
        <v>NO</v>
      </c>
      <c r="Q25" s="2649" t="str">
        <f t="shared" si="10"/>
        <v>NO</v>
      </c>
      <c r="R25" s="3482">
        <f t="shared" si="8"/>
        <v>603542176.80620503</v>
      </c>
      <c r="S25" s="2657"/>
      <c r="T25" s="2658"/>
      <c r="U25" s="3456" t="str">
        <f t="shared" si="9"/>
        <v>NA</v>
      </c>
      <c r="V25" s="3454"/>
      <c r="W25" s="3455"/>
      <c r="X25" s="3314" t="str">
        <f t="shared" si="11"/>
        <v>NA</v>
      </c>
      <c r="Y25" s="3173"/>
      <c r="Z25" s="3457"/>
    </row>
    <row r="26" spans="2:26" ht="18" customHeight="1" x14ac:dyDescent="0.2">
      <c r="B26" s="2642" t="s">
        <v>2201</v>
      </c>
      <c r="C26" s="3495">
        <f>Table3.A!C26</f>
        <v>85711.178</v>
      </c>
      <c r="D26" s="3307">
        <v>7.0415806847072426</v>
      </c>
      <c r="E26" s="3494">
        <f>'Table3.B(a)'!G26</f>
        <v>45.075955774761802</v>
      </c>
      <c r="F26" s="3483" t="s">
        <v>2146</v>
      </c>
      <c r="G26" s="3479" t="s">
        <v>2146</v>
      </c>
      <c r="H26" s="3483" t="s">
        <v>2146</v>
      </c>
      <c r="I26" s="3483" t="s">
        <v>2146</v>
      </c>
      <c r="J26" s="3483" t="s">
        <v>2146</v>
      </c>
      <c r="K26" s="3483" t="s">
        <v>2146</v>
      </c>
      <c r="L26" s="3483" t="s">
        <v>2146</v>
      </c>
      <c r="M26" s="3479">
        <v>603542176.80620503</v>
      </c>
      <c r="N26" s="3483" t="s">
        <v>2146</v>
      </c>
      <c r="O26" s="3483" t="s">
        <v>2146</v>
      </c>
      <c r="P26" s="3483" t="s">
        <v>2146</v>
      </c>
      <c r="Q26" s="3483" t="s">
        <v>2146</v>
      </c>
      <c r="R26" s="3482">
        <f t="shared" si="8"/>
        <v>603542176.80620503</v>
      </c>
      <c r="S26" s="2657"/>
      <c r="T26" s="2658"/>
      <c r="U26" s="3456" t="str">
        <f t="shared" si="9"/>
        <v>NA</v>
      </c>
      <c r="V26" s="3454"/>
      <c r="W26" s="3455"/>
      <c r="X26" s="3315" t="s">
        <v>2147</v>
      </c>
      <c r="Y26" s="3173"/>
      <c r="Z26" s="3457"/>
    </row>
    <row r="27" spans="2:26" ht="18" customHeight="1" x14ac:dyDescent="0.2">
      <c r="B27" s="351" t="s">
        <v>814</v>
      </c>
      <c r="C27" s="3314">
        <f>C28</f>
        <v>2604.681</v>
      </c>
      <c r="D27" s="3492"/>
      <c r="E27" s="3492"/>
      <c r="F27" s="2649">
        <f>F28</f>
        <v>26889731.0850721</v>
      </c>
      <c r="G27" s="2649" t="str">
        <f t="shared" ref="G27:G28" si="12">G28</f>
        <v>NO</v>
      </c>
      <c r="H27" s="2649" t="str">
        <f t="shared" ref="H27:H28" si="13">H28</f>
        <v>NO</v>
      </c>
      <c r="I27" s="2649" t="str">
        <f t="shared" ref="I27:I28" si="14">I28</f>
        <v>IE</v>
      </c>
      <c r="J27" s="2649" t="str">
        <f t="shared" ref="J27:J28" si="15">J28</f>
        <v>IE</v>
      </c>
      <c r="K27" s="2649">
        <f t="shared" ref="K27:K28" si="16">K28</f>
        <v>10198478.922044158</v>
      </c>
      <c r="L27" s="2649" t="str">
        <f t="shared" ref="L27:L28" si="17">L28</f>
        <v>IE</v>
      </c>
      <c r="M27" s="2649" t="str">
        <f t="shared" ref="M27:M28" si="18">M28</f>
        <v>NO</v>
      </c>
      <c r="N27" s="2649" t="str">
        <f t="shared" ref="N27:N28" si="19">N28</f>
        <v>NO</v>
      </c>
      <c r="O27" s="2649">
        <f t="shared" ref="O27:O28" si="20">O28</f>
        <v>237424.27712280001</v>
      </c>
      <c r="P27" s="2649" t="str">
        <f t="shared" ref="P27:P28" si="21">P28</f>
        <v>NO</v>
      </c>
      <c r="Q27" s="2649">
        <f t="shared" ref="Q27:Q28" si="22">Q28</f>
        <v>9254757.1710788999</v>
      </c>
      <c r="R27" s="3482">
        <f t="shared" si="8"/>
        <v>46580391.455317959</v>
      </c>
      <c r="S27" s="2657"/>
      <c r="T27" s="2658"/>
      <c r="U27" s="3456">
        <f t="shared" si="9"/>
        <v>0.10147088094262827</v>
      </c>
      <c r="V27" s="3454"/>
      <c r="W27" s="3455"/>
      <c r="X27" s="3314">
        <f t="shared" ref="X27:X28" si="23">X28</f>
        <v>0.26429927564452593</v>
      </c>
      <c r="Y27" s="3173"/>
      <c r="Z27" s="3457"/>
    </row>
    <row r="28" spans="2:26" ht="18" customHeight="1" x14ac:dyDescent="0.2">
      <c r="B28" s="350" t="s">
        <v>815</v>
      </c>
      <c r="C28" s="3314">
        <f>C29</f>
        <v>2604.681</v>
      </c>
      <c r="D28" s="3492"/>
      <c r="E28" s="3492"/>
      <c r="F28" s="2649">
        <f>F29</f>
        <v>26889731.0850721</v>
      </c>
      <c r="G28" s="2649" t="str">
        <f t="shared" si="12"/>
        <v>NO</v>
      </c>
      <c r="H28" s="2649" t="str">
        <f t="shared" si="13"/>
        <v>NO</v>
      </c>
      <c r="I28" s="2649" t="str">
        <f t="shared" si="14"/>
        <v>IE</v>
      </c>
      <c r="J28" s="2649" t="str">
        <f t="shared" si="15"/>
        <v>IE</v>
      </c>
      <c r="K28" s="2649">
        <f t="shared" si="16"/>
        <v>10198478.922044158</v>
      </c>
      <c r="L28" s="2649" t="str">
        <f t="shared" si="17"/>
        <v>IE</v>
      </c>
      <c r="M28" s="2649" t="str">
        <f t="shared" si="18"/>
        <v>NO</v>
      </c>
      <c r="N28" s="2649" t="str">
        <f t="shared" si="19"/>
        <v>NO</v>
      </c>
      <c r="O28" s="2649">
        <f t="shared" si="20"/>
        <v>237424.27712280001</v>
      </c>
      <c r="P28" s="2649" t="str">
        <f t="shared" si="21"/>
        <v>NO</v>
      </c>
      <c r="Q28" s="2649">
        <f t="shared" si="22"/>
        <v>9254757.1710788999</v>
      </c>
      <c r="R28" s="3482">
        <f t="shared" si="8"/>
        <v>46580391.455317959</v>
      </c>
      <c r="S28" s="2657"/>
      <c r="T28" s="2658"/>
      <c r="U28" s="3456">
        <f t="shared" si="9"/>
        <v>0.10147088094262827</v>
      </c>
      <c r="V28" s="3454"/>
      <c r="W28" s="3455"/>
      <c r="X28" s="3314">
        <f t="shared" si="23"/>
        <v>0.26429927564452593</v>
      </c>
      <c r="Y28" s="3173"/>
      <c r="Z28" s="3457"/>
    </row>
    <row r="29" spans="2:26" ht="18" customHeight="1" x14ac:dyDescent="0.2">
      <c r="B29" s="2642" t="s">
        <v>817</v>
      </c>
      <c r="C29" s="3495">
        <f>Table3.A!C29</f>
        <v>2604.681</v>
      </c>
      <c r="D29" s="3307">
        <v>14.87991303097869</v>
      </c>
      <c r="E29" s="3494">
        <f>'Table3.B(a)'!G29</f>
        <v>58.125088453713403</v>
      </c>
      <c r="F29" s="3479">
        <v>26889731.0850721</v>
      </c>
      <c r="G29" s="3479" t="s">
        <v>2146</v>
      </c>
      <c r="H29" s="3479" t="s">
        <v>2146</v>
      </c>
      <c r="I29" s="3479" t="s">
        <v>2153</v>
      </c>
      <c r="J29" s="3479" t="s">
        <v>2153</v>
      </c>
      <c r="K29" s="3479">
        <v>10198478.922044158</v>
      </c>
      <c r="L29" s="3479" t="s">
        <v>2153</v>
      </c>
      <c r="M29" s="3479" t="s">
        <v>2146</v>
      </c>
      <c r="N29" s="3479" t="s">
        <v>2146</v>
      </c>
      <c r="O29" s="3479">
        <v>237424.27712280001</v>
      </c>
      <c r="P29" s="3479" t="s">
        <v>2146</v>
      </c>
      <c r="Q29" s="3479">
        <v>9254757.1710788999</v>
      </c>
      <c r="R29" s="3482">
        <f t="shared" si="8"/>
        <v>46580391.455317959</v>
      </c>
      <c r="S29" s="2657"/>
      <c r="T29" s="2658"/>
      <c r="U29" s="3456">
        <f t="shared" si="9"/>
        <v>0.10147088094262827</v>
      </c>
      <c r="V29" s="3454"/>
      <c r="W29" s="3455"/>
      <c r="X29" s="3315">
        <v>0.26429927564452593</v>
      </c>
      <c r="Y29" s="3173"/>
      <c r="Z29" s="3457"/>
    </row>
    <row r="30" spans="2:26" ht="18" customHeight="1" x14ac:dyDescent="0.2">
      <c r="B30" s="351" t="s">
        <v>861</v>
      </c>
      <c r="C30" s="3314">
        <f>IF(SUM(C32:C39)=0,"NO",SUM(C32:C39))</f>
        <v>72720.565000000002</v>
      </c>
      <c r="D30" s="3492"/>
      <c r="E30" s="3492"/>
      <c r="F30" s="2649" t="str">
        <f>IF(SUM(F32:F39)=0,"NO",SUM(F32:F39))</f>
        <v>NO</v>
      </c>
      <c r="G30" s="2649" t="str">
        <f t="shared" ref="G30:Q30" si="24">IF(SUM(G32:G39)=0,"NO",SUM(G32:G39))</f>
        <v>NO</v>
      </c>
      <c r="H30" s="2649" t="str">
        <f t="shared" si="24"/>
        <v>NO</v>
      </c>
      <c r="I30" s="2649">
        <f t="shared" si="24"/>
        <v>17792982.213132072</v>
      </c>
      <c r="J30" s="2649" t="str">
        <f t="shared" si="24"/>
        <v>NO</v>
      </c>
      <c r="K30" s="2649" t="str">
        <f t="shared" si="24"/>
        <v>NO</v>
      </c>
      <c r="L30" s="2649" t="str">
        <f t="shared" si="24"/>
        <v>NO</v>
      </c>
      <c r="M30" s="2649">
        <f t="shared" si="24"/>
        <v>16638966.593675049</v>
      </c>
      <c r="N30" s="2649">
        <f t="shared" si="24"/>
        <v>7410393.9696048498</v>
      </c>
      <c r="O30" s="2649">
        <f t="shared" si="24"/>
        <v>113959.59062612</v>
      </c>
      <c r="P30" s="2649" t="str">
        <f t="shared" si="24"/>
        <v>NO</v>
      </c>
      <c r="Q30" s="2649">
        <f t="shared" si="24"/>
        <v>46803677.634110801</v>
      </c>
      <c r="R30" s="3482">
        <f t="shared" si="8"/>
        <v>88759980.001148894</v>
      </c>
      <c r="S30" s="2657"/>
      <c r="T30" s="2658"/>
      <c r="U30" s="3456">
        <f t="shared" si="9"/>
        <v>4.5351639866816921E-3</v>
      </c>
      <c r="V30" s="3454"/>
      <c r="W30" s="3455"/>
      <c r="X30" s="3314">
        <f t="shared" ref="X30" si="25">IF(SUM(X32:X39)=0,"NO",SUM(X32:X39))</f>
        <v>0.32979968747914512</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2.6549999999999998</v>
      </c>
      <c r="D32" s="3307">
        <v>39.5</v>
      </c>
      <c r="E32" s="3494" t="str">
        <f>'Table3.B(a)'!G32</f>
        <v>NA</v>
      </c>
      <c r="F32" s="3479" t="s">
        <v>2146</v>
      </c>
      <c r="G32" s="3479" t="s">
        <v>2146</v>
      </c>
      <c r="H32" s="3479" t="s">
        <v>2146</v>
      </c>
      <c r="I32" s="3479" t="s">
        <v>2146</v>
      </c>
      <c r="J32" s="3479" t="s">
        <v>2146</v>
      </c>
      <c r="K32" s="3479" t="s">
        <v>2146</v>
      </c>
      <c r="L32" s="3479" t="s">
        <v>2146</v>
      </c>
      <c r="M32" s="3479">
        <v>104868.15499999998</v>
      </c>
      <c r="N32" s="3479" t="s">
        <v>2146</v>
      </c>
      <c r="O32" s="3479" t="s">
        <v>2146</v>
      </c>
      <c r="P32" s="3479" t="s">
        <v>2146</v>
      </c>
      <c r="Q32" s="3479" t="s">
        <v>2146</v>
      </c>
      <c r="R32" s="3482">
        <f t="shared" si="8"/>
        <v>104868.15499999998</v>
      </c>
      <c r="S32" s="2657"/>
      <c r="T32" s="2658"/>
      <c r="U32" s="3456" t="str">
        <f>IF(SUM(X32)=0,"NA",X32*1000/C32)</f>
        <v>NA</v>
      </c>
      <c r="V32" s="3454"/>
      <c r="W32" s="3455"/>
      <c r="X32" s="3315" t="s">
        <v>2147</v>
      </c>
      <c r="Y32" s="3173"/>
      <c r="Z32" s="3457"/>
    </row>
    <row r="33" spans="2:26" ht="18" customHeight="1" x14ac:dyDescent="0.2">
      <c r="B33" s="350" t="s">
        <v>819</v>
      </c>
      <c r="C33" s="3495">
        <f>Table3.A!C33</f>
        <v>2.0339999999999998</v>
      </c>
      <c r="D33" s="3307">
        <v>39.5</v>
      </c>
      <c r="E33" s="3494" t="str">
        <f>'Table3.B(a)'!G33</f>
        <v>NA</v>
      </c>
      <c r="F33" s="3479" t="s">
        <v>2146</v>
      </c>
      <c r="G33" s="3479" t="s">
        <v>2146</v>
      </c>
      <c r="H33" s="3479" t="s">
        <v>2146</v>
      </c>
      <c r="I33" s="3479" t="s">
        <v>2146</v>
      </c>
      <c r="J33" s="3479" t="s">
        <v>2146</v>
      </c>
      <c r="K33" s="3479" t="s">
        <v>2146</v>
      </c>
      <c r="L33" s="3479" t="s">
        <v>2146</v>
      </c>
      <c r="M33" s="3479">
        <v>80344.639539153519</v>
      </c>
      <c r="N33" s="3479" t="s">
        <v>2146</v>
      </c>
      <c r="O33" s="3479" t="s">
        <v>2146</v>
      </c>
      <c r="P33" s="3479" t="s">
        <v>2146</v>
      </c>
      <c r="Q33" s="3479" t="s">
        <v>2146</v>
      </c>
      <c r="R33" s="3482">
        <f t="shared" si="8"/>
        <v>80344.639539153519</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79.695999999999998</v>
      </c>
      <c r="D34" s="3307">
        <v>13.2</v>
      </c>
      <c r="E34" s="3494" t="str">
        <f>'Table3.B(a)'!G34</f>
        <v>NA</v>
      </c>
      <c r="F34" s="3479" t="s">
        <v>2146</v>
      </c>
      <c r="G34" s="3479" t="s">
        <v>2146</v>
      </c>
      <c r="H34" s="3479" t="s">
        <v>2146</v>
      </c>
      <c r="I34" s="3479" t="s">
        <v>2146</v>
      </c>
      <c r="J34" s="3479" t="s">
        <v>2146</v>
      </c>
      <c r="K34" s="3479" t="s">
        <v>2146</v>
      </c>
      <c r="L34" s="3479" t="s">
        <v>2146</v>
      </c>
      <c r="M34" s="3479">
        <v>1051984.8239999998</v>
      </c>
      <c r="N34" s="3479" t="s">
        <v>2146</v>
      </c>
      <c r="O34" s="3479" t="s">
        <v>2146</v>
      </c>
      <c r="P34" s="3479" t="s">
        <v>2146</v>
      </c>
      <c r="Q34" s="3479" t="s">
        <v>2146</v>
      </c>
      <c r="R34" s="3482">
        <f t="shared" si="8"/>
        <v>1051984.8239999998</v>
      </c>
      <c r="S34" s="2657"/>
      <c r="T34" s="2658"/>
      <c r="U34" s="3456" t="str">
        <f t="shared" si="26"/>
        <v>NA</v>
      </c>
      <c r="V34" s="3454"/>
      <c r="W34" s="3455"/>
      <c r="X34" s="3315" t="s">
        <v>2147</v>
      </c>
      <c r="Y34" s="3173"/>
      <c r="Z34" s="3457"/>
    </row>
    <row r="35" spans="2:26" ht="18" customHeight="1" x14ac:dyDescent="0.2">
      <c r="B35" s="350" t="s">
        <v>821</v>
      </c>
      <c r="C35" s="3495">
        <f>Table3.A!C35</f>
        <v>518.024</v>
      </c>
      <c r="D35" s="3307">
        <v>7</v>
      </c>
      <c r="E35" s="3494" t="str">
        <f>'Table3.B(a)'!G35</f>
        <v>NA</v>
      </c>
      <c r="F35" s="3479" t="s">
        <v>2146</v>
      </c>
      <c r="G35" s="3479" t="s">
        <v>2146</v>
      </c>
      <c r="H35" s="3479" t="s">
        <v>2146</v>
      </c>
      <c r="I35" s="3479" t="s">
        <v>2146</v>
      </c>
      <c r="J35" s="3479" t="s">
        <v>2146</v>
      </c>
      <c r="K35" s="3479" t="s">
        <v>2146</v>
      </c>
      <c r="L35" s="3479" t="s">
        <v>2146</v>
      </c>
      <c r="M35" s="3479">
        <v>3626169.4000000004</v>
      </c>
      <c r="N35" s="3479" t="s">
        <v>2146</v>
      </c>
      <c r="O35" s="3479" t="s">
        <v>2146</v>
      </c>
      <c r="P35" s="3479" t="s">
        <v>2146</v>
      </c>
      <c r="Q35" s="3479" t="s">
        <v>2146</v>
      </c>
      <c r="R35" s="3482">
        <f t="shared" si="8"/>
        <v>3626169.4000000004</v>
      </c>
      <c r="S35" s="2657"/>
      <c r="T35" s="2658"/>
      <c r="U35" s="3456" t="str">
        <f t="shared" si="26"/>
        <v>NA</v>
      </c>
      <c r="V35" s="3454"/>
      <c r="W35" s="3455"/>
      <c r="X35" s="3315" t="s">
        <v>2147</v>
      </c>
      <c r="Y35" s="3173"/>
      <c r="Z35" s="3457"/>
    </row>
    <row r="36" spans="2:26" ht="18" customHeight="1" x14ac:dyDescent="0.2">
      <c r="B36" s="350" t="s">
        <v>822</v>
      </c>
      <c r="C36" s="3495">
        <f>Table3.A!C36</f>
        <v>263.29300000000001</v>
      </c>
      <c r="D36" s="3307">
        <v>39.5</v>
      </c>
      <c r="E36" s="3494" t="str">
        <f>'Table3.B(a)'!G36</f>
        <v>NA</v>
      </c>
      <c r="F36" s="3479" t="s">
        <v>2146</v>
      </c>
      <c r="G36" s="3479" t="s">
        <v>2146</v>
      </c>
      <c r="H36" s="3479" t="s">
        <v>2146</v>
      </c>
      <c r="I36" s="3479" t="s">
        <v>2146</v>
      </c>
      <c r="J36" s="3479" t="s">
        <v>2146</v>
      </c>
      <c r="K36" s="3479" t="s">
        <v>2146</v>
      </c>
      <c r="L36" s="3479" t="s">
        <v>2146</v>
      </c>
      <c r="M36" s="3479">
        <v>10400092.986666668</v>
      </c>
      <c r="N36" s="3479" t="s">
        <v>2146</v>
      </c>
      <c r="O36" s="3479" t="s">
        <v>2146</v>
      </c>
      <c r="P36" s="3479" t="s">
        <v>2146</v>
      </c>
      <c r="Q36" s="3479" t="s">
        <v>2146</v>
      </c>
      <c r="R36" s="3482">
        <f t="shared" si="8"/>
        <v>10400092.986666668</v>
      </c>
      <c r="S36" s="2657"/>
      <c r="T36" s="2658"/>
      <c r="U36" s="3456" t="str">
        <f t="shared" si="26"/>
        <v>NA</v>
      </c>
      <c r="V36" s="3454"/>
      <c r="W36" s="3455"/>
      <c r="X36" s="3315" t="s">
        <v>2147</v>
      </c>
      <c r="Y36" s="3173"/>
      <c r="Z36" s="3457"/>
    </row>
    <row r="37" spans="2:26" ht="18" customHeight="1" x14ac:dyDescent="0.2">
      <c r="B37" s="350" t="s">
        <v>862</v>
      </c>
      <c r="C37" s="3495">
        <f>Table3.A!C37</f>
        <v>0.36599999999999999</v>
      </c>
      <c r="D37" s="3307">
        <v>13.2</v>
      </c>
      <c r="E37" s="3494" t="str">
        <f>'Table3.B(a)'!G37</f>
        <v>NA</v>
      </c>
      <c r="F37" s="3479" t="s">
        <v>2146</v>
      </c>
      <c r="G37" s="3479" t="s">
        <v>2146</v>
      </c>
      <c r="H37" s="3479" t="s">
        <v>2146</v>
      </c>
      <c r="I37" s="3479" t="s">
        <v>2146</v>
      </c>
      <c r="J37" s="3479" t="s">
        <v>2146</v>
      </c>
      <c r="K37" s="3479" t="s">
        <v>2146</v>
      </c>
      <c r="L37" s="3479" t="s">
        <v>2146</v>
      </c>
      <c r="M37" s="3479">
        <v>4830.0450551885351</v>
      </c>
      <c r="N37" s="3479" t="s">
        <v>2146</v>
      </c>
      <c r="O37" s="3479" t="s">
        <v>2146</v>
      </c>
      <c r="P37" s="3479" t="s">
        <v>2146</v>
      </c>
      <c r="Q37" s="3479" t="s">
        <v>2146</v>
      </c>
      <c r="R37" s="3482">
        <f t="shared" si="8"/>
        <v>4830.0450551885351</v>
      </c>
      <c r="S37" s="2657"/>
      <c r="T37" s="2658"/>
      <c r="U37" s="3456" t="str">
        <f t="shared" si="26"/>
        <v>NA</v>
      </c>
      <c r="V37" s="3454"/>
      <c r="W37" s="3455"/>
      <c r="X37" s="3315" t="s">
        <v>2147</v>
      </c>
      <c r="Y37" s="3173"/>
      <c r="Z37" s="3457"/>
    </row>
    <row r="38" spans="2:26" ht="18" customHeight="1" x14ac:dyDescent="0.2">
      <c r="B38" s="350" t="s">
        <v>824</v>
      </c>
      <c r="C38" s="3495">
        <f>Table3.A!C38</f>
        <v>71723.482000000004</v>
      </c>
      <c r="D38" s="3307">
        <v>0.65888114910395001</v>
      </c>
      <c r="E38" s="3494" t="str">
        <f>'Table3.B(a)'!G38</f>
        <v>NA</v>
      </c>
      <c r="F38" s="3479" t="s">
        <v>2146</v>
      </c>
      <c r="G38" s="3479" t="s">
        <v>2146</v>
      </c>
      <c r="H38" s="3479" t="s">
        <v>2146</v>
      </c>
      <c r="I38" s="3479">
        <v>17792982.213132072</v>
      </c>
      <c r="J38" s="3479" t="s">
        <v>2153</v>
      </c>
      <c r="K38" s="3479" t="s">
        <v>2153</v>
      </c>
      <c r="L38" s="3479" t="s">
        <v>2153</v>
      </c>
      <c r="M38" s="3479">
        <v>453572.29915524198</v>
      </c>
      <c r="N38" s="3479">
        <v>7410393.9696048498</v>
      </c>
      <c r="O38" s="3479">
        <v>113959.59062612</v>
      </c>
      <c r="P38" s="3479" t="s">
        <v>2146</v>
      </c>
      <c r="Q38" s="3479">
        <v>46803677.634110801</v>
      </c>
      <c r="R38" s="3482">
        <f t="shared" si="8"/>
        <v>72574585.706629083</v>
      </c>
      <c r="S38" s="2657"/>
      <c r="T38" s="2658"/>
      <c r="U38" s="3456">
        <f t="shared" si="26"/>
        <v>4.5982107711829319E-3</v>
      </c>
      <c r="V38" s="3454"/>
      <c r="W38" s="3455"/>
      <c r="X38" s="3315">
        <v>0.32979968747914512</v>
      </c>
      <c r="Y38" s="3173"/>
      <c r="Z38" s="3457"/>
    </row>
    <row r="39" spans="2:26" ht="18" customHeight="1" x14ac:dyDescent="0.2">
      <c r="B39" s="350" t="s">
        <v>825</v>
      </c>
      <c r="C39" s="3314">
        <f>IF(SUM(C40:C44)=0,"NO",SUM(C40:C44))</f>
        <v>131.01499999999999</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917104.24425879668</v>
      </c>
      <c r="N39" s="2649" t="str">
        <f t="shared" si="27"/>
        <v>NO</v>
      </c>
      <c r="O39" s="2649" t="str">
        <f t="shared" si="27"/>
        <v>NO</v>
      </c>
      <c r="P39" s="2649" t="str">
        <f t="shared" si="27"/>
        <v>NO</v>
      </c>
      <c r="Q39" s="2649" t="str">
        <f t="shared" si="27"/>
        <v>NO</v>
      </c>
      <c r="R39" s="3482">
        <f t="shared" si="8"/>
        <v>917104.24425879668</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32.899000000000001</v>
      </c>
      <c r="D42" s="3307">
        <v>7</v>
      </c>
      <c r="E42" s="3494" t="str">
        <f>'Table3.B(a)'!G42</f>
        <v>NA</v>
      </c>
      <c r="F42" s="3479" t="s">
        <v>2146</v>
      </c>
      <c r="G42" s="3479" t="s">
        <v>2146</v>
      </c>
      <c r="H42" s="3479" t="s">
        <v>2146</v>
      </c>
      <c r="I42" s="3479" t="s">
        <v>2146</v>
      </c>
      <c r="J42" s="3479" t="s">
        <v>2146</v>
      </c>
      <c r="K42" s="3479" t="s">
        <v>2146</v>
      </c>
      <c r="L42" s="3479" t="s">
        <v>2146</v>
      </c>
      <c r="M42" s="3479">
        <v>230293.87739495793</v>
      </c>
      <c r="N42" s="3479" t="s">
        <v>2146</v>
      </c>
      <c r="O42" s="3479" t="s">
        <v>2146</v>
      </c>
      <c r="P42" s="3479" t="s">
        <v>2146</v>
      </c>
      <c r="Q42" s="3479" t="s">
        <v>2146</v>
      </c>
      <c r="R42" s="3482">
        <f t="shared" si="8"/>
        <v>230293.87739495793</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98.116</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686810.36686383875</v>
      </c>
      <c r="N44" s="2649" t="str">
        <f t="shared" si="28"/>
        <v>NO</v>
      </c>
      <c r="O44" s="2649" t="str">
        <f t="shared" si="28"/>
        <v>NO</v>
      </c>
      <c r="P44" s="2649" t="str">
        <f t="shared" si="28"/>
        <v>NO</v>
      </c>
      <c r="Q44" s="2649" t="str">
        <f t="shared" si="28"/>
        <v>NO</v>
      </c>
      <c r="R44" s="3482">
        <f t="shared" si="8"/>
        <v>686810.36686383875</v>
      </c>
      <c r="S44" s="2657"/>
      <c r="T44" s="2658"/>
      <c r="U44" s="3456" t="str">
        <f t="shared" si="26"/>
        <v>NA</v>
      </c>
      <c r="V44" s="3454"/>
      <c r="W44" s="3455"/>
      <c r="X44" s="3314" t="str">
        <f>X45</f>
        <v>NA</v>
      </c>
      <c r="Y44" s="3173"/>
      <c r="Z44" s="3457"/>
    </row>
    <row r="45" spans="2:26" ht="18" customHeight="1" x14ac:dyDescent="0.2">
      <c r="B45" s="2646" t="s">
        <v>2199</v>
      </c>
      <c r="C45" s="3495">
        <f>Table3.A!C45</f>
        <v>98.116</v>
      </c>
      <c r="D45" s="3307">
        <v>7</v>
      </c>
      <c r="E45" s="3494" t="str">
        <f>'Table3.B(a)'!G45</f>
        <v>NA</v>
      </c>
      <c r="F45" s="3479" t="s">
        <v>2146</v>
      </c>
      <c r="G45" s="3479" t="s">
        <v>2146</v>
      </c>
      <c r="H45" s="3479" t="s">
        <v>2146</v>
      </c>
      <c r="I45" s="3479" t="s">
        <v>2146</v>
      </c>
      <c r="J45" s="3479" t="s">
        <v>2146</v>
      </c>
      <c r="K45" s="3479" t="s">
        <v>2146</v>
      </c>
      <c r="L45" s="3479" t="s">
        <v>2146</v>
      </c>
      <c r="M45" s="3479">
        <v>686810.36686383875</v>
      </c>
      <c r="N45" s="3479" t="s">
        <v>2146</v>
      </c>
      <c r="O45" s="3479" t="s">
        <v>2146</v>
      </c>
      <c r="P45" s="3479" t="s">
        <v>2146</v>
      </c>
      <c r="Q45" s="3479" t="s">
        <v>2146</v>
      </c>
      <c r="R45" s="3482">
        <f t="shared" si="8"/>
        <v>686810.36686383875</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94842943.134948701</v>
      </c>
      <c r="T46" s="3447">
        <v>298228.81815352902</v>
      </c>
      <c r="U46" s="3466"/>
      <c r="V46" s="3467">
        <f>IF(SUM(S46)=0,"NA",Y46*1000000/S46)</f>
        <v>3.5537233280975343E-3</v>
      </c>
      <c r="W46" s="3468">
        <f>IF(SUM(T46)=0,"NA",Z46*1000000/T46)</f>
        <v>1.7285714285714262E-2</v>
      </c>
      <c r="X46" s="3316"/>
      <c r="Y46" s="3320">
        <v>0.33704557952409514</v>
      </c>
      <c r="Z46" s="3321">
        <v>5.1550981423681376E-3</v>
      </c>
    </row>
    <row r="47" spans="2:26" ht="18" customHeight="1" x14ac:dyDescent="0.2">
      <c r="B47" s="358" t="s">
        <v>863</v>
      </c>
      <c r="C47" s="359"/>
      <c r="D47" s="359"/>
      <c r="E47" s="359"/>
      <c r="F47" s="3485">
        <f>IF(SUM(F30,F27,F24,F10)=0,"NO",SUM(F30,F27,F24,F10))</f>
        <v>55292169.10556078</v>
      </c>
      <c r="G47" s="3485" t="str">
        <f t="shared" ref="G47:Q47" si="29">IF(SUM(G30,G27,G24,G10)=0,"NO",SUM(G30,G27,G24,G10))</f>
        <v>NO</v>
      </c>
      <c r="H47" s="3485">
        <f t="shared" si="29"/>
        <v>8604665.8031302392</v>
      </c>
      <c r="I47" s="3485">
        <f t="shared" si="29"/>
        <v>23430161.544458572</v>
      </c>
      <c r="J47" s="3485" t="str">
        <f t="shared" si="29"/>
        <v>NO</v>
      </c>
      <c r="K47" s="3485">
        <f t="shared" si="29"/>
        <v>88131778.926712096</v>
      </c>
      <c r="L47" s="3485">
        <f t="shared" si="29"/>
        <v>9268084.0519311074</v>
      </c>
      <c r="M47" s="3409"/>
      <c r="N47" s="3485">
        <f t="shared" si="29"/>
        <v>16678478.021535957</v>
      </c>
      <c r="O47" s="3485">
        <f t="shared" si="29"/>
        <v>351383.86774891999</v>
      </c>
      <c r="P47" s="3409"/>
      <c r="Q47" s="3485">
        <f t="shared" si="29"/>
        <v>56058434.805189699</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4.106263892932862E-2</v>
      </c>
      <c r="J48" s="3486" t="str">
        <f t="shared" si="30"/>
        <v>NA</v>
      </c>
      <c r="K48" s="3486" t="str">
        <f t="shared" si="30"/>
        <v>NA</v>
      </c>
      <c r="L48" s="3486" t="str">
        <f t="shared" si="30"/>
        <v>NA</v>
      </c>
      <c r="M48" s="87"/>
      <c r="N48" s="3486">
        <f t="shared" si="30"/>
        <v>1.5714285714285667E-2</v>
      </c>
      <c r="O48" s="3486" t="str">
        <f t="shared" si="30"/>
        <v>NA</v>
      </c>
      <c r="P48" s="87"/>
      <c r="Q48" s="3486">
        <f t="shared" si="30"/>
        <v>3.7974469573626478E-3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0.96210426355594292</v>
      </c>
      <c r="J49" s="3487" t="s">
        <v>2153</v>
      </c>
      <c r="K49" s="3487" t="s">
        <v>2153</v>
      </c>
      <c r="L49" s="3487" t="s">
        <v>2153</v>
      </c>
      <c r="M49" s="3474"/>
      <c r="N49" s="3488">
        <v>0.26209036890984999</v>
      </c>
      <c r="O49" s="3488" t="s">
        <v>2147</v>
      </c>
      <c r="P49" s="3474"/>
      <c r="Q49" s="3488">
        <v>0.21287893268548</v>
      </c>
      <c r="R49" s="1312"/>
      <c r="S49" s="1313"/>
      <c r="T49" s="1314"/>
      <c r="U49" s="3473">
        <f>X49*1000/SUM(C10,C24,C27,C30)</f>
        <v>7.6006156022235061E-3</v>
      </c>
      <c r="V49" s="3474"/>
      <c r="W49" s="3475"/>
      <c r="X49" s="3319">
        <f>SUM(X10,X24,X27,X30)</f>
        <v>1.4370735651512727</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3.1597074319999998</v>
      </c>
    </row>
    <row r="11" spans="1:9" ht="18" customHeight="1" x14ac:dyDescent="0.2">
      <c r="B11" s="439" t="s">
        <v>876</v>
      </c>
      <c r="C11" s="4147">
        <v>0.19884879999999999</v>
      </c>
      <c r="D11" s="243" t="s">
        <v>2146</v>
      </c>
      <c r="E11" s="283" t="s">
        <v>2146</v>
      </c>
      <c r="F11" s="2305">
        <f>IF(SUM(C11)=0,"NA",G11/C11)</f>
        <v>15.89</v>
      </c>
      <c r="G11" s="3093">
        <v>3.1597074319999998</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0.19884879999999999</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28.042489688620993</v>
      </c>
      <c r="H10" s="397" t="s">
        <v>897</v>
      </c>
      <c r="I10" s="398" t="s">
        <v>898</v>
      </c>
      <c r="J10" s="399">
        <v>0.21</v>
      </c>
    </row>
    <row r="11" spans="2:10" ht="24" customHeight="1" x14ac:dyDescent="0.2">
      <c r="B11" s="2431" t="s">
        <v>1949</v>
      </c>
      <c r="C11" s="2432" t="s">
        <v>899</v>
      </c>
      <c r="D11" s="3720">
        <v>848005.71296220005</v>
      </c>
      <c r="E11" s="3714">
        <f>IF(SUM(D11)=0,"NA",F11*1000/D11/(44/28))</f>
        <v>4.4638664994657911E-3</v>
      </c>
      <c r="F11" s="3425">
        <v>5.9484610325604645</v>
      </c>
      <c r="H11" s="397" t="s">
        <v>900</v>
      </c>
      <c r="I11" s="398" t="s">
        <v>901</v>
      </c>
      <c r="J11" s="399">
        <v>0.24</v>
      </c>
    </row>
    <row r="12" spans="2:10" ht="24" customHeight="1" thickBot="1" x14ac:dyDescent="0.25">
      <c r="B12" s="2431" t="s">
        <v>1950</v>
      </c>
      <c r="C12" s="2433" t="s">
        <v>902</v>
      </c>
      <c r="D12" s="3721">
        <f>IF(SUM(D13:D15)=0,"NO",SUM(D13:D15))</f>
        <v>101697.73363413662</v>
      </c>
      <c r="E12" s="3715">
        <f t="shared" ref="E12:E23" si="0">IF(SUM(D12)=0,"NA",F12*1000/D12/(44/28))</f>
        <v>8.7096542057388017E-3</v>
      </c>
      <c r="F12" s="3426">
        <f>IF(SUM(F13:F15)=0,"NO",SUM(F13:F15))</f>
        <v>1.391896146866755</v>
      </c>
      <c r="H12" s="407" t="s">
        <v>903</v>
      </c>
      <c r="I12" s="408" t="s">
        <v>2147</v>
      </c>
      <c r="J12" s="2668" t="s">
        <v>2147</v>
      </c>
    </row>
    <row r="13" spans="2:10" ht="24" customHeight="1" x14ac:dyDescent="0.2">
      <c r="B13" s="2431" t="s">
        <v>904</v>
      </c>
      <c r="C13" s="2432" t="s">
        <v>905</v>
      </c>
      <c r="D13" s="3722">
        <v>94506.675275083195</v>
      </c>
      <c r="E13" s="3714">
        <f t="shared" si="0"/>
        <v>8.6875616546596233E-3</v>
      </c>
      <c r="F13" s="3425">
        <v>1.2901940357887138</v>
      </c>
      <c r="H13" s="1436" t="s">
        <v>906</v>
      </c>
      <c r="I13" s="1078"/>
      <c r="J13" s="1078"/>
    </row>
    <row r="14" spans="2:10" ht="24" customHeight="1" x14ac:dyDescent="0.2">
      <c r="B14" s="2431" t="s">
        <v>907</v>
      </c>
      <c r="C14" s="2432" t="s">
        <v>908</v>
      </c>
      <c r="D14" s="3722">
        <v>7191.0583590534197</v>
      </c>
      <c r="E14" s="3714">
        <f t="shared" si="0"/>
        <v>9.0000000000000045E-3</v>
      </c>
      <c r="F14" s="3425">
        <v>0.10170211107804127</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1792934.8248321705</v>
      </c>
      <c r="E16" s="3714">
        <f t="shared" si="0"/>
        <v>3.9999999999999983E-3</v>
      </c>
      <c r="F16" s="3425">
        <v>11.26987604180221</v>
      </c>
    </row>
    <row r="17" spans="2:11" ht="24" customHeight="1" x14ac:dyDescent="0.2">
      <c r="B17" s="2431" t="s">
        <v>913</v>
      </c>
      <c r="C17" s="2432" t="s">
        <v>914</v>
      </c>
      <c r="D17" s="3722">
        <v>558913.17296109383</v>
      </c>
      <c r="E17" s="3714">
        <f t="shared" si="0"/>
        <v>0.01</v>
      </c>
      <c r="F17" s="3425">
        <v>8.7829212893886179</v>
      </c>
    </row>
    <row r="18" spans="2:11" ht="24" customHeight="1" x14ac:dyDescent="0.2">
      <c r="B18" s="2431" t="s">
        <v>1951</v>
      </c>
      <c r="C18" s="2432" t="s">
        <v>915</v>
      </c>
      <c r="D18" s="3722">
        <v>178606.647546391</v>
      </c>
      <c r="E18" s="3716">
        <f t="shared" si="0"/>
        <v>2.0000000000000044E-3</v>
      </c>
      <c r="F18" s="3427">
        <v>0.5613351780029443</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9.624782218043201</v>
      </c>
    </row>
    <row r="22" spans="2:11" ht="24" customHeight="1" x14ac:dyDescent="0.2">
      <c r="B22" s="2438" t="s">
        <v>1953</v>
      </c>
      <c r="C22" s="2432" t="s">
        <v>919</v>
      </c>
      <c r="D22" s="3722">
        <v>491081.555120176</v>
      </c>
      <c r="E22" s="3714">
        <f t="shared" si="0"/>
        <v>2.8192085044816849E-3</v>
      </c>
      <c r="F22" s="3425">
        <v>2.1755820374968295</v>
      </c>
    </row>
    <row r="23" spans="2:11" ht="24" customHeight="1" thickBot="1" x14ac:dyDescent="0.25">
      <c r="B23" s="410" t="s">
        <v>920</v>
      </c>
      <c r="C23" s="411" t="s">
        <v>921</v>
      </c>
      <c r="D23" s="3725">
        <v>431631.88419728703</v>
      </c>
      <c r="E23" s="3719">
        <f t="shared" si="0"/>
        <v>1.0982506826873892E-2</v>
      </c>
      <c r="F23" s="3430">
        <v>7.4492001805463719</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10821628.16</v>
      </c>
      <c r="N9" s="4179">
        <v>4257032.16</v>
      </c>
      <c r="O9" s="4179">
        <v>239878.93</v>
      </c>
      <c r="P9" s="4180">
        <v>1283008.77</v>
      </c>
      <c r="Q9" s="4180">
        <v>748303.18</v>
      </c>
      <c r="R9" s="4180">
        <v>305682.20799999998</v>
      </c>
      <c r="S9" s="4180">
        <v>162806.37</v>
      </c>
      <c r="T9" s="4180">
        <v>199254.14</v>
      </c>
      <c r="U9" s="4180">
        <v>1041342.09561</v>
      </c>
      <c r="V9" s="4180">
        <v>36054089.700000003</v>
      </c>
      <c r="W9" s="4180">
        <v>17587.130860000001</v>
      </c>
      <c r="X9" s="4181">
        <v>590984.27</v>
      </c>
    </row>
    <row r="10" spans="2:24" ht="18" customHeight="1" thickTop="1" x14ac:dyDescent="0.2">
      <c r="B10" s="437" t="s">
        <v>947</v>
      </c>
      <c r="C10" s="376"/>
      <c r="D10" s="438"/>
      <c r="E10" s="438"/>
      <c r="F10" s="4149">
        <f>IF(SUM(F11:F14)=0,"NO",SUM(F11:F14))</f>
        <v>1746.797450823479</v>
      </c>
      <c r="G10" s="4150">
        <f>IF(SUM($F10)=0,"NA",I10/$F10*1000)</f>
        <v>1.8753004438251553</v>
      </c>
      <c r="H10" s="4151">
        <f>IF(SUM($F10)=0,"NA",J10/$F10*1000)</f>
        <v>7.6004001006995017E-2</v>
      </c>
      <c r="I10" s="3192">
        <f>IF(SUM(I11:I14)=0,"NO",SUM(I11:I14))</f>
        <v>3.2757700348019201</v>
      </c>
      <c r="J10" s="420">
        <f>IF(SUM(J11:J14)=0,"NO",SUM(J11:J14))</f>
        <v>0.13276359521140405</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1019.167150081</v>
      </c>
      <c r="G11" s="4153">
        <f>IF(SUM($F11)=0,"NA",I11/$F11*1000)</f>
        <v>1.8666666666666634</v>
      </c>
      <c r="H11" s="4154">
        <f>IF(SUM($F11)=0,"NA",J11/$F11*1000)</f>
        <v>7.1657142857142725E-2</v>
      </c>
      <c r="I11" s="3326">
        <v>1.9024453468178635</v>
      </c>
      <c r="J11" s="3327">
        <v>7.3030606068661241E-2</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355.426172107083</v>
      </c>
      <c r="G12" s="4155">
        <f t="shared" ref="G12:G28" si="0">IF(SUM($F12)=0,"NA",I12/$F12*1000)</f>
        <v>1.8666666666666671</v>
      </c>
      <c r="H12" s="4154">
        <f t="shared" ref="H12:H28" si="1">IF(SUM($F12)=0,"NA",J12/$F12*1000)</f>
        <v>8.3600000000000022E-2</v>
      </c>
      <c r="I12" s="3180">
        <v>0.66346218793322176</v>
      </c>
      <c r="J12" s="3327">
        <v>2.971362798815215E-2</v>
      </c>
      <c r="L12" s="1324" t="s">
        <v>952</v>
      </c>
      <c r="M12" s="4177">
        <v>0.14864066555791999</v>
      </c>
      <c r="N12" s="4177">
        <v>0.15940314235681999</v>
      </c>
      <c r="O12" s="4177">
        <v>0.17718747472775001</v>
      </c>
      <c r="P12" s="4178">
        <v>0.1183722743247</v>
      </c>
      <c r="Q12" s="4178">
        <v>0.14781387948336</v>
      </c>
      <c r="R12" s="4178">
        <v>0.16377393785898001</v>
      </c>
      <c r="S12" s="4178">
        <v>0.81499999999999995</v>
      </c>
      <c r="T12" s="4178">
        <v>0.20531084929394</v>
      </c>
      <c r="U12" s="4178">
        <v>0.148675913103822</v>
      </c>
      <c r="V12" s="4178">
        <v>0.47724239505622573</v>
      </c>
      <c r="W12" s="4178">
        <v>6.4688362470555927E-2</v>
      </c>
      <c r="X12" s="4152">
        <v>0.13010857182605193</v>
      </c>
    </row>
    <row r="13" spans="2:24" ht="18" customHeight="1" thickBot="1" x14ac:dyDescent="0.25">
      <c r="B13" s="439" t="s">
        <v>953</v>
      </c>
      <c r="C13" s="440" t="s">
        <v>2147</v>
      </c>
      <c r="D13" s="440" t="s">
        <v>2147</v>
      </c>
      <c r="E13" s="440" t="s">
        <v>2147</v>
      </c>
      <c r="F13" s="4152">
        <v>28.0931410192558</v>
      </c>
      <c r="G13" s="4155">
        <f t="shared" si="0"/>
        <v>1.9600000000000009</v>
      </c>
      <c r="H13" s="4154">
        <f t="shared" si="1"/>
        <v>5.9714285714285761E-2</v>
      </c>
      <c r="I13" s="3180">
        <v>5.5062556397741394E-2</v>
      </c>
      <c r="J13" s="3327">
        <v>1.6775618494355618E-3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344.11098761614011</v>
      </c>
      <c r="G14" s="4157">
        <f t="shared" si="0"/>
        <v>1.902874267948486</v>
      </c>
      <c r="H14" s="4158">
        <f t="shared" si="1"/>
        <v>8.236237820098527E-2</v>
      </c>
      <c r="I14" s="3199">
        <f>IF(SUM(I15:I19)=0,"NO",SUM(I15:I19))</f>
        <v>0.65479994365309313</v>
      </c>
      <c r="J14" s="3085">
        <f>IF(SUM(J15:J19)=0,"NO",SUM(J15:J19))</f>
        <v>2.834179930515509E-2</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87.478655664062401</v>
      </c>
      <c r="G15" s="4159">
        <f t="shared" si="0"/>
        <v>1.8666666666666663</v>
      </c>
      <c r="H15" s="4160">
        <f t="shared" si="1"/>
        <v>9.554285714285711E-2</v>
      </c>
      <c r="I15" s="3328">
        <v>0.16329349057291645</v>
      </c>
      <c r="J15" s="3327">
        <v>8.3579607011607018E-3</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66.344520596874403</v>
      </c>
      <c r="G16" s="4161">
        <f t="shared" si="0"/>
        <v>1.8666666666666667</v>
      </c>
      <c r="H16" s="4162">
        <f t="shared" si="1"/>
        <v>7.1657142857142864E-2</v>
      </c>
      <c r="I16" s="3329">
        <v>0.12384310511416555</v>
      </c>
      <c r="J16" s="3327">
        <v>4.7540587901988857E-3</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30.873916021925901</v>
      </c>
      <c r="G17" s="4161">
        <f t="shared" si="0"/>
        <v>1.8666666666666643</v>
      </c>
      <c r="H17" s="4162">
        <f t="shared" si="1"/>
        <v>7.1657142857142767E-2</v>
      </c>
      <c r="I17" s="3329">
        <v>5.7631309907594942E-2</v>
      </c>
      <c r="J17" s="3327">
        <v>2.2123366109425731E-3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133.49392967462401</v>
      </c>
      <c r="G18" s="4161">
        <f t="shared" si="0"/>
        <v>1.96</v>
      </c>
      <c r="H18" s="4162">
        <f t="shared" si="1"/>
        <v>8.359999999999998E-2</v>
      </c>
      <c r="I18" s="3329">
        <v>0.26164810216226303</v>
      </c>
      <c r="J18" s="3327">
        <v>1.1160092520798566E-2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25.9199656586534</v>
      </c>
      <c r="G19" s="4161">
        <f t="shared" si="0"/>
        <v>1.8666666666666694</v>
      </c>
      <c r="H19" s="4162">
        <f t="shared" si="1"/>
        <v>7.1657142857142961E-2</v>
      </c>
      <c r="I19" s="3329">
        <v>4.8383935896153085E-2</v>
      </c>
      <c r="J19" s="3327">
        <v>1.8573506820543666E-3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88.575802635781997</v>
      </c>
      <c r="G20" s="4165">
        <f t="shared" si="0"/>
        <v>1.8666666666666667</v>
      </c>
      <c r="H20" s="4166">
        <f t="shared" si="1"/>
        <v>0.10748571428571425</v>
      </c>
      <c r="I20" s="3220">
        <f>I21</f>
        <v>0.16534149825345973</v>
      </c>
      <c r="J20" s="449">
        <f>J21</f>
        <v>9.5206334147374793E-3</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88.575802635781997</v>
      </c>
      <c r="G21" s="4168">
        <f t="shared" si="0"/>
        <v>1.8666666666666667</v>
      </c>
      <c r="H21" s="4158">
        <f t="shared" si="1"/>
        <v>0.10748571428571425</v>
      </c>
      <c r="I21" s="3199">
        <f>I22</f>
        <v>0.16534149825345973</v>
      </c>
      <c r="J21" s="3085">
        <f>J22</f>
        <v>9.5206334147374793E-3</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88.575802635781997</v>
      </c>
      <c r="G22" s="4170">
        <f t="shared" si="0"/>
        <v>1.8666666666666667</v>
      </c>
      <c r="H22" s="4171">
        <f t="shared" si="1"/>
        <v>0.10748571428571425</v>
      </c>
      <c r="I22" s="3330">
        <v>0.16534149825345973</v>
      </c>
      <c r="J22" s="3331">
        <v>9.5206334147374793E-3</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825.91392575999998</v>
      </c>
      <c r="G26" s="4175">
        <f t="shared" si="0"/>
        <v>1.8666666666666667</v>
      </c>
      <c r="H26" s="4176">
        <f t="shared" si="1"/>
        <v>5.9714285714285713E-2</v>
      </c>
      <c r="I26" s="3332">
        <v>1.541705994752</v>
      </c>
      <c r="J26" s="3333">
        <v>4.9318860138239995E-2</v>
      </c>
      <c r="L26" s="159"/>
    </row>
    <row r="27" spans="2:24" ht="18" customHeight="1" x14ac:dyDescent="0.2">
      <c r="B27" s="446" t="s">
        <v>963</v>
      </c>
      <c r="C27" s="447"/>
      <c r="D27" s="448"/>
      <c r="E27" s="448"/>
      <c r="F27" s="4164">
        <f>IF(SUM(F28:F29)=0,"NO",SUM(F28:F29))</f>
        <v>74.165779338485777</v>
      </c>
      <c r="G27" s="4165">
        <f t="shared" si="0"/>
        <v>1.8672549267315821</v>
      </c>
      <c r="H27" s="4166">
        <f t="shared" si="1"/>
        <v>0.10801262722957355</v>
      </c>
      <c r="I27" s="3220">
        <f>IF(SUM(I28:I29)=0,"NO",SUM(I28:I29))</f>
        <v>0.13848641686467494</v>
      </c>
      <c r="J27" s="449">
        <f>IF(SUM(J28:J29)=0,"NO",SUM(J28:J29))</f>
        <v>8.0108406768786729E-3</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0.46745106608678</v>
      </c>
      <c r="G28" s="4161">
        <f t="shared" si="0"/>
        <v>1.9600000000000077</v>
      </c>
      <c r="H28" s="4162">
        <f t="shared" si="1"/>
        <v>0.19108571428571505</v>
      </c>
      <c r="I28" s="3329">
        <v>9.1620408953009243E-4</v>
      </c>
      <c r="J28" s="3327">
        <v>8.9323220856811353E-5</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73.698328272398996</v>
      </c>
      <c r="G29" s="4161">
        <f t="shared" ref="G29" si="2">IF(SUM($F29)=0,"NA",I29/$F29*1000)</f>
        <v>1.8666666666666676</v>
      </c>
      <c r="H29" s="4162">
        <f t="shared" ref="H29" si="3">IF(SUM($F29)=0,"NA",J29/$F29*1000)</f>
        <v>0.10748571428571435</v>
      </c>
      <c r="I29" s="3329">
        <v>0.13757021277514486</v>
      </c>
      <c r="J29" s="3327">
        <v>7.9215174560218621E-3</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1069.5072182802071</v>
      </c>
    </row>
    <row r="11" spans="2:5" s="83" customFormat="1" ht="18" customHeight="1" x14ac:dyDescent="0.2">
      <c r="B11" s="1854" t="s">
        <v>972</v>
      </c>
      <c r="C11" s="4187">
        <v>2477077.56804132</v>
      </c>
      <c r="D11" s="3594">
        <f>IF(SUM(C11)=0,"NA",E11*1000/(44/12)/C11)</f>
        <v>0.10800000000000018</v>
      </c>
      <c r="E11" s="3431">
        <v>980.9227169443642</v>
      </c>
    </row>
    <row r="12" spans="2:5" s="83" customFormat="1" ht="18" customHeight="1" x14ac:dyDescent="0.2">
      <c r="B12" s="1854" t="s">
        <v>973</v>
      </c>
      <c r="C12" s="4187">
        <v>195622.748625343</v>
      </c>
      <c r="D12" s="3594">
        <f t="shared" ref="D12:D16" si="0">IF(SUM(C12)=0,"NA",E12*1000/(44/12)/C12)</f>
        <v>0.1235</v>
      </c>
      <c r="E12" s="3431">
        <v>88.584501335842816</v>
      </c>
    </row>
    <row r="13" spans="2:5" s="83" customFormat="1" ht="18" customHeight="1" x14ac:dyDescent="0.2">
      <c r="B13" s="846" t="s">
        <v>974</v>
      </c>
      <c r="C13" s="4188">
        <v>1017654.59503</v>
      </c>
      <c r="D13" s="4189">
        <f t="shared" si="0"/>
        <v>0.20000000000000004</v>
      </c>
      <c r="E13" s="3432">
        <v>746.28003635533344</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69110.035361393791</v>
      </c>
      <c r="D10" s="2989">
        <f t="shared" ref="D10:H10" si="0">IF(SUM(D11,D14,D17,D20,D23,D26,D29:D30)=0,"NO",SUM(D11,D14,D17,D20,D23,D26,D29:D30))</f>
        <v>748.22828413251693</v>
      </c>
      <c r="E10" s="2989">
        <f t="shared" si="0"/>
        <v>17.82315043188391</v>
      </c>
      <c r="F10" s="2989">
        <f t="shared" si="0"/>
        <v>1003.6155441045245</v>
      </c>
      <c r="G10" s="2989">
        <f t="shared" si="0"/>
        <v>26704.818829324257</v>
      </c>
      <c r="H10" s="2990">
        <f t="shared" si="0"/>
        <v>826.99831038869991</v>
      </c>
      <c r="I10" s="2991">
        <f>IF(SUM(C10:E10)=0,"NO",SUM(C10)+28*SUM(D10)+265*SUM(E10))</f>
        <v>94783.562181553512</v>
      </c>
    </row>
    <row r="11" spans="2:9" ht="18" customHeight="1" x14ac:dyDescent="0.2">
      <c r="B11" s="473" t="s">
        <v>981</v>
      </c>
      <c r="C11" s="2992">
        <f>IF(SUM(C12:C13)=0,"NO",SUM(C12:C13))</f>
        <v>-37521.021091248396</v>
      </c>
      <c r="D11" s="2992">
        <f t="shared" ref="D11:H11" si="1">IF(SUM(D12:D13)=0,"NO",SUM(D12:D13))</f>
        <v>272.2154760203336</v>
      </c>
      <c r="E11" s="2992">
        <f t="shared" si="1"/>
        <v>4.9450298453544983</v>
      </c>
      <c r="F11" s="2992">
        <f t="shared" si="1"/>
        <v>266.23984468188371</v>
      </c>
      <c r="G11" s="2992">
        <f t="shared" si="1"/>
        <v>7299.6329010626605</v>
      </c>
      <c r="H11" s="2993">
        <f t="shared" si="1"/>
        <v>288.56433319002434</v>
      </c>
      <c r="I11" s="2994">
        <f t="shared" ref="I11:I32" si="2">IF(SUM(C11:E11)=0,"NO",SUM(C11)+28*SUM(D11)+265*SUM(E11))</f>
        <v>-28588.554853660113</v>
      </c>
    </row>
    <row r="12" spans="2:9" ht="18" customHeight="1" x14ac:dyDescent="0.2">
      <c r="B12" s="474" t="s">
        <v>982</v>
      </c>
      <c r="C12" s="2995">
        <f>IF(SUM(Table4.A!U11,'Table4(IV)'!J12)=0,"NO",SUM(Table4.A!U11,'Table4(IV)'!J12))</f>
        <v>-13868.74956136676</v>
      </c>
      <c r="D12" s="2995">
        <f>'Table4(IV)'!K12</f>
        <v>269.83187921076495</v>
      </c>
      <c r="E12" s="2995">
        <f>IF(SUM('Table4(III)'!I12,'Table4(IV)'!L12)=0,"NO",SUM('Table4(III)'!I12,'Table4(IV)'!L12))</f>
        <v>4.4304042602369256</v>
      </c>
      <c r="F12" s="2905">
        <v>264.69016982317038</v>
      </c>
      <c r="G12" s="2905">
        <v>7241.1335054300544</v>
      </c>
      <c r="H12" s="2906">
        <v>281.90960074837898</v>
      </c>
      <c r="I12" s="2996">
        <f t="shared" si="2"/>
        <v>-5139.3998145025562</v>
      </c>
    </row>
    <row r="13" spans="2:9" ht="18" customHeight="1" thickBot="1" x14ac:dyDescent="0.25">
      <c r="B13" s="475" t="s">
        <v>983</v>
      </c>
      <c r="C13" s="2997">
        <f>IF(SUM(Table4.A!U16,'Table4(IV)'!J19)=0,"NO",SUM(Table4.A!U16,'Table4(IV)'!J19))</f>
        <v>-23652.271529881637</v>
      </c>
      <c r="D13" s="2997">
        <f>'Table4(IV)'!K19</f>
        <v>2.3835968095686684</v>
      </c>
      <c r="E13" s="2997">
        <f>IF(SUM('Table4(III)'!I13,'Table4(IV)'!L19)=0,"NO",SUM('Table4(III)'!I13,'Table4(IV)'!L19))</f>
        <v>0.51462558511757261</v>
      </c>
      <c r="F13" s="2908">
        <v>1.5496748587133402</v>
      </c>
      <c r="G13" s="2908">
        <v>58.499395632606124</v>
      </c>
      <c r="H13" s="2907">
        <v>6.6547324416453515</v>
      </c>
      <c r="I13" s="2998">
        <f t="shared" si="2"/>
        <v>-23449.155039157555</v>
      </c>
    </row>
    <row r="14" spans="2:9" ht="18" customHeight="1" x14ac:dyDescent="0.2">
      <c r="B14" s="473" t="s">
        <v>984</v>
      </c>
      <c r="C14" s="2992">
        <f>IF(SUM(C15:C16)=0,"NO",SUM(C15:C16))</f>
        <v>10366.324591842265</v>
      </c>
      <c r="D14" s="2992">
        <f t="shared" ref="D14" si="3">IF(SUM(D15:D16)=0,"NO",SUM(D15:D16))</f>
        <v>3.5510472000000006</v>
      </c>
      <c r="E14" s="2992">
        <f t="shared" ref="E14" si="4">IF(SUM(E15:E16)=0,"NO",SUM(E15:E16))</f>
        <v>0.20992904669944568</v>
      </c>
      <c r="F14" s="2992">
        <f t="shared" ref="F14" si="5">IF(SUM(F15:F16)=0,"NO",SUM(F15:F16))</f>
        <v>2.6738539928571425</v>
      </c>
      <c r="G14" s="2992">
        <f t="shared" ref="G14" si="6">IF(SUM(G15:G16)=0,"NO",SUM(G15:G16))</f>
        <v>104.72301233333333</v>
      </c>
      <c r="H14" s="2993">
        <f t="shared" ref="H14" si="7">IF(SUM(H15:H16)=0,"NO",SUM(H15:H16))</f>
        <v>12.658825666666665</v>
      </c>
      <c r="I14" s="2999">
        <f t="shared" si="2"/>
        <v>10521.385110817619</v>
      </c>
    </row>
    <row r="15" spans="2:9" ht="18" customHeight="1" x14ac:dyDescent="0.2">
      <c r="B15" s="474" t="s">
        <v>985</v>
      </c>
      <c r="C15" s="2995">
        <f>IF(SUM(Table4.B!S11,'Table4(IV)'!J26)=0,"NO",SUM(Table4.B!S11,'Table4(IV)'!J26))</f>
        <v>6582.4537517005519</v>
      </c>
      <c r="D15" s="2995" t="str">
        <f>'Table4(IV)'!K26</f>
        <v>IE</v>
      </c>
      <c r="E15" s="2995" t="str">
        <f>'Table4(IV)'!L26</f>
        <v>IE</v>
      </c>
      <c r="F15" s="2905" t="s">
        <v>2153</v>
      </c>
      <c r="G15" s="2905" t="s">
        <v>2153</v>
      </c>
      <c r="H15" s="2906" t="s">
        <v>2153</v>
      </c>
      <c r="I15" s="2996">
        <f t="shared" si="2"/>
        <v>6582.4537517005519</v>
      </c>
    </row>
    <row r="16" spans="2:9" ht="18" customHeight="1" thickBot="1" x14ac:dyDescent="0.25">
      <c r="B16" s="475" t="s">
        <v>986</v>
      </c>
      <c r="C16" s="2997">
        <f>IF(SUM(Table4.B!S13,'Table4(IV)'!J31)=0,"IE",SUM(Table4.B!S13,'Table4(IV)'!J31))</f>
        <v>3783.8708401417125</v>
      </c>
      <c r="D16" s="2997">
        <f>'Table4(IV)'!K31</f>
        <v>3.5510472000000006</v>
      </c>
      <c r="E16" s="2997">
        <f>IF(SUM('Table4(III)'!I21,'Table4(IV)'!L31)=0,"IE",SUM('Table4(III)'!I21,'Table4(IV)'!L31))</f>
        <v>0.20992904669944568</v>
      </c>
      <c r="F16" s="2908">
        <v>2.6738539928571425</v>
      </c>
      <c r="G16" s="2908">
        <v>104.72301233333333</v>
      </c>
      <c r="H16" s="2907">
        <v>12.658825666666665</v>
      </c>
      <c r="I16" s="2998">
        <f t="shared" si="2"/>
        <v>3938.9313591170658</v>
      </c>
    </row>
    <row r="17" spans="2:9" ht="18" customHeight="1" x14ac:dyDescent="0.2">
      <c r="B17" s="473" t="s">
        <v>987</v>
      </c>
      <c r="C17" s="2992">
        <f>IF(SUM(C18:C19)=0,"NO",SUM(C18:C19))</f>
        <v>95844.326427410371</v>
      </c>
      <c r="D17" s="2992">
        <f t="shared" ref="D17" si="8">IF(SUM(D18:D19)=0,"NO",SUM(D18:D19))</f>
        <v>388.16729497345409</v>
      </c>
      <c r="E17" s="2992">
        <f t="shared" ref="E17" si="9">IF(SUM(E18:E19)=0,"NO",SUM(E18:E19))</f>
        <v>12.11728189237113</v>
      </c>
      <c r="F17" s="2992">
        <f t="shared" ref="F17" si="10">IF(SUM(F18:F19)=0,"NO",SUM(F18:F19))</f>
        <v>706.5819858625639</v>
      </c>
      <c r="G17" s="2992">
        <f t="shared" ref="G17" si="11">IF(SUM(G18:G19)=0,"NO",SUM(G18:G19))</f>
        <v>18578.472824661596</v>
      </c>
      <c r="H17" s="2993">
        <f t="shared" ref="H17" si="12">IF(SUM(H18:H19)=0,"NO",SUM(H18:H19))</f>
        <v>510.51883467892401</v>
      </c>
      <c r="I17" s="2999">
        <f t="shared" si="2"/>
        <v>109924.09038814543</v>
      </c>
    </row>
    <row r="18" spans="2:9" ht="18" customHeight="1" x14ac:dyDescent="0.2">
      <c r="B18" s="474" t="s">
        <v>988</v>
      </c>
      <c r="C18" s="2995">
        <f>IF(SUM(Table4.C!S11,'Table4(IV)'!J37)=0,"IE",SUM(Table4.C!S11,'Table4(IV)'!J37))</f>
        <v>10123.570090377703</v>
      </c>
      <c r="D18" s="2995">
        <f>'Table4(IV)'!K37</f>
        <v>274.84036194880696</v>
      </c>
      <c r="E18" s="2995">
        <f>IF(SUM('Table4(III)'!I29,'Table4(IV)'!L37)=0,"NO",SUM('Table4(III)'!I29,'Table4(IV)'!L37))</f>
        <v>9.3641936671293351</v>
      </c>
      <c r="F18" s="2905">
        <v>620.35569426985171</v>
      </c>
      <c r="G18" s="2905">
        <v>15225.389070096937</v>
      </c>
      <c r="H18" s="2906">
        <v>109.7608012447694</v>
      </c>
      <c r="I18" s="2996">
        <f t="shared" si="2"/>
        <v>20300.611546733569</v>
      </c>
    </row>
    <row r="19" spans="2:9" ht="18" customHeight="1" thickBot="1" x14ac:dyDescent="0.25">
      <c r="B19" s="475" t="s">
        <v>989</v>
      </c>
      <c r="C19" s="2997">
        <f>IF(SUM(Table4.C!S15,'Table4(IV)'!J42)=0,"IE",SUM(Table4.C!S15,'Table4(IV)'!J42))</f>
        <v>85720.756337032668</v>
      </c>
      <c r="D19" s="2997">
        <f>'Table4(IV)'!K42</f>
        <v>113.32693302464713</v>
      </c>
      <c r="E19" s="2997">
        <f>IF(SUM('Table4(III)'!I30,'Table4(IV)'!L42)=0,"NO",SUM('Table4(III)'!I30,'Table4(IV)'!L42))</f>
        <v>2.7530882252417945</v>
      </c>
      <c r="F19" s="2908">
        <v>86.226291592712244</v>
      </c>
      <c r="G19" s="2908">
        <v>3353.0837545646605</v>
      </c>
      <c r="H19" s="2907">
        <v>400.75803343415464</v>
      </c>
      <c r="I19" s="2998">
        <f t="shared" si="2"/>
        <v>89623.478841411867</v>
      </c>
    </row>
    <row r="20" spans="2:9" ht="18" customHeight="1" x14ac:dyDescent="0.2">
      <c r="B20" s="473" t="s">
        <v>2027</v>
      </c>
      <c r="C20" s="2992">
        <f>IF(SUM(C21:C22)=0,"NO",SUM(C21:C22))</f>
        <v>1048.2472841848185</v>
      </c>
      <c r="D20" s="2992">
        <f t="shared" ref="D20" si="13">IF(SUM(D21:D22)=0,"NO",SUM(D21:D22))</f>
        <v>80.12258433872924</v>
      </c>
      <c r="E20" s="2992">
        <f t="shared" ref="E20" si="14">IF(SUM(E21:E22)=0,"NO",SUM(E21:E22))</f>
        <v>0.33803494271444195</v>
      </c>
      <c r="F20" s="2992">
        <f t="shared" ref="F20" si="15">IF(SUM(F21:F22)=0,"NO",SUM(F21:F22))</f>
        <v>24.978532052934025</v>
      </c>
      <c r="G20" s="2992">
        <f t="shared" ref="G20" si="16">IF(SUM(G21:G22)=0,"NO",SUM(G21:G22))</f>
        <v>598.95821259999923</v>
      </c>
      <c r="H20" s="2993">
        <f t="shared" ref="H20" si="17">IF(SUM(H21:H22)=0,"NO",SUM(H21:H22))</f>
        <v>0.38433151975166607</v>
      </c>
      <c r="I20" s="2999">
        <f t="shared" si="2"/>
        <v>3381.2589054885643</v>
      </c>
    </row>
    <row r="21" spans="2:9" ht="18" customHeight="1" x14ac:dyDescent="0.2">
      <c r="B21" s="474" t="s">
        <v>990</v>
      </c>
      <c r="C21" s="2995">
        <f>IF(SUM(Table4.D!S11,'Table4(IV)'!J49)=0,"IE",SUM(Table4.D!S11,'Table4(IV)'!J49))</f>
        <v>1008.1852841848186</v>
      </c>
      <c r="D21" s="2995">
        <f>IF(SUM('Table4(IV)'!K49,'Table4(II)'!J270)=0,"NO",SUM('Table4(IV)'!K49,'Table4(II)'!J270))</f>
        <v>71.968869689770912</v>
      </c>
      <c r="E21" s="2995">
        <f>IF(SUM('Table4(II)'!I270,'Table4(III)'!I38,'Table4(IV)'!L49)=0,"NO",SUM('Table4(II)'!I270,'Table4(III)'!I38,'Table4(IV)'!L49))</f>
        <v>0.33803494271444195</v>
      </c>
      <c r="F21" s="2905">
        <v>24.978532052934025</v>
      </c>
      <c r="G21" s="2905">
        <v>598.95821259999923</v>
      </c>
      <c r="H21" s="2906">
        <v>0.38433151975166607</v>
      </c>
      <c r="I21" s="2996">
        <f t="shared" si="2"/>
        <v>3112.892895317731</v>
      </c>
    </row>
    <row r="22" spans="2:9" ht="18" customHeight="1" thickBot="1" x14ac:dyDescent="0.25">
      <c r="B22" s="475" t="s">
        <v>991</v>
      </c>
      <c r="C22" s="2997">
        <f>IF(SUM(Table4.D!S23,'Table4(II)'!H320,'Table4(IV)'!J54)=0,"NO",SUM(Table4.D!S23,'Table4(II)'!H320,'Table4(IV)'!J54))</f>
        <v>40.062000000000005</v>
      </c>
      <c r="D22" s="2997">
        <f>IF(SUM('Table4(IV)'!K54,'Table4(II)'!J320)=0,"NO",SUM('Table4(IV)'!K54,'Table4(II)'!J320))</f>
        <v>8.1537146489583332</v>
      </c>
      <c r="E22" s="2997" t="str">
        <f>IF(SUM('Table4(II)'!I320,'Table4(III)'!I39,'Table4(IV)'!L54)=0,"NO",SUM('Table4(II)'!I320,'Table4(III)'!I39,'Table4(IV)'!L54))</f>
        <v>NO</v>
      </c>
      <c r="F22" s="2908" t="s">
        <v>2153</v>
      </c>
      <c r="G22" s="2908" t="s">
        <v>2153</v>
      </c>
      <c r="H22" s="2907" t="s">
        <v>2153</v>
      </c>
      <c r="I22" s="2998">
        <f t="shared" si="2"/>
        <v>268.36601017083331</v>
      </c>
    </row>
    <row r="23" spans="2:9" ht="18" customHeight="1" x14ac:dyDescent="0.2">
      <c r="B23" s="473" t="s">
        <v>992</v>
      </c>
      <c r="C23" s="2992">
        <f>IF(SUM(C24:C25)=0,"NO",SUM(C24:C25))</f>
        <v>5748.0897985584879</v>
      </c>
      <c r="D23" s="2992">
        <f t="shared" ref="D23" si="18">IF(SUM(D24:D25)=0,"NO",SUM(D24:D25))</f>
        <v>4.1718816000000007</v>
      </c>
      <c r="E23" s="2992">
        <f t="shared" ref="E23" si="19">IF(SUM(E24:E25)=0,"NO",SUM(E24:E25))</f>
        <v>0.10928771560620945</v>
      </c>
      <c r="F23" s="2992">
        <f>IF(SUM(F24:F25)=0,"NO",SUM(F24:F25))</f>
        <v>3.141327514285714</v>
      </c>
      <c r="G23" s="2992">
        <f t="shared" ref="G23" si="20">IF(SUM(G24:G25)=0,"NO",SUM(G24:G25))</f>
        <v>123.03187866666667</v>
      </c>
      <c r="H23" s="2993">
        <f t="shared" ref="H23" si="21">IF(SUM(H24:H25)=0,"NO",SUM(H24:H25))</f>
        <v>14.871985333333333</v>
      </c>
      <c r="I23" s="2999">
        <f t="shared" si="2"/>
        <v>5893.863727994134</v>
      </c>
    </row>
    <row r="24" spans="2:9" ht="18" customHeight="1" x14ac:dyDescent="0.2">
      <c r="B24" s="474" t="s">
        <v>993</v>
      </c>
      <c r="C24" s="2995">
        <f>IF(SUM(Table4.E!S11,'Table4(IV)'!J60)=0,"IE",SUM(Table4.E!S11,'Table4(IV)'!J60))</f>
        <v>30.950646744953229</v>
      </c>
      <c r="D24" s="2995" t="str">
        <f>'Table4(IV)'!K60</f>
        <v>IE</v>
      </c>
      <c r="E24" s="2995">
        <f>IF(SUM('Table4(III)'!I47,'Table4(IV)'!L60)=0,"IE",SUM('Table4(III)'!I47,'Table4(IV)'!L60))</f>
        <v>1.0417567962834257E-3</v>
      </c>
      <c r="F24" s="2905" t="s">
        <v>2154</v>
      </c>
      <c r="G24" s="2905" t="s">
        <v>2154</v>
      </c>
      <c r="H24" s="2906" t="s">
        <v>2154</v>
      </c>
      <c r="I24" s="2996">
        <f t="shared" si="2"/>
        <v>31.226712295968337</v>
      </c>
    </row>
    <row r="25" spans="2:9" ht="18" customHeight="1" thickBot="1" x14ac:dyDescent="0.25">
      <c r="B25" s="475" t="s">
        <v>994</v>
      </c>
      <c r="C25" s="2997">
        <f>IF(SUM(Table4.E!S13,'Table4(IV)'!J65)=0,"IE",SUM(Table4.E!S13,'Table4(IV)'!J65))</f>
        <v>5717.1391518135351</v>
      </c>
      <c r="D25" s="2997">
        <f>'Table4(IV)'!K65</f>
        <v>4.1718816000000007</v>
      </c>
      <c r="E25" s="2997">
        <f>IF(SUM('Table4(III)'!I48,'Table4(IV)'!L65)=0,"NO",SUM('Table4(III)'!I48,'Table4(IV)'!L65))</f>
        <v>0.10824595880992603</v>
      </c>
      <c r="F25" s="2908">
        <v>3.141327514285714</v>
      </c>
      <c r="G25" s="2908">
        <v>123.03187866666667</v>
      </c>
      <c r="H25" s="2907">
        <v>14.871985333333333</v>
      </c>
      <c r="I25" s="2998">
        <f t="shared" si="2"/>
        <v>5862.6370156981657</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-6376.588571722652</v>
      </c>
      <c r="D29" s="3004"/>
      <c r="E29" s="3004"/>
      <c r="F29" s="3004"/>
      <c r="G29" s="3004"/>
      <c r="H29" s="3005"/>
      <c r="I29" s="3006">
        <f t="shared" si="2"/>
        <v>-6376.588571722652</v>
      </c>
    </row>
    <row r="30" spans="2:9" ht="18" customHeight="1" x14ac:dyDescent="0.2">
      <c r="B30" s="1168" t="s">
        <v>2063</v>
      </c>
      <c r="C30" s="3007">
        <f>IF(SUM(C31:C32)=0,"NO",SUM(C31:C32))</f>
        <v>0.65692236888666677</v>
      </c>
      <c r="D30" s="3007" t="str">
        <f t="shared" ref="D30" si="27">IF(SUM(D31:D32)=0,"NO",SUM(D31:D32))</f>
        <v>NO</v>
      </c>
      <c r="E30" s="3007">
        <f t="shared" ref="E30" si="28">IF(SUM(E31:E32)=0,"NO",SUM(E31:E32))</f>
        <v>0.1035869891381873</v>
      </c>
      <c r="F30" s="3007" t="str">
        <f t="shared" ref="F30" si="29">IF(SUM(F31:F32)=0,"NO",SUM(F31:F32))</f>
        <v>NO</v>
      </c>
      <c r="G30" s="3007" t="str">
        <f t="shared" ref="G30" si="30">IF(SUM(G31:G32)=0,"NO",SUM(G31:G32))</f>
        <v>NO</v>
      </c>
      <c r="H30" s="3008" t="str">
        <f t="shared" ref="H30" si="31">IF(SUM(H31:H32)=0,"NO",SUM(H31:H32))</f>
        <v>NO</v>
      </c>
      <c r="I30" s="3009">
        <f t="shared" si="2"/>
        <v>28.107474490506299</v>
      </c>
    </row>
    <row r="31" spans="2:9" ht="18" customHeight="1" x14ac:dyDescent="0.2">
      <c r="B31" s="2677" t="s">
        <v>2218</v>
      </c>
      <c r="C31" s="3010" t="s">
        <v>2146</v>
      </c>
      <c r="D31" s="3010" t="s">
        <v>2146</v>
      </c>
      <c r="E31" s="3010">
        <v>0.1035869891381873</v>
      </c>
      <c r="F31" s="3010" t="s">
        <v>2146</v>
      </c>
      <c r="G31" s="3010" t="s">
        <v>2146</v>
      </c>
      <c r="H31" s="3011" t="s">
        <v>2146</v>
      </c>
      <c r="I31" s="3012">
        <f t="shared" si="2"/>
        <v>27.450552121619634</v>
      </c>
    </row>
    <row r="32" spans="2:9" ht="18" customHeight="1" thickBot="1" x14ac:dyDescent="0.25">
      <c r="B32" s="2676" t="s">
        <v>2219</v>
      </c>
      <c r="C32" s="3013">
        <v>0.65692236888666677</v>
      </c>
      <c r="D32" s="3013" t="s">
        <v>2146</v>
      </c>
      <c r="E32" s="3013" t="s">
        <v>2146</v>
      </c>
      <c r="F32" s="3014" t="s">
        <v>2146</v>
      </c>
      <c r="G32" s="3014" t="s">
        <v>2146</v>
      </c>
      <c r="H32" s="3014" t="s">
        <v>2146</v>
      </c>
      <c r="I32" s="2998">
        <f t="shared" si="2"/>
        <v>0.65692236888666677</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v>79637.591155229355</v>
      </c>
      <c r="D35" s="3013">
        <v>426.81490499508368</v>
      </c>
      <c r="E35" s="3013">
        <v>4.1855456856723254</v>
      </c>
      <c r="F35" s="3013">
        <v>169.72374898790937</v>
      </c>
      <c r="G35" s="3013">
        <v>6647.327156232659</v>
      </c>
      <c r="H35" s="3013">
        <v>803.52306284131032</v>
      </c>
      <c r="I35" s="3018">
        <f t="shared" ref="I35" si="32">IF(SUM(C35:E35)=0,"NO",SUM(C35)+28*SUM(D35)+265*SUM(E35))</f>
        <v>92697.578101794876</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373139.75137787632</v>
      </c>
      <c r="D10" s="3765">
        <f t="shared" ref="D10:I10" si="0">IF(SUM(D11,D37,D47)=0,"NO",SUM(D11,D37,D47))</f>
        <v>1479.0584567626638</v>
      </c>
      <c r="E10" s="3765">
        <f t="shared" si="0"/>
        <v>12.701051157755419</v>
      </c>
      <c r="F10" s="3765">
        <f t="shared" si="0"/>
        <v>2161.9662525902831</v>
      </c>
      <c r="G10" s="3765">
        <f t="shared" si="0"/>
        <v>3170.6589295798867</v>
      </c>
      <c r="H10" s="3765">
        <f t="shared" si="0"/>
        <v>694.42539292281162</v>
      </c>
      <c r="I10" s="3766">
        <f t="shared" si="0"/>
        <v>763.31070092963182</v>
      </c>
      <c r="J10" s="3028">
        <f t="shared" ref="J10:J40" si="1">IF(SUM(C10:E10)=0,"NO",SUM(C10,IFERROR(28*D10,0),IFERROR(265*E10,0)))</f>
        <v>417919.16672403604</v>
      </c>
    </row>
    <row r="11" spans="2:10" s="83" customFormat="1" ht="18" customHeight="1" thickBot="1" x14ac:dyDescent="0.25">
      <c r="B11" s="18" t="s">
        <v>75</v>
      </c>
      <c r="C11" s="3029">
        <f>IF(SUM(C12,C16,C24,C30,C34)=0,"NO",SUM(C12,C16,C24,C30,C34))</f>
        <v>365635.60767060501</v>
      </c>
      <c r="D11" s="3029">
        <f t="shared" ref="D11:I11" si="2">IF(SUM(D12,D16,D24,D30,D34)=0,"NO",SUM(D12,D16,D24,D30,D34))</f>
        <v>82.703649507558552</v>
      </c>
      <c r="E11" s="3029">
        <f t="shared" si="2"/>
        <v>12.610587956384448</v>
      </c>
      <c r="F11" s="3029">
        <f t="shared" si="2"/>
        <v>2159.1425659768724</v>
      </c>
      <c r="G11" s="3029">
        <f t="shared" si="2"/>
        <v>3154.2833398133598</v>
      </c>
      <c r="H11" s="3029">
        <f t="shared" si="2"/>
        <v>494.83112149014619</v>
      </c>
      <c r="I11" s="3030">
        <f t="shared" si="2"/>
        <v>763.31070092963182</v>
      </c>
      <c r="J11" s="3031">
        <f t="shared" si="1"/>
        <v>371293.11566525855</v>
      </c>
    </row>
    <row r="12" spans="2:10" s="83" customFormat="1" ht="18" customHeight="1" x14ac:dyDescent="0.2">
      <c r="B12" s="26" t="s">
        <v>76</v>
      </c>
      <c r="C12" s="3029">
        <f>IF(SUM(C13:C15)=0,"NO",SUM(C13:C15))</f>
        <v>222727.89215060015</v>
      </c>
      <c r="D12" s="3029">
        <f t="shared" ref="D12:I12" si="3">IF(SUM(D13:D15)=0,"NO",SUM(D13:D15))</f>
        <v>12.976423252243976</v>
      </c>
      <c r="E12" s="3029">
        <f t="shared" si="3"/>
        <v>3.7612196537347935</v>
      </c>
      <c r="F12" s="3029">
        <f t="shared" si="3"/>
        <v>925.89908171321531</v>
      </c>
      <c r="G12" s="3029">
        <f t="shared" si="3"/>
        <v>169.17300665691886</v>
      </c>
      <c r="H12" s="3029">
        <f>IF(SUM(H13:H15)=0,"NO",SUM(H13:H15))</f>
        <v>36.912890057789738</v>
      </c>
      <c r="I12" s="3030">
        <f t="shared" si="3"/>
        <v>630.58180481275531</v>
      </c>
      <c r="J12" s="3031">
        <f t="shared" si="1"/>
        <v>224087.95520990269</v>
      </c>
    </row>
    <row r="13" spans="2:10" s="83" customFormat="1" ht="18" customHeight="1" x14ac:dyDescent="0.2">
      <c r="B13" s="20" t="s">
        <v>77</v>
      </c>
      <c r="C13" s="3032">
        <f>'Table1.A(a)s1'!H24</f>
        <v>202966.71922491211</v>
      </c>
      <c r="D13" s="3032">
        <f>'Table1.A(a)s1'!I24</f>
        <v>6.4538982914027692</v>
      </c>
      <c r="E13" s="3032">
        <f>'Table1.A(a)s1'!J24</f>
        <v>3.3454264933759181</v>
      </c>
      <c r="F13" s="3033">
        <v>647.40564320520559</v>
      </c>
      <c r="G13" s="3033">
        <v>92.192634064088438</v>
      </c>
      <c r="H13" s="3033">
        <v>6.7930048886841883</v>
      </c>
      <c r="I13" s="3034">
        <v>613.74114685865914</v>
      </c>
      <c r="J13" s="3035">
        <f t="shared" si="1"/>
        <v>204033.96639781602</v>
      </c>
    </row>
    <row r="14" spans="2:10" s="83" customFormat="1" ht="18" customHeight="1" x14ac:dyDescent="0.2">
      <c r="B14" s="20" t="s">
        <v>78</v>
      </c>
      <c r="C14" s="3032">
        <f>'Table1.A(a)s1'!H53</f>
        <v>5319.7742183309911</v>
      </c>
      <c r="D14" s="3032">
        <f>'Table1.A(a)s1'!I53</f>
        <v>6.6274166312862662E-2</v>
      </c>
      <c r="E14" s="3032">
        <f>'Table1.A(a)s1'!J53</f>
        <v>4.4137277865418226E-2</v>
      </c>
      <c r="F14" s="3033">
        <v>34.749395128755928</v>
      </c>
      <c r="G14" s="3033">
        <v>4.2650126929736913</v>
      </c>
      <c r="H14" s="3033">
        <v>8.195587004870919E-2</v>
      </c>
      <c r="I14" s="3034">
        <v>3.650885286550424</v>
      </c>
      <c r="J14" s="3035">
        <f t="shared" si="1"/>
        <v>5333.3262736220868</v>
      </c>
    </row>
    <row r="15" spans="2:10" s="83" customFormat="1" ht="18" customHeight="1" thickBot="1" x14ac:dyDescent="0.25">
      <c r="B15" s="21" t="s">
        <v>79</v>
      </c>
      <c r="C15" s="3036">
        <f>'Table1.A(a)s1'!H60</f>
        <v>14441.398707357019</v>
      </c>
      <c r="D15" s="3036">
        <f>'Table1.A(a)s1'!I60</f>
        <v>6.4562507945283425</v>
      </c>
      <c r="E15" s="3036">
        <f>'Table1.A(a)s1'!J60</f>
        <v>0.37165588249345721</v>
      </c>
      <c r="F15" s="3037">
        <v>243.7440433792537</v>
      </c>
      <c r="G15" s="3037">
        <v>72.715359899856722</v>
      </c>
      <c r="H15" s="3037">
        <v>30.037929299056838</v>
      </c>
      <c r="I15" s="3038">
        <v>13.189772667545807</v>
      </c>
      <c r="J15" s="3039">
        <f t="shared" si="1"/>
        <v>14720.662538464578</v>
      </c>
    </row>
    <row r="16" spans="2:10" s="83" customFormat="1" ht="18" customHeight="1" x14ac:dyDescent="0.2">
      <c r="B16" s="25" t="s">
        <v>80</v>
      </c>
      <c r="C16" s="3029">
        <f>IF(SUM(C17:C23)=0,"NO",SUM(C17:C23))</f>
        <v>40457.906147434798</v>
      </c>
      <c r="D16" s="3029">
        <f t="shared" ref="D16:I16" si="4">IF(SUM(D17:D23)=0,"NO",SUM(D17:D23))</f>
        <v>2.3972548946445911</v>
      </c>
      <c r="E16" s="3029">
        <f t="shared" si="4"/>
        <v>1.3715263252857557</v>
      </c>
      <c r="F16" s="3029">
        <f t="shared" si="4"/>
        <v>553.98226275236061</v>
      </c>
      <c r="G16" s="3029">
        <f t="shared" si="4"/>
        <v>175.60836775353175</v>
      </c>
      <c r="H16" s="3029">
        <f t="shared" si="4"/>
        <v>70.106821987791108</v>
      </c>
      <c r="I16" s="3030">
        <f t="shared" si="4"/>
        <v>95.518215015732068</v>
      </c>
      <c r="J16" s="3031">
        <f t="shared" si="1"/>
        <v>40888.483760685573</v>
      </c>
    </row>
    <row r="17" spans="2:10" s="83" customFormat="1" ht="18" customHeight="1" x14ac:dyDescent="0.2">
      <c r="B17" s="20" t="s">
        <v>81</v>
      </c>
      <c r="C17" s="3032">
        <f>'Table1.A(a)s2'!H17</f>
        <v>2468.3691529140874</v>
      </c>
      <c r="D17" s="3032">
        <f>'Table1.A(a)s2'!I17</f>
        <v>5.5951362752233585E-2</v>
      </c>
      <c r="E17" s="3032">
        <f>'Table1.A(a)s2'!J17</f>
        <v>3.1074065043802002E-2</v>
      </c>
      <c r="F17" s="3033">
        <v>27.413221833730312</v>
      </c>
      <c r="G17" s="3033">
        <v>4.5227261913379939</v>
      </c>
      <c r="H17" s="3033">
        <v>0.52388255539006123</v>
      </c>
      <c r="I17" s="3034">
        <v>10.694420077624395</v>
      </c>
      <c r="J17" s="3035">
        <f t="shared" si="1"/>
        <v>2478.1704183077577</v>
      </c>
    </row>
    <row r="18" spans="2:10" s="83" customFormat="1" ht="18" customHeight="1" x14ac:dyDescent="0.2">
      <c r="B18" s="20" t="s">
        <v>82</v>
      </c>
      <c r="C18" s="3032">
        <f>'Table1.A(a)s2'!H24</f>
        <v>14142.186150274869</v>
      </c>
      <c r="D18" s="3032">
        <f>'Table1.A(a)s2'!I24</f>
        <v>0.27264937347377993</v>
      </c>
      <c r="E18" s="3032">
        <f>'Table1.A(a)s2'!J24</f>
        <v>0.16202614903776924</v>
      </c>
      <c r="F18" s="3033">
        <v>104.53000956126644</v>
      </c>
      <c r="G18" s="3033">
        <v>17.380702419387557</v>
      </c>
      <c r="H18" s="3033">
        <v>2.9869469802839479</v>
      </c>
      <c r="I18" s="3034">
        <v>54.039405931046964</v>
      </c>
      <c r="J18" s="3035">
        <f t="shared" si="1"/>
        <v>14192.757262227144</v>
      </c>
    </row>
    <row r="19" spans="2:10" s="83" customFormat="1" ht="18" customHeight="1" x14ac:dyDescent="0.2">
      <c r="B19" s="20" t="s">
        <v>83</v>
      </c>
      <c r="C19" s="3032">
        <f>'Table1.A(a)s2'!H31</f>
        <v>6194.2634957450955</v>
      </c>
      <c r="D19" s="3032">
        <f>'Table1.A(a)s2'!I31</f>
        <v>0.24324921594536092</v>
      </c>
      <c r="E19" s="3032">
        <f>'Table1.A(a)s2'!J31</f>
        <v>7.2232683187622646E-2</v>
      </c>
      <c r="F19" s="3033">
        <v>43.237433169745337</v>
      </c>
      <c r="G19" s="3033">
        <v>18.326017610471297</v>
      </c>
      <c r="H19" s="3033">
        <v>12.702947643723348</v>
      </c>
      <c r="I19" s="3034">
        <v>4.5184608506593467</v>
      </c>
      <c r="J19" s="3035">
        <f t="shared" si="1"/>
        <v>6220.2161348362861</v>
      </c>
    </row>
    <row r="20" spans="2:10" s="83" customFormat="1" ht="18" customHeight="1" x14ac:dyDescent="0.2">
      <c r="B20" s="20" t="s">
        <v>84</v>
      </c>
      <c r="C20" s="3032">
        <f>'Table1.A(a)s2'!H38</f>
        <v>1707.8179514715935</v>
      </c>
      <c r="D20" s="3032">
        <f>'Table1.A(a)s2'!I38</f>
        <v>0.26075530406167141</v>
      </c>
      <c r="E20" s="3032">
        <f>'Table1.A(a)s2'!J38</f>
        <v>0.17301398954984779</v>
      </c>
      <c r="F20" s="3033">
        <v>7.2710788091499143</v>
      </c>
      <c r="G20" s="3033">
        <v>6.2637301547783846</v>
      </c>
      <c r="H20" s="3033">
        <v>0.20643614760414178</v>
      </c>
      <c r="I20" s="3034">
        <v>2.1891673752923766</v>
      </c>
      <c r="J20" s="3035">
        <f t="shared" si="1"/>
        <v>1760.9678072160298</v>
      </c>
    </row>
    <row r="21" spans="2:10" s="83" customFormat="1" ht="18" customHeight="1" x14ac:dyDescent="0.2">
      <c r="B21" s="20" t="s">
        <v>85</v>
      </c>
      <c r="C21" s="3032">
        <f>'Table1.A(a)s2'!H45</f>
        <v>2999.0193553957861</v>
      </c>
      <c r="D21" s="3032">
        <f>'Table1.A(a)s2'!I45</f>
        <v>0.94548216687347364</v>
      </c>
      <c r="E21" s="3032">
        <f>'Table1.A(a)s2'!J45</f>
        <v>0.61400549502935953</v>
      </c>
      <c r="F21" s="3033">
        <v>24.776813489416934</v>
      </c>
      <c r="G21" s="3033">
        <v>23.835582155271752</v>
      </c>
      <c r="H21" s="3033">
        <v>1.1859950747683572</v>
      </c>
      <c r="I21" s="3034">
        <v>5.5837394574511361</v>
      </c>
      <c r="J21" s="3035">
        <f t="shared" si="1"/>
        <v>3188.2043122510236</v>
      </c>
    </row>
    <row r="22" spans="2:10" s="83" customFormat="1" ht="18" customHeight="1" x14ac:dyDescent="0.2">
      <c r="B22" s="20" t="s">
        <v>86</v>
      </c>
      <c r="C22" s="3032">
        <f>'Table1.A(a)s2'!H52</f>
        <v>6773.021815868271</v>
      </c>
      <c r="D22" s="3032">
        <f>'Table1.A(a)s2'!I52</f>
        <v>0.29387967260961428</v>
      </c>
      <c r="E22" s="3032">
        <f>'Table1.A(a)s2'!J52</f>
        <v>5.4842683789692419E-2</v>
      </c>
      <c r="F22" s="3033">
        <v>95.096272514789703</v>
      </c>
      <c r="G22" s="3033">
        <v>24.32151375066714</v>
      </c>
      <c r="H22" s="3033">
        <v>14.4628344630801</v>
      </c>
      <c r="I22" s="3034">
        <v>12.503577338788691</v>
      </c>
      <c r="J22" s="3035">
        <f t="shared" si="1"/>
        <v>6795.7837579056086</v>
      </c>
    </row>
    <row r="23" spans="2:10" s="83" customFormat="1" ht="18" customHeight="1" thickBot="1" x14ac:dyDescent="0.25">
      <c r="B23" s="3060" t="s">
        <v>2115</v>
      </c>
      <c r="C23" s="3032">
        <f>'Table1.A(a)s2'!H59</f>
        <v>6173.2282257650922</v>
      </c>
      <c r="D23" s="3032">
        <f>'Table1.A(a)s2'!I59</f>
        <v>0.32528779892845711</v>
      </c>
      <c r="E23" s="3032">
        <f>'Table1.A(a)s2'!J59</f>
        <v>0.26433125964766196</v>
      </c>
      <c r="F23" s="3033">
        <v>251.65743337426196</v>
      </c>
      <c r="G23" s="3033">
        <v>80.958095471617639</v>
      </c>
      <c r="H23" s="3033">
        <v>38.037779122941153</v>
      </c>
      <c r="I23" s="3034">
        <v>5.9894439848691698</v>
      </c>
      <c r="J23" s="3035">
        <f t="shared" si="1"/>
        <v>6252.3840679417199</v>
      </c>
    </row>
    <row r="24" spans="2:10" s="83" customFormat="1" ht="18" customHeight="1" x14ac:dyDescent="0.2">
      <c r="B24" s="25" t="s">
        <v>87</v>
      </c>
      <c r="C24" s="3029">
        <f>IF(SUM(C25:C29)=0,"NO",SUM(C25:C29))</f>
        <v>82931.239783305908</v>
      </c>
      <c r="D24" s="3029">
        <f t="shared" ref="D24:I24" si="5">IF(SUM(D25:D29)=0,"NO",SUM(D25:D29))</f>
        <v>19.897530862982169</v>
      </c>
      <c r="E24" s="3029">
        <f t="shared" si="5"/>
        <v>6.8052834178180861</v>
      </c>
      <c r="F24" s="3029">
        <f t="shared" si="5"/>
        <v>323.66304987362292</v>
      </c>
      <c r="G24" s="3029">
        <f t="shared" si="5"/>
        <v>2045.163763993505</v>
      </c>
      <c r="H24" s="3029">
        <f t="shared" si="5"/>
        <v>264.32990496035268</v>
      </c>
      <c r="I24" s="3030">
        <f t="shared" si="5"/>
        <v>29.410428475095838</v>
      </c>
      <c r="J24" s="3031">
        <f t="shared" si="1"/>
        <v>85291.770753191202</v>
      </c>
    </row>
    <row r="25" spans="2:10" s="83" customFormat="1" ht="18" customHeight="1" x14ac:dyDescent="0.2">
      <c r="B25" s="20" t="s">
        <v>88</v>
      </c>
      <c r="C25" s="1878">
        <f>'Table1.A(a)s3'!H16</f>
        <v>6112.7625099704674</v>
      </c>
      <c r="D25" s="1878">
        <f>'Table1.A(a)s3'!I16</f>
        <v>2.9384214185206491E-2</v>
      </c>
      <c r="E25" s="1878">
        <f>'Table1.A(a)s3'!J16</f>
        <v>4.8107733010932185E-2</v>
      </c>
      <c r="F25" s="3033">
        <v>20.645132021946054</v>
      </c>
      <c r="G25" s="3033">
        <v>13.676142028387719</v>
      </c>
      <c r="H25" s="3033">
        <v>1.3433515952876167</v>
      </c>
      <c r="I25" s="3034">
        <v>0.72105654422634557</v>
      </c>
      <c r="J25" s="3035">
        <f t="shared" si="1"/>
        <v>6126.33381721555</v>
      </c>
    </row>
    <row r="26" spans="2:10" s="83" customFormat="1" ht="18" customHeight="1" x14ac:dyDescent="0.2">
      <c r="B26" s="20" t="s">
        <v>89</v>
      </c>
      <c r="C26" s="1878">
        <f>'Table1.A(a)s3'!H20</f>
        <v>71554.572541802627</v>
      </c>
      <c r="D26" s="1878">
        <f>'Table1.A(a)s3'!I20</f>
        <v>15.346591931125785</v>
      </c>
      <c r="E26" s="1878">
        <f>'Table1.A(a)s3'!J20</f>
        <v>5.8763532942837253</v>
      </c>
      <c r="F26" s="3033">
        <v>231.07834360799805</v>
      </c>
      <c r="G26" s="3033">
        <v>1797.3784302286913</v>
      </c>
      <c r="H26" s="3033">
        <v>222.40223473828067</v>
      </c>
      <c r="I26" s="3034">
        <v>14.922641605920276</v>
      </c>
      <c r="J26" s="3035">
        <f t="shared" si="1"/>
        <v>73541.510738859346</v>
      </c>
    </row>
    <row r="27" spans="2:10" s="83" customFormat="1" ht="18" customHeight="1" x14ac:dyDescent="0.2">
      <c r="B27" s="20" t="s">
        <v>90</v>
      </c>
      <c r="C27" s="1878">
        <f>'Table1.A(a)s3'!H81</f>
        <v>1942.572910105951</v>
      </c>
      <c r="D27" s="1878">
        <f>'Table1.A(a)s3'!I81</f>
        <v>0.11116297053539062</v>
      </c>
      <c r="E27" s="1878">
        <f>'Table1.A(a)s3'!J81</f>
        <v>0.8337222790154295</v>
      </c>
      <c r="F27" s="3033">
        <v>42.519836229786911</v>
      </c>
      <c r="G27" s="3033">
        <v>5.6137300120372258</v>
      </c>
      <c r="H27" s="3033">
        <v>1.9731427270031832</v>
      </c>
      <c r="I27" s="3034">
        <v>1.5845598870176287</v>
      </c>
      <c r="J27" s="3035">
        <f t="shared" si="1"/>
        <v>2166.6218772200309</v>
      </c>
    </row>
    <row r="28" spans="2:10" s="83" customFormat="1" ht="18" customHeight="1" x14ac:dyDescent="0.2">
      <c r="B28" s="20" t="s">
        <v>91</v>
      </c>
      <c r="C28" s="1878">
        <f>'Table1.A(a)s3'!H88</f>
        <v>2404.2462176994959</v>
      </c>
      <c r="D28" s="1878">
        <f>'Table1.A(a)s3'!I88</f>
        <v>4.2440827232357092</v>
      </c>
      <c r="E28" s="1878">
        <f>'Table1.A(a)s3'!J88</f>
        <v>4.5271714126915233E-2</v>
      </c>
      <c r="F28" s="3033">
        <v>25.98928738739524</v>
      </c>
      <c r="G28" s="3033">
        <v>223.0887620618756</v>
      </c>
      <c r="H28" s="3033">
        <v>37.860269322086872</v>
      </c>
      <c r="I28" s="3034">
        <v>12.176744982983736</v>
      </c>
      <c r="J28" s="3035">
        <f t="shared" si="1"/>
        <v>2535.0775381937283</v>
      </c>
    </row>
    <row r="29" spans="2:10" s="83" customFormat="1" ht="18" customHeight="1" thickBot="1" x14ac:dyDescent="0.25">
      <c r="B29" s="22" t="s">
        <v>92</v>
      </c>
      <c r="C29" s="1881">
        <f>'Table1.A(a)s3'!H99</f>
        <v>917.08560372737861</v>
      </c>
      <c r="D29" s="1881">
        <f>'Table1.A(a)s3'!I99</f>
        <v>0.1663090239000759</v>
      </c>
      <c r="E29" s="1881">
        <f>'Table1.A(a)s3'!J99</f>
        <v>1.8283973810842354E-3</v>
      </c>
      <c r="F29" s="3040">
        <v>3.4304506264966594</v>
      </c>
      <c r="G29" s="3040">
        <v>5.4066996625132893</v>
      </c>
      <c r="H29" s="3040">
        <v>0.75090657769433211</v>
      </c>
      <c r="I29" s="3041">
        <v>5.4254549478495598E-3</v>
      </c>
      <c r="J29" s="3042">
        <f t="shared" si="1"/>
        <v>922.22678170256802</v>
      </c>
    </row>
    <row r="30" spans="2:10" ht="18" customHeight="1" x14ac:dyDescent="0.2">
      <c r="B30" s="26" t="s">
        <v>93</v>
      </c>
      <c r="C30" s="3029">
        <f>IF(SUM(C31:C33)=0,"NO",SUM(C31:C33))</f>
        <v>18698.626608088591</v>
      </c>
      <c r="D30" s="3029">
        <f t="shared" ref="D30" si="6">IF(SUM(D31:D33)=0,"NO",SUM(D31:D33))</f>
        <v>47.397092365394315</v>
      </c>
      <c r="E30" s="3029">
        <f t="shared" ref="E30" si="7">IF(SUM(E31:E33)=0,"NO",SUM(E31:E33))</f>
        <v>0.64962709765742377</v>
      </c>
      <c r="F30" s="3029">
        <f t="shared" ref="F30" si="8">IF(SUM(F31:F33)=0,"NO",SUM(F31:F33))</f>
        <v>347.87739942452464</v>
      </c>
      <c r="G30" s="3029">
        <f t="shared" ref="G30" si="9">IF(SUM(G31:G33)=0,"NO",SUM(G31:G33))</f>
        <v>759.65871100988045</v>
      </c>
      <c r="H30" s="3029">
        <f t="shared" ref="H30" si="10">IF(SUM(H31:H33)=0,"NO",SUM(H31:H33))</f>
        <v>122.94474391498711</v>
      </c>
      <c r="I30" s="3030">
        <f t="shared" ref="I30" si="11">IF(SUM(I31:I33)=0,"NO",SUM(I31:I33))</f>
        <v>7.5078126078304406</v>
      </c>
      <c r="J30" s="3043">
        <f t="shared" si="1"/>
        <v>20197.896375198849</v>
      </c>
    </row>
    <row r="31" spans="2:10" ht="18" customHeight="1" x14ac:dyDescent="0.2">
      <c r="B31" s="20" t="s">
        <v>94</v>
      </c>
      <c r="C31" s="3032">
        <f>'Table1.A(a)s4'!H17</f>
        <v>4658.084936706302</v>
      </c>
      <c r="D31" s="3032">
        <f>'Table1.A(a)s4'!I17</f>
        <v>9.0576760005275814E-2</v>
      </c>
      <c r="E31" s="3032">
        <f>'Table1.A(a)s4'!J17</f>
        <v>9.067916795514594E-2</v>
      </c>
      <c r="F31" s="3033">
        <v>32.339660849436619</v>
      </c>
      <c r="G31" s="3033">
        <v>9.6703874760284361</v>
      </c>
      <c r="H31" s="3033">
        <v>3.9524203796950137</v>
      </c>
      <c r="I31" s="3034">
        <v>2.4481433555692012</v>
      </c>
      <c r="J31" s="3035">
        <f t="shared" si="1"/>
        <v>4684.6510654945632</v>
      </c>
    </row>
    <row r="32" spans="2:10" ht="18" customHeight="1" x14ac:dyDescent="0.2">
      <c r="B32" s="20" t="s">
        <v>95</v>
      </c>
      <c r="C32" s="3032">
        <f>'Table1.A(a)s4'!H38</f>
        <v>8136.945956234038</v>
      </c>
      <c r="D32" s="3032">
        <f>'Table1.A(a)s4'!I38</f>
        <v>46.790672654739687</v>
      </c>
      <c r="E32" s="3032">
        <f>'Table1.A(a)s4'!J38</f>
        <v>0.25234371238626052</v>
      </c>
      <c r="F32" s="3033">
        <v>11.417378202793669</v>
      </c>
      <c r="G32" s="3033">
        <v>624.80788669402523</v>
      </c>
      <c r="H32" s="3033">
        <v>72.608693238322417</v>
      </c>
      <c r="I32" s="3034">
        <v>0.54286556436650257</v>
      </c>
      <c r="J32" s="3035">
        <f t="shared" si="1"/>
        <v>9513.955874349107</v>
      </c>
    </row>
    <row r="33" spans="2:10" ht="18" customHeight="1" thickBot="1" x14ac:dyDescent="0.25">
      <c r="B33" s="20" t="s">
        <v>96</v>
      </c>
      <c r="C33" s="3032">
        <f>'Table1.A(a)s4'!H59</f>
        <v>5903.5957151482526</v>
      </c>
      <c r="D33" s="3032">
        <f>'Table1.A(a)s4'!I59</f>
        <v>0.5158429506493506</v>
      </c>
      <c r="E33" s="3032">
        <f>'Table1.A(a)s4'!J59</f>
        <v>0.30660421731601728</v>
      </c>
      <c r="F33" s="3033">
        <v>304.12036037229433</v>
      </c>
      <c r="G33" s="3033">
        <v>125.18043683982684</v>
      </c>
      <c r="H33" s="3033">
        <v>46.383630296969685</v>
      </c>
      <c r="I33" s="3034">
        <v>4.5168036878947371</v>
      </c>
      <c r="J33" s="3035">
        <f t="shared" si="1"/>
        <v>5999.2894353551792</v>
      </c>
    </row>
    <row r="34" spans="2:10" ht="18" customHeight="1" x14ac:dyDescent="0.2">
      <c r="B34" s="25" t="s">
        <v>2116</v>
      </c>
      <c r="C34" s="3029">
        <f>IF(SUM(C35:C36)=0,"NO",SUM(C35:C36))</f>
        <v>819.9429811755258</v>
      </c>
      <c r="D34" s="3029">
        <f t="shared" ref="D34:E34" si="12">IF(SUM(D35:D36)=0,"NO",SUM(D35:D36))</f>
        <v>3.5348132293496093E-2</v>
      </c>
      <c r="E34" s="3029">
        <f t="shared" si="12"/>
        <v>2.2931461888388016E-2</v>
      </c>
      <c r="F34" s="3029">
        <f t="shared" ref="F34:I34" si="13">IF(SUM(F35:F36)=0,"NO",SUM(F35:F36))</f>
        <v>7.7207722131489245</v>
      </c>
      <c r="G34" s="3029">
        <f t="shared" si="13"/>
        <v>4.6794903995235924</v>
      </c>
      <c r="H34" s="3029">
        <f t="shared" si="13"/>
        <v>0.5367605692255859</v>
      </c>
      <c r="I34" s="3030">
        <f t="shared" si="13"/>
        <v>0.29244001821810839</v>
      </c>
      <c r="J34" s="3031">
        <f t="shared" si="1"/>
        <v>827.0095662801665</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819.9429811755258</v>
      </c>
      <c r="D36" s="3044">
        <f>'Table1.A(a)s4'!I108</f>
        <v>3.5348132293496093E-2</v>
      </c>
      <c r="E36" s="3044">
        <f>'Table1.A(a)s4'!J108</f>
        <v>2.2931461888388016E-2</v>
      </c>
      <c r="F36" s="3040">
        <v>7.7207722131489245</v>
      </c>
      <c r="G36" s="3040">
        <v>4.6794903995235924</v>
      </c>
      <c r="H36" s="3040">
        <v>0.5367605692255859</v>
      </c>
      <c r="I36" s="3041">
        <v>0.29244001821810839</v>
      </c>
      <c r="J36" s="3042">
        <f t="shared" si="1"/>
        <v>827.0095662801665</v>
      </c>
    </row>
    <row r="37" spans="2:10" ht="18" customHeight="1" thickBot="1" x14ac:dyDescent="0.25">
      <c r="B37" s="18" t="s">
        <v>99</v>
      </c>
      <c r="C37" s="3029">
        <f>IF(SUM(C38,C42)=0,"NO",SUM(C38,C42))</f>
        <v>7504.1437072713143</v>
      </c>
      <c r="D37" s="3029">
        <f t="shared" ref="D37:I37" si="14">IF(SUM(D38,D42)=0,"NO",SUM(D38,D42))</f>
        <v>1396.3548072551052</v>
      </c>
      <c r="E37" s="3029">
        <f t="shared" si="14"/>
        <v>9.0463201370971594E-2</v>
      </c>
      <c r="F37" s="3029">
        <f t="shared" si="14"/>
        <v>2.8236866134105467</v>
      </c>
      <c r="G37" s="3029">
        <f t="shared" si="14"/>
        <v>16.375589766527067</v>
      </c>
      <c r="H37" s="3029">
        <f t="shared" si="14"/>
        <v>199.59427143266541</v>
      </c>
      <c r="I37" s="3030" t="str">
        <f t="shared" si="14"/>
        <v>NO</v>
      </c>
      <c r="J37" s="3031">
        <f t="shared" si="1"/>
        <v>46626.051058777572</v>
      </c>
    </row>
    <row r="38" spans="2:10" ht="18" customHeight="1" x14ac:dyDescent="0.2">
      <c r="B38" s="26" t="s">
        <v>100</v>
      </c>
      <c r="C38" s="3029">
        <f>IF(SUM(C39:C41)=0,"NO",SUM(C39:C41))</f>
        <v>1284.9645005780499</v>
      </c>
      <c r="D38" s="3029">
        <f t="shared" ref="D38" si="15">IF(SUM(D39:D41)=0,"NO",SUM(D39:D41))</f>
        <v>1192.8147241358829</v>
      </c>
      <c r="E38" s="3029">
        <f t="shared" ref="E38" si="16">IF(SUM(E39:E41)=0,"NO",SUM(E39:E41))</f>
        <v>1.2741952051547868E-4</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34683.810542555708</v>
      </c>
    </row>
    <row r="39" spans="2:10" ht="18" customHeight="1" x14ac:dyDescent="0.2">
      <c r="B39" s="20" t="s">
        <v>101</v>
      </c>
      <c r="C39" s="3032">
        <f>'Table1.B.1'!G10</f>
        <v>1284.9645005780499</v>
      </c>
      <c r="D39" s="3032">
        <f>SUM('Table1.B.1'!F10,'Table1.B.1'!H10)</f>
        <v>1192.8147241358829</v>
      </c>
      <c r="E39" s="3033">
        <v>1.2741952051547868E-4</v>
      </c>
      <c r="F39" s="3033" t="s">
        <v>2146</v>
      </c>
      <c r="G39" s="3033" t="s">
        <v>2146</v>
      </c>
      <c r="H39" s="3033" t="s">
        <v>2146</v>
      </c>
      <c r="I39" s="2931"/>
      <c r="J39" s="3035">
        <f t="shared" si="1"/>
        <v>34683.810542555708</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6219.1792066932649</v>
      </c>
      <c r="D42" s="3029">
        <f t="shared" ref="D42:I42" si="21">IF(SUM(D43:D46)=0,"NO",SUM(D43:D46))</f>
        <v>203.54008311922229</v>
      </c>
      <c r="E42" s="3029">
        <f t="shared" si="21"/>
        <v>9.0335781850456112E-2</v>
      </c>
      <c r="F42" s="3029">
        <f t="shared" si="21"/>
        <v>2.8236866134105467</v>
      </c>
      <c r="G42" s="3029">
        <f t="shared" si="21"/>
        <v>16.375589766527067</v>
      </c>
      <c r="H42" s="3029">
        <f t="shared" si="21"/>
        <v>199.59427143266541</v>
      </c>
      <c r="I42" s="3030" t="str">
        <f t="shared" si="21"/>
        <v>NO</v>
      </c>
      <c r="J42" s="3031">
        <f t="shared" ref="J42:J59" si="22">IF(SUM(C42:E42)=0,"NO",SUM(C42,IFERROR(28*D42,0),IFERROR(265*E42,0)))</f>
        <v>11942.24051622186</v>
      </c>
    </row>
    <row r="43" spans="2:10" ht="18" customHeight="1" x14ac:dyDescent="0.2">
      <c r="B43" s="20" t="s">
        <v>103</v>
      </c>
      <c r="C43" s="3032">
        <f>'Table1.B.2'!I10</f>
        <v>425.28871112438617</v>
      </c>
      <c r="D43" s="3032">
        <f>'Table1.B.2'!J10</f>
        <v>3.348953859899531</v>
      </c>
      <c r="E43" s="3032">
        <f>'Table1.B.2'!K10</f>
        <v>1.2798498738929584E-2</v>
      </c>
      <c r="F43" s="3033">
        <v>0.23648773333333334</v>
      </c>
      <c r="G43" s="3033">
        <v>1.3716288533333332</v>
      </c>
      <c r="H43" s="3033">
        <v>98.055745841666678</v>
      </c>
      <c r="I43" s="3034" t="s">
        <v>2146</v>
      </c>
      <c r="J43" s="3035">
        <f t="shared" si="22"/>
        <v>522.45102136738944</v>
      </c>
    </row>
    <row r="44" spans="2:10" ht="18" customHeight="1" x14ac:dyDescent="0.2">
      <c r="B44" s="20" t="s">
        <v>104</v>
      </c>
      <c r="C44" s="3032">
        <f>SUM('Table1.B.2'!I21,'Table1.B.2'!L21)</f>
        <v>23.917225372404229</v>
      </c>
      <c r="D44" s="3032">
        <f>'Table1.B.2'!J21</f>
        <v>148.96155269280925</v>
      </c>
      <c r="E44" s="3032">
        <f>'Table1.B.2'!K21</f>
        <v>4.2879838792821449E-4</v>
      </c>
      <c r="F44" s="3033">
        <v>7.9407108875595277E-3</v>
      </c>
      <c r="G44" s="3033">
        <v>4.6056123147845261E-2</v>
      </c>
      <c r="H44" s="3033">
        <v>75.748931551192356</v>
      </c>
      <c r="I44" s="3034" t="s">
        <v>2146</v>
      </c>
      <c r="J44" s="3035">
        <f t="shared" si="22"/>
        <v>4194.9543323438647</v>
      </c>
    </row>
    <row r="45" spans="2:10" ht="18" customHeight="1" x14ac:dyDescent="0.2">
      <c r="B45" s="20" t="s">
        <v>105</v>
      </c>
      <c r="C45" s="3032">
        <f>'Table1.B.2'!I35</f>
        <v>5769.9732701964749</v>
      </c>
      <c r="D45" s="3032">
        <f>'Table1.B.2'!J35</f>
        <v>51.229576566513522</v>
      </c>
      <c r="E45" s="3032">
        <f>'Table1.B.2'!K35</f>
        <v>7.7108484723598311E-2</v>
      </c>
      <c r="F45" s="3033">
        <v>2.5792581691896537</v>
      </c>
      <c r="G45" s="3033">
        <v>14.957904790045889</v>
      </c>
      <c r="H45" s="3033">
        <v>25.789594039806367</v>
      </c>
      <c r="I45" s="3034" t="s">
        <v>2146</v>
      </c>
      <c r="J45" s="3035">
        <f t="shared" si="22"/>
        <v>7224.835162510607</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11925.5122242</v>
      </c>
      <c r="D52" s="3032">
        <f t="shared" ref="D52:I52" si="23">IF(SUM(D53:D54)=0,"NO",SUM(D53:D54))</f>
        <v>0.26045438394285719</v>
      </c>
      <c r="E52" s="3032">
        <f t="shared" si="23"/>
        <v>0.11710566363157895</v>
      </c>
      <c r="F52" s="3032">
        <f t="shared" si="23"/>
        <v>116.19614407196994</v>
      </c>
      <c r="G52" s="3032">
        <f t="shared" si="23"/>
        <v>16.689147179160905</v>
      </c>
      <c r="H52" s="3032">
        <f t="shared" si="23"/>
        <v>9.3452233958406019</v>
      </c>
      <c r="I52" s="3055">
        <f t="shared" si="23"/>
        <v>42.001984112777123</v>
      </c>
      <c r="J52" s="3035">
        <f t="shared" si="22"/>
        <v>11963.837947812768</v>
      </c>
    </row>
    <row r="53" spans="2:10" ht="18" customHeight="1" x14ac:dyDescent="0.2">
      <c r="B53" s="164" t="s">
        <v>111</v>
      </c>
      <c r="C53" s="3032">
        <f>Table1.D!G10</f>
        <v>9357.8260147199999</v>
      </c>
      <c r="D53" s="3032">
        <f>Table1.D!H10</f>
        <v>1.5084557142857139E-2</v>
      </c>
      <c r="E53" s="3032">
        <f>Table1.D!I10</f>
        <v>4.6999998831578953E-2</v>
      </c>
      <c r="F53" s="3033">
        <v>47.475600127969919</v>
      </c>
      <c r="G53" s="3033">
        <v>14.754371644360903</v>
      </c>
      <c r="H53" s="3033">
        <v>7.1929593702406018</v>
      </c>
      <c r="I53" s="3034">
        <v>1.1025024902400002</v>
      </c>
      <c r="J53" s="3035">
        <f t="shared" si="22"/>
        <v>9370.7033820103679</v>
      </c>
    </row>
    <row r="54" spans="2:10" ht="18" customHeight="1" x14ac:dyDescent="0.2">
      <c r="B54" s="164" t="s">
        <v>112</v>
      </c>
      <c r="C54" s="3032">
        <f>Table1.D!G14</f>
        <v>2567.6862094799999</v>
      </c>
      <c r="D54" s="3032">
        <f>Table1.D!H14</f>
        <v>0.24536982680000005</v>
      </c>
      <c r="E54" s="3032">
        <f>Table1.D!I14</f>
        <v>7.0105664800000009E-2</v>
      </c>
      <c r="F54" s="3033">
        <v>68.720543944000013</v>
      </c>
      <c r="G54" s="3033">
        <v>1.9347755348</v>
      </c>
      <c r="H54" s="3033">
        <v>2.1522640256000001</v>
      </c>
      <c r="I54" s="3034">
        <v>40.899481622537124</v>
      </c>
      <c r="J54" s="3035">
        <f t="shared" si="22"/>
        <v>2593.1345658023997</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19274.567221454996</v>
      </c>
      <c r="D56" s="3056"/>
      <c r="E56" s="3056"/>
      <c r="F56" s="3056"/>
      <c r="G56" s="3056"/>
      <c r="H56" s="3056"/>
      <c r="I56" s="2971"/>
      <c r="J56" s="3039">
        <f t="shared" si="22"/>
        <v>19274.567221454996</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130559.71023553899</v>
      </c>
      <c r="D10" s="3549" t="s">
        <v>2146</v>
      </c>
      <c r="E10" s="3549">
        <v>25.335629839999999</v>
      </c>
      <c r="F10" s="3549">
        <v>673.52673793099996</v>
      </c>
      <c r="G10" s="3549" t="s">
        <v>2146</v>
      </c>
      <c r="H10" s="3549">
        <v>0.33616454299999998</v>
      </c>
      <c r="I10" s="3549" t="s">
        <v>2146</v>
      </c>
      <c r="J10" s="3549">
        <v>29.693490357000002</v>
      </c>
      <c r="K10" s="3549" t="s">
        <v>2146</v>
      </c>
      <c r="L10" s="3549" t="s">
        <v>2146</v>
      </c>
      <c r="M10" s="3550">
        <f>IF(SUM(C10:L10)=0,"NO",SUM(C10:L10))</f>
        <v>131288.60225820998</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13.432130741</v>
      </c>
      <c r="D12" s="3549" t="s">
        <v>2146</v>
      </c>
      <c r="E12" s="3549">
        <v>39934.575089703998</v>
      </c>
      <c r="F12" s="3549" t="s">
        <v>2153</v>
      </c>
      <c r="G12" s="3549" t="s">
        <v>2146</v>
      </c>
      <c r="H12" s="3549" t="s">
        <v>2153</v>
      </c>
      <c r="I12" s="3549" t="s">
        <v>2146</v>
      </c>
      <c r="J12" s="3549" t="s">
        <v>2153</v>
      </c>
      <c r="K12" s="3549" t="s">
        <v>2146</v>
      </c>
      <c r="L12" s="3549" t="s">
        <v>2146</v>
      </c>
      <c r="M12" s="3550">
        <f t="shared" si="0"/>
        <v>39948.007220444997</v>
      </c>
    </row>
    <row r="13" spans="2:13" ht="18" customHeight="1" x14ac:dyDescent="0.2">
      <c r="B13" s="2277" t="s">
        <v>1961</v>
      </c>
      <c r="C13" s="3549">
        <v>492.36633155599998</v>
      </c>
      <c r="D13" s="3549" t="s">
        <v>2146</v>
      </c>
      <c r="E13" s="3549" t="s">
        <v>2153</v>
      </c>
      <c r="F13" s="3549">
        <v>521721.15006091102</v>
      </c>
      <c r="G13" s="3549" t="s">
        <v>2146</v>
      </c>
      <c r="H13" s="3549" t="s">
        <v>2153</v>
      </c>
      <c r="I13" s="3549" t="s">
        <v>2146</v>
      </c>
      <c r="J13" s="3549" t="s">
        <v>2153</v>
      </c>
      <c r="K13" s="3549" t="s">
        <v>2146</v>
      </c>
      <c r="L13" s="3549" t="s">
        <v>2146</v>
      </c>
      <c r="M13" s="3550">
        <f t="shared" si="0"/>
        <v>522213.51639246702</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7.1050563179999999</v>
      </c>
      <c r="D15" s="3549" t="s">
        <v>2146</v>
      </c>
      <c r="E15" s="3549">
        <v>0.63304705100000003</v>
      </c>
      <c r="F15" s="3549">
        <v>2.443871627</v>
      </c>
      <c r="G15" s="3549" t="s">
        <v>2146</v>
      </c>
      <c r="H15" s="3549">
        <v>13243.884130750001</v>
      </c>
      <c r="I15" s="3549" t="s">
        <v>2146</v>
      </c>
      <c r="J15" s="3549" t="s">
        <v>2146</v>
      </c>
      <c r="K15" s="3549" t="s">
        <v>2146</v>
      </c>
      <c r="L15" s="3549" t="s">
        <v>2146</v>
      </c>
      <c r="M15" s="3550">
        <f t="shared" si="0"/>
        <v>13254.066105746</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10.398072164</v>
      </c>
      <c r="D17" s="3549" t="s">
        <v>2146</v>
      </c>
      <c r="E17" s="3549" t="s">
        <v>2146</v>
      </c>
      <c r="F17" s="3549" t="s">
        <v>2146</v>
      </c>
      <c r="G17" s="3549" t="s">
        <v>2146</v>
      </c>
      <c r="H17" s="3549" t="s">
        <v>2146</v>
      </c>
      <c r="I17" s="3549" t="s">
        <v>2146</v>
      </c>
      <c r="J17" s="3549">
        <v>1421.7811051470001</v>
      </c>
      <c r="K17" s="3549" t="s">
        <v>2146</v>
      </c>
      <c r="L17" s="3549" t="s">
        <v>2146</v>
      </c>
      <c r="M17" s="3550">
        <f t="shared" si="0"/>
        <v>1432.1791773110001</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131083.01182631799</v>
      </c>
      <c r="D20" s="3551" t="str">
        <f t="shared" ref="D20:L20" si="1">IF(SUM(D10:D19)=0,"NO",SUM(D10:D19))</f>
        <v>NO</v>
      </c>
      <c r="E20" s="3551">
        <f t="shared" si="1"/>
        <v>39960.543766595001</v>
      </c>
      <c r="F20" s="3551">
        <f t="shared" si="1"/>
        <v>522397.12067046901</v>
      </c>
      <c r="G20" s="3551" t="str">
        <f t="shared" si="1"/>
        <v>NO</v>
      </c>
      <c r="H20" s="3551">
        <f t="shared" si="1"/>
        <v>13244.220295293</v>
      </c>
      <c r="I20" s="3551" t="str">
        <f t="shared" si="1"/>
        <v>NO</v>
      </c>
      <c r="J20" s="3551">
        <f t="shared" si="1"/>
        <v>1451.474595504</v>
      </c>
      <c r="K20" s="3551">
        <f t="shared" si="1"/>
        <v>60692.328845821001</v>
      </c>
      <c r="L20" s="3551" t="str">
        <f t="shared" si="1"/>
        <v>NO</v>
      </c>
      <c r="M20" s="3550">
        <f t="shared" si="0"/>
        <v>768828.7</v>
      </c>
    </row>
    <row r="21" spans="2:13" ht="18" customHeight="1" thickBot="1" x14ac:dyDescent="0.25">
      <c r="B21" s="2279" t="s">
        <v>1968</v>
      </c>
      <c r="C21" s="3552">
        <f>IF(SUM(C20)=0,"NO",C20-M10)</f>
        <v>-205.59043189199292</v>
      </c>
      <c r="D21" s="3552" t="str">
        <f>IF(SUM(D20)=0,"NO",D20-M11)</f>
        <v>NO</v>
      </c>
      <c r="E21" s="3552">
        <f>IF(SUM(E20)=0,"NO",E20-M12)</f>
        <v>12.536546150004142</v>
      </c>
      <c r="F21" s="3552">
        <f>IF(SUM(F20)=0,"NO",F20-M13)</f>
        <v>183.6042780019925</v>
      </c>
      <c r="G21" s="3552" t="str">
        <f>IF(SUM(G20)=0,"NO",G20-M14)</f>
        <v>NO</v>
      </c>
      <c r="H21" s="3552">
        <f>IF(SUM(H20)=0,"NO",H20-M15)</f>
        <v>-9.8458104530000128</v>
      </c>
      <c r="I21" s="3552" t="str">
        <f>IF(SUM(I20)=0,"NO",I20-M16)</f>
        <v>NO</v>
      </c>
      <c r="J21" s="3552">
        <f>IF(SUM(J20)=0,"NO",J20-M17)</f>
        <v>19.295418192999932</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131224.81238422805</v>
      </c>
      <c r="E10" s="3556">
        <f t="shared" ref="E10:U10" si="0">IF(SUM(E11,E16)=0,"IE",SUM(E11,E16))</f>
        <v>131083.0118263179</v>
      </c>
      <c r="F10" s="3557">
        <f t="shared" si="0"/>
        <v>141.80055791012413</v>
      </c>
      <c r="G10" s="3558">
        <f t="shared" ref="G10:K11" si="1">IFERROR(IF(SUM($D10)=0,"NA",N10/$D10),"NA")</f>
        <v>7.4894630705965179E-2</v>
      </c>
      <c r="H10" s="3078">
        <f t="shared" si="1"/>
        <v>-7.7622356172548472E-3</v>
      </c>
      <c r="I10" s="3078">
        <f t="shared" si="1"/>
        <v>6.7132395088710328E-2</v>
      </c>
      <c r="J10" s="3078">
        <f t="shared" si="1"/>
        <v>4.4194314305844723E-3</v>
      </c>
      <c r="K10" s="3078">
        <f t="shared" si="1"/>
        <v>4.132971545215843E-3</v>
      </c>
      <c r="L10" s="3078">
        <f>IFERROR(IF(SUM(E10)=0,"NA",S10/E10),"NA")</f>
        <v>2.3403765941591376E-3</v>
      </c>
      <c r="M10" s="3128">
        <f>IFERROR(IF(SUM(F10)=0,"NA",T10/F10),"NA")</f>
        <v>-3.8795947253106242E-2</v>
      </c>
      <c r="N10" s="3559">
        <f t="shared" si="0"/>
        <v>9828.0338629763264</v>
      </c>
      <c r="O10" s="3560">
        <f t="shared" si="0"/>
        <v>-1018.59791255644</v>
      </c>
      <c r="P10" s="3560">
        <f t="shared" si="0"/>
        <v>8809.4359504198856</v>
      </c>
      <c r="Q10" s="3560">
        <f t="shared" si="0"/>
        <v>579.93906032340794</v>
      </c>
      <c r="R10" s="3560">
        <f t="shared" si="0"/>
        <v>542.34841561030214</v>
      </c>
      <c r="S10" s="3560">
        <f t="shared" si="0"/>
        <v>306.78361277019985</v>
      </c>
      <c r="T10" s="3561">
        <f t="shared" si="0"/>
        <v>-5.5012869651422127</v>
      </c>
      <c r="U10" s="3562">
        <f t="shared" si="0"/>
        <v>-37521.021091248396</v>
      </c>
      <c r="W10" s="2396"/>
    </row>
    <row r="11" spans="2:23" ht="18" customHeight="1" x14ac:dyDescent="0.2">
      <c r="B11" s="502" t="s">
        <v>982</v>
      </c>
      <c r="C11" s="2256"/>
      <c r="D11" s="3563">
        <f>IF(SUM(D12:D15)=0,"IE",SUM(D12:D15))</f>
        <v>122274.763067783</v>
      </c>
      <c r="E11" s="3564">
        <f t="shared" ref="E11:U11" si="2">IF(SUM(E12:E15)=0,"IE",SUM(E12:E15))</f>
        <v>122274.763067783</v>
      </c>
      <c r="F11" s="3565" t="str">
        <f t="shared" si="2"/>
        <v>IE</v>
      </c>
      <c r="G11" s="3558">
        <f t="shared" si="1"/>
        <v>3.0300665715922763E-2</v>
      </c>
      <c r="H11" s="3078">
        <f t="shared" si="1"/>
        <v>-8.3304018507218882E-3</v>
      </c>
      <c r="I11" s="3078">
        <f t="shared" si="1"/>
        <v>2.1970263865200873E-2</v>
      </c>
      <c r="J11" s="3078">
        <f t="shared" si="1"/>
        <v>-5.7583361632969187E-3</v>
      </c>
      <c r="K11" s="3078">
        <f t="shared" si="1"/>
        <v>-4.3312734627666593E-4</v>
      </c>
      <c r="L11" s="3078">
        <f t="shared" ref="L11:L28" si="3">IFERROR(IF(SUM(E11)=0,"NA",S11/E11),"NA")</f>
        <v>1.5154698504741403E-2</v>
      </c>
      <c r="M11" s="3128" t="str">
        <f t="shared" ref="M11:M28" si="4">IFERROR(IF(SUM(F11)=0,"NA",T11/F11),"NA")</f>
        <v>NA</v>
      </c>
      <c r="N11" s="3109">
        <f t="shared" si="2"/>
        <v>3705.0067212105514</v>
      </c>
      <c r="O11" s="3109">
        <f t="shared" si="2"/>
        <v>-1018.59791255644</v>
      </c>
      <c r="P11" s="3109">
        <f t="shared" si="2"/>
        <v>2686.408808654111</v>
      </c>
      <c r="Q11" s="3109">
        <f t="shared" si="2"/>
        <v>-704.09919003177731</v>
      </c>
      <c r="R11" s="3566">
        <f t="shared" si="2"/>
        <v>-52.960543644156928</v>
      </c>
      <c r="S11" s="3566">
        <f t="shared" si="2"/>
        <v>1853.0371690309403</v>
      </c>
      <c r="T11" s="3566" t="str">
        <f t="shared" si="2"/>
        <v>IE</v>
      </c>
      <c r="U11" s="3567">
        <f t="shared" si="2"/>
        <v>-13868.74956136676</v>
      </c>
      <c r="W11" s="2397"/>
    </row>
    <row r="12" spans="2:23" ht="18" customHeight="1" x14ac:dyDescent="0.2">
      <c r="B12" s="500"/>
      <c r="C12" s="508" t="s">
        <v>2220</v>
      </c>
      <c r="D12" s="3568">
        <f>IF(SUM(E12:F12)=0,E12,SUM(E12:F12))</f>
        <v>12278.152927340781</v>
      </c>
      <c r="E12" s="3569">
        <v>12278.152927340781</v>
      </c>
      <c r="F12" s="3554" t="s">
        <v>2153</v>
      </c>
      <c r="G12" s="3558">
        <f>IFERROR(IF(SUM($D12)=0,"NA",N12/$D12),"NA")</f>
        <v>0.28674996524240848</v>
      </c>
      <c r="H12" s="3078" t="str">
        <f>IFERROR(IF(SUM($D12)=0,"NA",O12/$D12),"NA")</f>
        <v>NA</v>
      </c>
      <c r="I12" s="3078">
        <f>IFERROR(IF(SUM($D12)=0,"NA",P12/$D12),"NA")</f>
        <v>0.28674996524240848</v>
      </c>
      <c r="J12" s="3078">
        <f>IFERROR(IF(SUM($D12)=0,"NA",Q12/$D12),"NA")</f>
        <v>-7.8153712729280931E-3</v>
      </c>
      <c r="K12" s="3078">
        <f>IFERROR(IF(SUM($D12)=0,"NA",R12/$D12),"NA")</f>
        <v>2.7123853221246014E-2</v>
      </c>
      <c r="L12" s="3078">
        <f t="shared" si="3"/>
        <v>8.7454021318942046E-2</v>
      </c>
      <c r="M12" s="3128" t="str">
        <f t="shared" si="4"/>
        <v>NA</v>
      </c>
      <c r="N12" s="2905">
        <v>3520.759925155945</v>
      </c>
      <c r="O12" s="2905" t="s">
        <v>2153</v>
      </c>
      <c r="P12" s="3109">
        <f>IF(SUM(N12:O12)=0,N12,SUM(N12:O12))</f>
        <v>3520.759925155945</v>
      </c>
      <c r="Q12" s="2905">
        <v>-95.958323672957121</v>
      </c>
      <c r="R12" s="2906">
        <v>333.03081782920344</v>
      </c>
      <c r="S12" s="2906">
        <v>1073.7738478648914</v>
      </c>
      <c r="T12" s="2906" t="s">
        <v>2153</v>
      </c>
      <c r="U12" s="3570">
        <f>IF(SUM(P12:T12)=0,P12,SUM(P12:T12)*-44/12)</f>
        <v>-17715.889646315969</v>
      </c>
      <c r="W12" s="2398"/>
    </row>
    <row r="13" spans="2:23" ht="18" customHeight="1" x14ac:dyDescent="0.2">
      <c r="B13" s="500"/>
      <c r="C13" s="508" t="s">
        <v>2221</v>
      </c>
      <c r="D13" s="3568">
        <f t="shared" ref="D13:D15" si="5">IF(SUM(E13:F13)=0,E13,SUM(E13:F13))</f>
        <v>682.2489423766433</v>
      </c>
      <c r="E13" s="3569">
        <v>682.2489423766433</v>
      </c>
      <c r="F13" s="3554" t="s">
        <v>2153</v>
      </c>
      <c r="G13" s="3558">
        <f t="shared" ref="G13:K28" si="6">IFERROR(IF(SUM($D13)=0,"NA",N13/$D13),"NA")</f>
        <v>0.2700580163785592</v>
      </c>
      <c r="H13" s="3078" t="str">
        <f t="shared" si="6"/>
        <v>NA</v>
      </c>
      <c r="I13" s="3078">
        <f t="shared" si="6"/>
        <v>0.2700580163785592</v>
      </c>
      <c r="J13" s="3078">
        <f t="shared" si="6"/>
        <v>0.51063444584250306</v>
      </c>
      <c r="K13" s="3078">
        <f t="shared" si="6"/>
        <v>0.19020442268914253</v>
      </c>
      <c r="L13" s="3078">
        <f t="shared" si="3"/>
        <v>1.1421979174514392</v>
      </c>
      <c r="M13" s="3128" t="str">
        <f t="shared" si="4"/>
        <v>NA</v>
      </c>
      <c r="N13" s="2905">
        <v>184.24679605460622</v>
      </c>
      <c r="O13" s="2905" t="s">
        <v>2153</v>
      </c>
      <c r="P13" s="3109">
        <f t="shared" ref="P13:P15" si="7">IF(SUM(N13:O13)=0,N13,SUM(N13:O13))</f>
        <v>184.24679605460622</v>
      </c>
      <c r="Q13" s="2905">
        <v>348.37981061713106</v>
      </c>
      <c r="R13" s="2906">
        <v>129.7667662150275</v>
      </c>
      <c r="S13" s="2906">
        <v>779.26332116604897</v>
      </c>
      <c r="T13" s="2906" t="s">
        <v>2153</v>
      </c>
      <c r="U13" s="3570">
        <f t="shared" ref="U13:U15" si="8">IF(SUM(P13:T13)=0,P13,SUM(P13:T13)*-44/12)</f>
        <v>-5286.0745448603166</v>
      </c>
      <c r="W13" s="2398"/>
    </row>
    <row r="14" spans="2:23" ht="18" customHeight="1" x14ac:dyDescent="0.2">
      <c r="B14" s="500"/>
      <c r="C14" s="508" t="s">
        <v>2222</v>
      </c>
      <c r="D14" s="3568">
        <f t="shared" si="5"/>
        <v>109314.36119806557</v>
      </c>
      <c r="E14" s="3569">
        <v>109314.36119806557</v>
      </c>
      <c r="F14" s="3554" t="s">
        <v>2153</v>
      </c>
      <c r="G14" s="3558" t="str">
        <f t="shared" si="6"/>
        <v>NA</v>
      </c>
      <c r="H14" s="3078">
        <f t="shared" si="6"/>
        <v>-7.332349214238915E-3</v>
      </c>
      <c r="I14" s="3078">
        <f t="shared" si="6"/>
        <v>-7.332349214238915E-3</v>
      </c>
      <c r="J14" s="3078">
        <f t="shared" si="6"/>
        <v>-8.4017262961188378E-3</v>
      </c>
      <c r="K14" s="3078">
        <f t="shared" si="6"/>
        <v>-4.7181186628707551E-3</v>
      </c>
      <c r="L14" s="3078" t="str">
        <f t="shared" si="3"/>
        <v>NA</v>
      </c>
      <c r="M14" s="3128" t="str">
        <f t="shared" si="4"/>
        <v>NA</v>
      </c>
      <c r="N14" s="2905" t="s">
        <v>2153</v>
      </c>
      <c r="O14" s="2905">
        <v>-801.53107043566501</v>
      </c>
      <c r="P14" s="3109">
        <f t="shared" si="7"/>
        <v>-801.53107043566501</v>
      </c>
      <c r="Q14" s="2905">
        <v>-918.42934302122023</v>
      </c>
      <c r="R14" s="2906">
        <v>-515.75812768838784</v>
      </c>
      <c r="S14" s="2906" t="s">
        <v>2147</v>
      </c>
      <c r="T14" s="2906" t="s">
        <v>2147</v>
      </c>
      <c r="U14" s="3570">
        <f t="shared" si="8"/>
        <v>8197.6346508660026</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-217.06684212077499</v>
      </c>
      <c r="P15" s="3109">
        <f t="shared" si="7"/>
        <v>-217.06684212077499</v>
      </c>
      <c r="Q15" s="2905">
        <v>-38.091333954730977</v>
      </c>
      <c r="R15" s="2906" t="s">
        <v>2147</v>
      </c>
      <c r="S15" s="2906" t="s">
        <v>2147</v>
      </c>
      <c r="T15" s="2906" t="s">
        <v>2147</v>
      </c>
      <c r="U15" s="3570">
        <f t="shared" si="8"/>
        <v>935.57997894352184</v>
      </c>
      <c r="W15" s="2398"/>
    </row>
    <row r="16" spans="2:23" ht="18" customHeight="1" x14ac:dyDescent="0.2">
      <c r="B16" s="485" t="s">
        <v>1041</v>
      </c>
      <c r="C16" s="504"/>
      <c r="D16" s="3568">
        <f>IF(SUM(D17,D19,D23,D25,D27)=0,"IE",SUM(D17,D19,D23,D25,D27))</f>
        <v>8950.0493164450309</v>
      </c>
      <c r="E16" s="3571">
        <f t="shared" ref="E16:T16" si="9">IF(SUM(E17,E19,E23,E25,E27)=0,"IE",SUM(E17,E19,E23,E25,E27))</f>
        <v>8808.2487585349063</v>
      </c>
      <c r="F16" s="3572">
        <f t="shared" si="9"/>
        <v>141.80055791012413</v>
      </c>
      <c r="G16" s="3558">
        <f t="shared" si="6"/>
        <v>0.68413334108843193</v>
      </c>
      <c r="H16" s="3078" t="str">
        <f t="shared" si="6"/>
        <v>NA</v>
      </c>
      <c r="I16" s="3078">
        <f t="shared" si="6"/>
        <v>0.68413334108843193</v>
      </c>
      <c r="J16" s="3078">
        <f t="shared" si="6"/>
        <v>0.1434671703982528</v>
      </c>
      <c r="K16" s="3078">
        <f t="shared" si="6"/>
        <v>6.6514601004558083E-2</v>
      </c>
      <c r="L16" s="3078">
        <f t="shared" si="3"/>
        <v>-0.17554608170693078</v>
      </c>
      <c r="M16" s="3128">
        <f t="shared" si="4"/>
        <v>-3.8795947253106242E-2</v>
      </c>
      <c r="N16" s="3078">
        <f t="shared" si="9"/>
        <v>6123.027141765775</v>
      </c>
      <c r="O16" s="3078" t="str">
        <f t="shared" si="9"/>
        <v>IE</v>
      </c>
      <c r="P16" s="3078">
        <f t="shared" si="9"/>
        <v>6123.027141765775</v>
      </c>
      <c r="Q16" s="3078">
        <f t="shared" si="9"/>
        <v>1284.0382503551853</v>
      </c>
      <c r="R16" s="3573">
        <f t="shared" si="9"/>
        <v>595.30895925445907</v>
      </c>
      <c r="S16" s="3573">
        <f t="shared" si="9"/>
        <v>-1546.2535562607404</v>
      </c>
      <c r="T16" s="3573">
        <f t="shared" si="9"/>
        <v>-5.5012869651422127</v>
      </c>
      <c r="U16" s="3570">
        <f>IF(SUM(U17,U19,U23,U25,U27)=0,"IE",SUM(U17,U19,U23,U25,U27))</f>
        <v>-23652.271529881637</v>
      </c>
      <c r="W16" s="2019"/>
    </row>
    <row r="17" spans="2:23" ht="18" customHeight="1" x14ac:dyDescent="0.2">
      <c r="B17" s="487" t="s">
        <v>1042</v>
      </c>
      <c r="C17" s="504"/>
      <c r="D17" s="3568">
        <f>D18</f>
        <v>54.149000000000001</v>
      </c>
      <c r="E17" s="3571">
        <f t="shared" ref="E17:U17" si="10">E18</f>
        <v>54.149000000000001</v>
      </c>
      <c r="F17" s="3572" t="str">
        <f t="shared" si="10"/>
        <v>NO</v>
      </c>
      <c r="G17" s="3558">
        <f t="shared" si="6"/>
        <v>1.3709209773033666</v>
      </c>
      <c r="H17" s="3078" t="str">
        <f t="shared" si="6"/>
        <v>NA</v>
      </c>
      <c r="I17" s="3078">
        <f t="shared" si="6"/>
        <v>1.3709209773033666</v>
      </c>
      <c r="J17" s="3078">
        <f t="shared" si="6"/>
        <v>3.6473434412454535E-2</v>
      </c>
      <c r="K17" s="3078">
        <f t="shared" si="6"/>
        <v>2.0462058394430181E-2</v>
      </c>
      <c r="L17" s="3078">
        <f t="shared" si="3"/>
        <v>-0.2895159652071137</v>
      </c>
      <c r="M17" s="3128" t="str">
        <f t="shared" si="4"/>
        <v>NA</v>
      </c>
      <c r="N17" s="3078">
        <f t="shared" si="10"/>
        <v>74.233999999999995</v>
      </c>
      <c r="O17" s="3078" t="str">
        <f t="shared" si="10"/>
        <v>IE</v>
      </c>
      <c r="P17" s="3078">
        <f t="shared" si="10"/>
        <v>74.233999999999995</v>
      </c>
      <c r="Q17" s="3078">
        <f t="shared" si="10"/>
        <v>1.9750000000000005</v>
      </c>
      <c r="R17" s="3573">
        <f t="shared" si="10"/>
        <v>1.1079999999999999</v>
      </c>
      <c r="S17" s="3573">
        <f t="shared" si="10"/>
        <v>-15.677</v>
      </c>
      <c r="T17" s="3573" t="str">
        <f t="shared" si="10"/>
        <v>NO</v>
      </c>
      <c r="U17" s="3570">
        <f t="shared" si="10"/>
        <v>-226.01333333333332</v>
      </c>
      <c r="W17" s="2019"/>
    </row>
    <row r="18" spans="2:23" ht="18" customHeight="1" x14ac:dyDescent="0.2">
      <c r="B18" s="488"/>
      <c r="C18" s="508" t="s">
        <v>278</v>
      </c>
      <c r="D18" s="3568">
        <f>IF(SUM(E18:F18)=0,E18,SUM(E18:F18))</f>
        <v>54.149000000000001</v>
      </c>
      <c r="E18" s="3569">
        <v>54.149000000000001</v>
      </c>
      <c r="F18" s="3554" t="s">
        <v>2146</v>
      </c>
      <c r="G18" s="3558">
        <f t="shared" si="6"/>
        <v>1.3709209773033666</v>
      </c>
      <c r="H18" s="3078" t="str">
        <f t="shared" si="6"/>
        <v>NA</v>
      </c>
      <c r="I18" s="3078">
        <f t="shared" si="6"/>
        <v>1.3709209773033666</v>
      </c>
      <c r="J18" s="3078">
        <f t="shared" si="6"/>
        <v>3.6473434412454535E-2</v>
      </c>
      <c r="K18" s="3078">
        <f t="shared" si="6"/>
        <v>2.0462058394430181E-2</v>
      </c>
      <c r="L18" s="3078">
        <f t="shared" si="3"/>
        <v>-0.2895159652071137</v>
      </c>
      <c r="M18" s="3128" t="str">
        <f t="shared" si="4"/>
        <v>NA</v>
      </c>
      <c r="N18" s="2905">
        <v>74.233999999999995</v>
      </c>
      <c r="O18" s="2905" t="s">
        <v>2153</v>
      </c>
      <c r="P18" s="3109">
        <f>IF(SUM(N18:O18)=0,N18,SUM(N18:O18))</f>
        <v>74.233999999999995</v>
      </c>
      <c r="Q18" s="2905">
        <v>1.9750000000000005</v>
      </c>
      <c r="R18" s="2906">
        <v>1.1079999999999999</v>
      </c>
      <c r="S18" s="2906">
        <v>-15.677</v>
      </c>
      <c r="T18" s="2906" t="s">
        <v>2146</v>
      </c>
      <c r="U18" s="3570">
        <f t="shared" ref="U18" si="11">IF(SUM(P18:T18)=0,P18,SUM(P18:T18)*-44/12)</f>
        <v>-226.01333333333332</v>
      </c>
      <c r="W18" s="2398"/>
    </row>
    <row r="19" spans="2:23" ht="18" customHeight="1" x14ac:dyDescent="0.2">
      <c r="B19" s="487" t="s">
        <v>1043</v>
      </c>
      <c r="C19" s="504"/>
      <c r="D19" s="3563">
        <f>IF(SUM(D20:D22)=0,"IE",SUM(D20:D22))</f>
        <v>8707.528758534907</v>
      </c>
      <c r="E19" s="3571">
        <f t="shared" ref="E19:U19" si="12">IF(SUM(E20:E22)=0,"IE",SUM(E20:E22))</f>
        <v>8707.528758534907</v>
      </c>
      <c r="F19" s="3572" t="str">
        <f t="shared" si="12"/>
        <v>IE</v>
      </c>
      <c r="G19" s="3558">
        <f t="shared" si="6"/>
        <v>0.55459726755195649</v>
      </c>
      <c r="H19" s="3078" t="str">
        <f t="shared" si="6"/>
        <v>NA</v>
      </c>
      <c r="I19" s="3078">
        <f t="shared" si="6"/>
        <v>0.55459726755195649</v>
      </c>
      <c r="J19" s="3078">
        <f t="shared" si="6"/>
        <v>0.16059508248592796</v>
      </c>
      <c r="K19" s="3078">
        <f t="shared" si="6"/>
        <v>7.0364348876718955E-2</v>
      </c>
      <c r="L19" s="3078">
        <f t="shared" si="3"/>
        <v>-0.17294752598831781</v>
      </c>
      <c r="M19" s="3128" t="str">
        <f t="shared" si="4"/>
        <v>NA</v>
      </c>
      <c r="N19" s="3078">
        <f t="shared" si="12"/>
        <v>4829.1716566135392</v>
      </c>
      <c r="O19" s="3078" t="str">
        <f t="shared" si="12"/>
        <v>IE</v>
      </c>
      <c r="P19" s="3078">
        <f t="shared" si="12"/>
        <v>4829.1716566135392</v>
      </c>
      <c r="Q19" s="3078">
        <f t="shared" si="12"/>
        <v>1398.3862992255033</v>
      </c>
      <c r="R19" s="3573">
        <f t="shared" si="12"/>
        <v>612.69959141961363</v>
      </c>
      <c r="S19" s="3573">
        <f t="shared" si="12"/>
        <v>-1505.9455562607404</v>
      </c>
      <c r="T19" s="3573" t="str">
        <f t="shared" si="12"/>
        <v>IE</v>
      </c>
      <c r="U19" s="3570">
        <f t="shared" si="12"/>
        <v>-19559.14396699236</v>
      </c>
      <c r="W19" s="2019"/>
    </row>
    <row r="20" spans="2:23" ht="18" customHeight="1" x14ac:dyDescent="0.2">
      <c r="B20" s="496"/>
      <c r="C20" s="508" t="s">
        <v>2223</v>
      </c>
      <c r="D20" s="3568">
        <f>IF(SUM(E20:F20)=0,E20,SUM(E20:F20))</f>
        <v>1885.8109999999997</v>
      </c>
      <c r="E20" s="3569">
        <v>1885.8109999999997</v>
      </c>
      <c r="F20" s="3554" t="s">
        <v>2146</v>
      </c>
      <c r="G20" s="3558">
        <f t="shared" si="6"/>
        <v>1.2721948275834636</v>
      </c>
      <c r="H20" s="3078" t="str">
        <f t="shared" si="6"/>
        <v>NA</v>
      </c>
      <c r="I20" s="3078">
        <f t="shared" si="6"/>
        <v>1.2721948275834636</v>
      </c>
      <c r="J20" s="3078">
        <f t="shared" si="6"/>
        <v>4.6346638130756457E-2</v>
      </c>
      <c r="K20" s="3078">
        <f t="shared" si="6"/>
        <v>2.3243580613327711E-2</v>
      </c>
      <c r="L20" s="3078">
        <f t="shared" si="3"/>
        <v>-0.31797354029645619</v>
      </c>
      <c r="M20" s="3128" t="str">
        <f t="shared" si="4"/>
        <v>NA</v>
      </c>
      <c r="N20" s="2905">
        <v>2399.1189999999988</v>
      </c>
      <c r="O20" s="2905" t="s">
        <v>2153</v>
      </c>
      <c r="P20" s="3109">
        <f>IF(SUM(N20:O20)=0,N20,SUM(N20:O20))</f>
        <v>2399.1189999999988</v>
      </c>
      <c r="Q20" s="2905">
        <v>87.400999999999954</v>
      </c>
      <c r="R20" s="2906">
        <v>43.833000000000141</v>
      </c>
      <c r="S20" s="2906">
        <v>-599.63800000000026</v>
      </c>
      <c r="T20" s="2906" t="s">
        <v>2146</v>
      </c>
      <c r="U20" s="3570">
        <f t="shared" ref="U20:U22" si="13">IF(SUM(P20:T20)=0,P20,SUM(P20:T20)*-44/12)</f>
        <v>-7079.2883333333275</v>
      </c>
      <c r="W20" s="2398"/>
    </row>
    <row r="21" spans="2:23" ht="18" customHeight="1" x14ac:dyDescent="0.2">
      <c r="B21" s="500"/>
      <c r="C21" s="508" t="s">
        <v>2291</v>
      </c>
      <c r="D21" s="3568">
        <f>IF(SUM(E21:F21)=0,E21,SUM(E21:F21))</f>
        <v>6821.7177585349073</v>
      </c>
      <c r="E21" s="3569">
        <v>6821.7177585349073</v>
      </c>
      <c r="F21" s="3554" t="s">
        <v>2146</v>
      </c>
      <c r="G21" s="3558">
        <f t="shared" si="6"/>
        <v>0.3561827321989724</v>
      </c>
      <c r="H21" s="3078" t="str">
        <f t="shared" si="6"/>
        <v>NA</v>
      </c>
      <c r="I21" s="3078">
        <f t="shared" si="6"/>
        <v>0.3561827321989724</v>
      </c>
      <c r="J21" s="3078">
        <f t="shared" si="6"/>
        <v>0.19214301383604068</v>
      </c>
      <c r="K21" s="3078">
        <f t="shared" si="6"/>
        <v>8.3390520035497392E-2</v>
      </c>
      <c r="L21" s="3078">
        <f t="shared" si="3"/>
        <v>-0.13285620841273077</v>
      </c>
      <c r="M21" s="3128" t="str">
        <f t="shared" si="4"/>
        <v>NA</v>
      </c>
      <c r="N21" s="2905">
        <v>2429.7780695252131</v>
      </c>
      <c r="O21" s="2905" t="s">
        <v>2153</v>
      </c>
      <c r="P21" s="3109">
        <f t="shared" ref="P21:P28" si="14">IF(SUM(N21:O21)=0,N21,SUM(N21:O21))</f>
        <v>2429.7780695252131</v>
      </c>
      <c r="Q21" s="2905">
        <v>1310.7454096637371</v>
      </c>
      <c r="R21" s="2906">
        <v>568.86659141961354</v>
      </c>
      <c r="S21" s="2906">
        <v>-906.30755626074017</v>
      </c>
      <c r="T21" s="2906" t="s">
        <v>2146</v>
      </c>
      <c r="U21" s="3570">
        <f t="shared" si="13"/>
        <v>-12477.969219275355</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v>0.27458708832722234</v>
      </c>
      <c r="O22" s="2905" t="s">
        <v>2153</v>
      </c>
      <c r="P22" s="3109">
        <f t="shared" si="14"/>
        <v>0.27458708832722234</v>
      </c>
      <c r="Q22" s="2905">
        <v>0.23988956176645354</v>
      </c>
      <c r="R22" s="2906" t="s">
        <v>2147</v>
      </c>
      <c r="S22" s="2906" t="s">
        <v>2147</v>
      </c>
      <c r="T22" s="2906" t="s">
        <v>2147</v>
      </c>
      <c r="U22" s="3570">
        <f t="shared" si="13"/>
        <v>-1.8864143836768117</v>
      </c>
      <c r="W22" s="2398"/>
    </row>
    <row r="23" spans="2:23" ht="18" customHeight="1" x14ac:dyDescent="0.2">
      <c r="B23" s="487" t="s">
        <v>1044</v>
      </c>
      <c r="C23" s="504"/>
      <c r="D23" s="3568">
        <f>D24</f>
        <v>141.80055791012413</v>
      </c>
      <c r="E23" s="3571" t="str">
        <f t="shared" ref="E23" si="15">E24</f>
        <v>NO</v>
      </c>
      <c r="F23" s="3572">
        <f t="shared" ref="F23" si="16">F24</f>
        <v>141.80055791012413</v>
      </c>
      <c r="G23" s="3558">
        <f t="shared" si="6"/>
        <v>8.0365444392294076</v>
      </c>
      <c r="H23" s="3078" t="str">
        <f t="shared" si="6"/>
        <v>NA</v>
      </c>
      <c r="I23" s="3078">
        <f t="shared" si="6"/>
        <v>8.0365444392294076</v>
      </c>
      <c r="J23" s="3078">
        <f t="shared" si="6"/>
        <v>-0.83601257017236241</v>
      </c>
      <c r="K23" s="3078">
        <f t="shared" si="6"/>
        <v>-0.1427189882989145</v>
      </c>
      <c r="L23" s="3078" t="str">
        <f t="shared" si="3"/>
        <v>NA</v>
      </c>
      <c r="M23" s="3128">
        <f t="shared" si="4"/>
        <v>-3.8795947253106242E-2</v>
      </c>
      <c r="N23" s="3078">
        <f t="shared" ref="N23" si="17">N24</f>
        <v>1139.5864851522356</v>
      </c>
      <c r="O23" s="3078" t="str">
        <f t="shared" ref="O23" si="18">O24</f>
        <v>IE</v>
      </c>
      <c r="P23" s="3078">
        <f t="shared" ref="P23" si="19">P24</f>
        <v>1139.5864851522356</v>
      </c>
      <c r="Q23" s="3078">
        <f t="shared" ref="Q23" si="20">Q24</f>
        <v>-118.54704887031778</v>
      </c>
      <c r="R23" s="3573">
        <f t="shared" ref="R23" si="21">R24</f>
        <v>-20.237632165154551</v>
      </c>
      <c r="S23" s="3573" t="str">
        <f t="shared" ref="S23" si="22">S24</f>
        <v>NO</v>
      </c>
      <c r="T23" s="3573">
        <f t="shared" ref="T23" si="23">T24</f>
        <v>-5.5012869651422127</v>
      </c>
      <c r="U23" s="3570">
        <f t="shared" ref="U23" si="24">U24</f>
        <v>-3649.4352295559438</v>
      </c>
      <c r="W23" s="2019"/>
    </row>
    <row r="24" spans="2:23" ht="18" customHeight="1" x14ac:dyDescent="0.2">
      <c r="B24" s="488"/>
      <c r="C24" s="508" t="s">
        <v>278</v>
      </c>
      <c r="D24" s="3568">
        <f>IF(SUM(E24:F24)=0,E24,SUM(E24:F24))</f>
        <v>141.80055791012413</v>
      </c>
      <c r="E24" s="3569" t="s">
        <v>2146</v>
      </c>
      <c r="F24" s="3554">
        <v>141.80055791012413</v>
      </c>
      <c r="G24" s="3558">
        <f t="shared" si="6"/>
        <v>8.0365444392294076</v>
      </c>
      <c r="H24" s="3078" t="str">
        <f t="shared" si="6"/>
        <v>NA</v>
      </c>
      <c r="I24" s="3078">
        <f t="shared" si="6"/>
        <v>8.0365444392294076</v>
      </c>
      <c r="J24" s="3078">
        <f t="shared" si="6"/>
        <v>-0.83601257017236241</v>
      </c>
      <c r="K24" s="3078">
        <f t="shared" si="6"/>
        <v>-0.1427189882989145</v>
      </c>
      <c r="L24" s="3078" t="str">
        <f t="shared" si="3"/>
        <v>NA</v>
      </c>
      <c r="M24" s="3128">
        <f t="shared" si="4"/>
        <v>-3.8795947253106242E-2</v>
      </c>
      <c r="N24" s="2905">
        <v>1139.5864851522356</v>
      </c>
      <c r="O24" s="2905" t="s">
        <v>2153</v>
      </c>
      <c r="P24" s="3109">
        <f t="shared" si="14"/>
        <v>1139.5864851522356</v>
      </c>
      <c r="Q24" s="2905">
        <v>-118.54704887031778</v>
      </c>
      <c r="R24" s="2906">
        <v>-20.237632165154551</v>
      </c>
      <c r="S24" s="2906" t="s">
        <v>2146</v>
      </c>
      <c r="T24" s="2906">
        <v>-5.5012869651422127</v>
      </c>
      <c r="U24" s="3570">
        <f t="shared" ref="U24" si="25">IF(SUM(P24:T24)=0,P24,SUM(P24:T24)*-44/12)</f>
        <v>-3649.4352295559438</v>
      </c>
      <c r="W24" s="2398"/>
    </row>
    <row r="25" spans="2:23" ht="18" customHeight="1" x14ac:dyDescent="0.2">
      <c r="B25" s="487" t="s">
        <v>1045</v>
      </c>
      <c r="C25" s="504"/>
      <c r="D25" s="3568">
        <f>D26</f>
        <v>46.570999999999998</v>
      </c>
      <c r="E25" s="3571">
        <f t="shared" ref="E25" si="26">E26</f>
        <v>46.570999999999998</v>
      </c>
      <c r="F25" s="3572" t="str">
        <f t="shared" ref="F25" si="27">F26</f>
        <v>NO</v>
      </c>
      <c r="G25" s="3558">
        <f t="shared" si="6"/>
        <v>1.7185587597431877</v>
      </c>
      <c r="H25" s="3078" t="str">
        <f t="shared" si="6"/>
        <v>NA</v>
      </c>
      <c r="I25" s="3078">
        <f t="shared" si="6"/>
        <v>1.7185587597431877</v>
      </c>
      <c r="J25" s="3078">
        <f t="shared" si="6"/>
        <v>4.7755040690558512E-2</v>
      </c>
      <c r="K25" s="3078">
        <f t="shared" si="6"/>
        <v>3.7340834424856674E-2</v>
      </c>
      <c r="L25" s="3078">
        <f t="shared" si="3"/>
        <v>-0.5288913701659832</v>
      </c>
      <c r="M25" s="3128" t="str">
        <f t="shared" si="4"/>
        <v>NA</v>
      </c>
      <c r="N25" s="3078">
        <f t="shared" ref="N25" si="28">N26</f>
        <v>80.034999999999997</v>
      </c>
      <c r="O25" s="3078" t="str">
        <f t="shared" ref="O25" si="29">O26</f>
        <v>IE</v>
      </c>
      <c r="P25" s="3078">
        <f t="shared" ref="P25" si="30">P26</f>
        <v>80.034999999999997</v>
      </c>
      <c r="Q25" s="3078">
        <f t="shared" ref="Q25" si="31">Q26</f>
        <v>2.2240000000000002</v>
      </c>
      <c r="R25" s="3573">
        <f t="shared" ref="R25" si="32">R26</f>
        <v>1.7390000000000001</v>
      </c>
      <c r="S25" s="3573">
        <f t="shared" ref="S25" si="33">S26</f>
        <v>-24.631</v>
      </c>
      <c r="T25" s="3573" t="str">
        <f t="shared" ref="T25" si="34">T26</f>
        <v>NO</v>
      </c>
      <c r="U25" s="3570">
        <f t="shared" ref="U25" si="35">U26</f>
        <v>-217.679</v>
      </c>
      <c r="W25" s="2019"/>
    </row>
    <row r="26" spans="2:23" ht="18" customHeight="1" x14ac:dyDescent="0.2">
      <c r="B26" s="488"/>
      <c r="C26" s="508" t="s">
        <v>278</v>
      </c>
      <c r="D26" s="3568">
        <f>IF(SUM(E26:F26)=0,E26,SUM(E26:F26))</f>
        <v>46.570999999999998</v>
      </c>
      <c r="E26" s="3569">
        <v>46.570999999999998</v>
      </c>
      <c r="F26" s="3554" t="s">
        <v>2146</v>
      </c>
      <c r="G26" s="3558">
        <f t="shared" si="6"/>
        <v>1.7185587597431877</v>
      </c>
      <c r="H26" s="3078" t="str">
        <f t="shared" si="6"/>
        <v>NA</v>
      </c>
      <c r="I26" s="3078">
        <f t="shared" si="6"/>
        <v>1.7185587597431877</v>
      </c>
      <c r="J26" s="3078">
        <f t="shared" si="6"/>
        <v>4.7755040690558512E-2</v>
      </c>
      <c r="K26" s="3078">
        <f t="shared" si="6"/>
        <v>3.7340834424856674E-2</v>
      </c>
      <c r="L26" s="3078">
        <f t="shared" si="3"/>
        <v>-0.5288913701659832</v>
      </c>
      <c r="M26" s="3128" t="str">
        <f t="shared" si="4"/>
        <v>NA</v>
      </c>
      <c r="N26" s="2905">
        <v>80.034999999999997</v>
      </c>
      <c r="O26" s="2905" t="s">
        <v>2153</v>
      </c>
      <c r="P26" s="3109">
        <f t="shared" si="14"/>
        <v>80.034999999999997</v>
      </c>
      <c r="Q26" s="2905">
        <v>2.2240000000000002</v>
      </c>
      <c r="R26" s="2906">
        <v>1.7390000000000001</v>
      </c>
      <c r="S26" s="2906">
        <v>-24.631</v>
      </c>
      <c r="T26" s="2906" t="s">
        <v>2146</v>
      </c>
      <c r="U26" s="3570">
        <f t="shared" ref="U26" si="36">IF(SUM(P26:T26)=0,P26,SUM(P26:T26)*-44/12)</f>
        <v>-217.679</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39960.543766595809</v>
      </c>
      <c r="E10" s="3583">
        <f t="shared" ref="E10:F10" si="0">IF(SUM(E11,E13)=0,"IE",SUM(E11,E13))</f>
        <v>39957.543766595809</v>
      </c>
      <c r="F10" s="3584">
        <f t="shared" si="0"/>
        <v>3</v>
      </c>
      <c r="G10" s="3558" t="str">
        <f>IFERROR(IF(SUM($D10)=0,"NA",M10/$D10),"NA")</f>
        <v>NA</v>
      </c>
      <c r="H10" s="3583">
        <f t="shared" ref="H10:J10" si="1">IFERROR(IF(SUM($D10)=0,"NA",N10/$D10),"NA")</f>
        <v>-4.1592322932731971E-3</v>
      </c>
      <c r="I10" s="3583">
        <f t="shared" si="1"/>
        <v>-4.1592322932731971E-3</v>
      </c>
      <c r="J10" s="3583">
        <f t="shared" si="1"/>
        <v>-5.8086546908811942E-3</v>
      </c>
      <c r="K10" s="3585">
        <f>IFERROR(IF(SUM(E10)=0,"NA",Q10/E10),"NA")</f>
        <v>-5.9849330680011303E-2</v>
      </c>
      <c r="L10" s="3584">
        <f>IFERROR(IF(SUM(F10)=0,"NA",R10/F10),"NA")</f>
        <v>-12.475</v>
      </c>
      <c r="M10" s="3586" t="str">
        <f>IF(SUM(M11,M13)=0,"IE",SUM(M11,M13))</f>
        <v>IE</v>
      </c>
      <c r="N10" s="3583">
        <f t="shared" ref="N10:S10" si="2">IF(SUM(N11,N13)=0,"IE",SUM(N11,N13))</f>
        <v>-166.20518409078224</v>
      </c>
      <c r="O10" s="3587">
        <f t="shared" si="2"/>
        <v>-166.20518409078224</v>
      </c>
      <c r="P10" s="3583">
        <f t="shared" si="2"/>
        <v>-232.11700000000002</v>
      </c>
      <c r="Q10" s="3585">
        <f t="shared" si="2"/>
        <v>-2391.4322500480171</v>
      </c>
      <c r="R10" s="3585">
        <f t="shared" si="2"/>
        <v>-37.424999999999997</v>
      </c>
      <c r="S10" s="3588">
        <f t="shared" si="2"/>
        <v>10366.324591842265</v>
      </c>
      <c r="U10" s="2261"/>
    </row>
    <row r="11" spans="2:21" ht="18" customHeight="1" x14ac:dyDescent="0.2">
      <c r="B11" s="499" t="s">
        <v>985</v>
      </c>
      <c r="C11" s="2256"/>
      <c r="D11" s="3589">
        <f>D12</f>
        <v>37671.613825567998</v>
      </c>
      <c r="E11" s="3078">
        <f t="shared" ref="E11" si="3">E12</f>
        <v>37671.613825567998</v>
      </c>
      <c r="F11" s="3078" t="str">
        <f t="shared" ref="F11" si="4">F12</f>
        <v>IE</v>
      </c>
      <c r="G11" s="3558" t="str">
        <f t="shared" ref="G11:G23" si="5">IFERROR(IF(SUM($D11)=0,"NA",M11/$D11),"NA")</f>
        <v>NA</v>
      </c>
      <c r="H11" s="3078">
        <f t="shared" ref="H11:H23" si="6">IFERROR(IF(SUM($D11)=0,"NA",N11/$D11),"NA")</f>
        <v>-2.428402492428743E-4</v>
      </c>
      <c r="I11" s="3078">
        <f t="shared" ref="I11:I23" si="7">IFERROR(IF(SUM($D11)=0,"NA",O11/$D11),"NA")</f>
        <v>-2.428402492428743E-4</v>
      </c>
      <c r="J11" s="3078" t="str">
        <f t="shared" ref="J11:J23" si="8">IFERROR(IF(SUM($D11)=0,"NA",P11/$D11),"NA")</f>
        <v>NA</v>
      </c>
      <c r="K11" s="3573">
        <f t="shared" ref="K11:K23" si="9">IFERROR(IF(SUM(E11)=0,"NA",Q11/E11),"NA")</f>
        <v>-4.7411466992998787E-2</v>
      </c>
      <c r="L11" s="3128" t="str">
        <f t="shared" ref="L11:L23" si="10">IFERROR(IF(SUM(F11)=0,"NA",R11/F11),"NA")</f>
        <v>NA</v>
      </c>
      <c r="M11" s="3590" t="str">
        <f t="shared" ref="M11" si="11">M12</f>
        <v>IE</v>
      </c>
      <c r="N11" s="3591">
        <f t="shared" ref="N11" si="12">N12</f>
        <v>-9.1481840907822427</v>
      </c>
      <c r="O11" s="3592">
        <f t="shared" ref="O11" si="13">O12</f>
        <v>-9.1481840907822427</v>
      </c>
      <c r="P11" s="3591" t="str">
        <f t="shared" ref="P11" si="14">P12</f>
        <v>NA</v>
      </c>
      <c r="Q11" s="3593">
        <f t="shared" ref="Q11" si="15">Q12</f>
        <v>-1786.0664754639138</v>
      </c>
      <c r="R11" s="3593" t="str">
        <f t="shared" ref="R11" si="16">R12</f>
        <v>IE</v>
      </c>
      <c r="S11" s="3594">
        <f t="shared" ref="S11" si="17">S12</f>
        <v>6582.4537517005519</v>
      </c>
      <c r="U11" s="2258"/>
    </row>
    <row r="12" spans="2:21" ht="18" customHeight="1" x14ac:dyDescent="0.2">
      <c r="B12" s="501"/>
      <c r="C12" s="508" t="s">
        <v>278</v>
      </c>
      <c r="D12" s="3568">
        <f>IF(SUM(E12:F12)=0,E12,SUM(E12:F12))</f>
        <v>37671.613825567998</v>
      </c>
      <c r="E12" s="3569">
        <v>37671.613825567998</v>
      </c>
      <c r="F12" s="3554" t="s">
        <v>2153</v>
      </c>
      <c r="G12" s="3558" t="str">
        <f t="shared" si="5"/>
        <v>NA</v>
      </c>
      <c r="H12" s="3078">
        <f t="shared" si="6"/>
        <v>-2.428402492428743E-4</v>
      </c>
      <c r="I12" s="3078">
        <f t="shared" si="7"/>
        <v>-2.428402492428743E-4</v>
      </c>
      <c r="J12" s="3078" t="str">
        <f t="shared" si="8"/>
        <v>NA</v>
      </c>
      <c r="K12" s="3573">
        <f t="shared" si="9"/>
        <v>-4.7411466992998787E-2</v>
      </c>
      <c r="L12" s="3128" t="str">
        <f t="shared" si="10"/>
        <v>NA</v>
      </c>
      <c r="M12" s="2905" t="s">
        <v>2153</v>
      </c>
      <c r="N12" s="2905">
        <v>-9.1481840907822427</v>
      </c>
      <c r="O12" s="3109">
        <f>IF(SUM(M12:N12)=0,M12,SUM(M12:N12))</f>
        <v>-9.1481840907822427</v>
      </c>
      <c r="P12" s="2905" t="s">
        <v>2147</v>
      </c>
      <c r="Q12" s="2906">
        <v>-1786.0664754639138</v>
      </c>
      <c r="R12" s="2906" t="s">
        <v>2153</v>
      </c>
      <c r="S12" s="3594">
        <f>IF(SUM(O12:R12)=0,Q12,SUM(O12:R12)*-44/12)</f>
        <v>6582.4537517005519</v>
      </c>
      <c r="U12" s="2398"/>
    </row>
    <row r="13" spans="2:21" ht="18" customHeight="1" x14ac:dyDescent="0.2">
      <c r="B13" s="485" t="s">
        <v>1054</v>
      </c>
      <c r="C13" s="504"/>
      <c r="D13" s="3589">
        <f>IF(SUM(D14,D16,D18,D20,D22)=0,"IE",SUM(D14,D16,D18,D20,D22))</f>
        <v>2288.9299410278118</v>
      </c>
      <c r="E13" s="3591">
        <f t="shared" ref="E13:F13" si="18">IF(SUM(E14,E16,E18,E20,E22)=0,"IE",SUM(E14,E16,E18,E20,E22))</f>
        <v>2285.9299410278118</v>
      </c>
      <c r="F13" s="3595">
        <f t="shared" si="18"/>
        <v>3</v>
      </c>
      <c r="G13" s="3558" t="str">
        <f t="shared" si="5"/>
        <v>NA</v>
      </c>
      <c r="H13" s="3078">
        <f t="shared" si="6"/>
        <v>-6.8615905268588406E-2</v>
      </c>
      <c r="I13" s="3078">
        <f t="shared" si="7"/>
        <v>-6.8615905268588406E-2</v>
      </c>
      <c r="J13" s="3078">
        <f t="shared" si="8"/>
        <v>-0.10140852100338692</v>
      </c>
      <c r="K13" s="3573">
        <f t="shared" si="9"/>
        <v>-0.26482254058578703</v>
      </c>
      <c r="L13" s="3128">
        <f t="shared" si="10"/>
        <v>-12.475</v>
      </c>
      <c r="M13" s="3590" t="str">
        <f>IF(SUM(M14,M16,M18,M20,M22)=0,"IE",SUM(M14,M16,M18,M20,M22))</f>
        <v>IE</v>
      </c>
      <c r="N13" s="3591">
        <f t="shared" ref="N13" si="19">IF(SUM(N14,N16,N18,N20,N22)=0,"IE",SUM(N14,N16,N18,N20,N22))</f>
        <v>-157.05699999999999</v>
      </c>
      <c r="O13" s="3592">
        <f t="shared" ref="O13" si="20">IF(SUM(O14,O16,O18,O20,O22)=0,"IE",SUM(O14,O16,O18,O20,O22))</f>
        <v>-157.05699999999999</v>
      </c>
      <c r="P13" s="3592">
        <f t="shared" ref="P13" si="21">IF(SUM(P14,P16,P18,P20,P22)=0,"IE",SUM(P14,P16,P18,P20,P22))</f>
        <v>-232.11700000000002</v>
      </c>
      <c r="Q13" s="3592">
        <f t="shared" ref="Q13" si="22">IF(SUM(Q14,Q16,Q18,Q20,Q22)=0,"IE",SUM(Q14,Q16,Q18,Q20,Q22))</f>
        <v>-605.36577458410341</v>
      </c>
      <c r="R13" s="3592">
        <f t="shared" ref="R13" si="23">IF(SUM(R14,R16,R18,R20,R22)=0,"IE",SUM(R14,R16,R18,R20,R22))</f>
        <v>-37.424999999999997</v>
      </c>
      <c r="S13" s="3594">
        <f t="shared" ref="S13" si="24">IF(SUM(S14,S16,S18,S20,S22)=0,"IE",SUM(S14,S16,S18,S20,S22))</f>
        <v>3783.8708401417125</v>
      </c>
      <c r="U13" s="503"/>
    </row>
    <row r="14" spans="2:21" ht="18" customHeight="1" x14ac:dyDescent="0.2">
      <c r="B14" s="487" t="s">
        <v>1055</v>
      </c>
      <c r="C14" s="504"/>
      <c r="D14" s="3589">
        <f>D15</f>
        <v>2276.2689999999998</v>
      </c>
      <c r="E14" s="3078">
        <f t="shared" ref="E14" si="25">E15</f>
        <v>2276.2689999999998</v>
      </c>
      <c r="F14" s="3078" t="str">
        <f t="shared" ref="F14" si="26">F15</f>
        <v>IE</v>
      </c>
      <c r="G14" s="3558" t="str">
        <f t="shared" si="5"/>
        <v>NA</v>
      </c>
      <c r="H14" s="3078">
        <f t="shared" si="6"/>
        <v>-6.8997556967124715E-2</v>
      </c>
      <c r="I14" s="3078">
        <f t="shared" si="7"/>
        <v>-6.8997556967124715E-2</v>
      </c>
      <c r="J14" s="3078">
        <f t="shared" si="8"/>
        <v>-0.10197257002577466</v>
      </c>
      <c r="K14" s="3573">
        <f t="shared" si="9"/>
        <v>-0.25354736193305805</v>
      </c>
      <c r="L14" s="3128" t="str">
        <f t="shared" si="10"/>
        <v>NA</v>
      </c>
      <c r="M14" s="3590" t="str">
        <f t="shared" ref="M14" si="27">M15</f>
        <v>IE</v>
      </c>
      <c r="N14" s="3591">
        <f t="shared" ref="N14" si="28">N15</f>
        <v>-157.05699999999999</v>
      </c>
      <c r="O14" s="3592">
        <f t="shared" ref="O14" si="29">O15</f>
        <v>-157.05699999999999</v>
      </c>
      <c r="P14" s="3591">
        <f t="shared" ref="P14" si="30">P15</f>
        <v>-232.11700000000002</v>
      </c>
      <c r="Q14" s="3593">
        <f t="shared" ref="Q14" si="31">Q15</f>
        <v>-577.14200000000005</v>
      </c>
      <c r="R14" s="3593" t="str">
        <f t="shared" ref="R14" si="32">R15</f>
        <v>IE</v>
      </c>
      <c r="S14" s="3594">
        <f t="shared" ref="S14" si="33">S15</f>
        <v>3543.1586666666667</v>
      </c>
      <c r="U14" s="503"/>
    </row>
    <row r="15" spans="2:21" ht="18" customHeight="1" x14ac:dyDescent="0.2">
      <c r="B15" s="501"/>
      <c r="C15" s="508" t="s">
        <v>278</v>
      </c>
      <c r="D15" s="3568">
        <f>IF(SUM(E15:F15)=0,E15,SUM(E15:F15))</f>
        <v>2276.2689999999998</v>
      </c>
      <c r="E15" s="3569">
        <v>2276.2689999999998</v>
      </c>
      <c r="F15" s="3554" t="s">
        <v>2153</v>
      </c>
      <c r="G15" s="3558" t="str">
        <f t="shared" si="5"/>
        <v>NA</v>
      </c>
      <c r="H15" s="3078">
        <f t="shared" si="6"/>
        <v>-6.8997556967124715E-2</v>
      </c>
      <c r="I15" s="3078">
        <f t="shared" si="7"/>
        <v>-6.8997556967124715E-2</v>
      </c>
      <c r="J15" s="3078">
        <f t="shared" si="8"/>
        <v>-0.10197257002577466</v>
      </c>
      <c r="K15" s="3573">
        <f t="shared" si="9"/>
        <v>-0.25354736193305805</v>
      </c>
      <c r="L15" s="3128" t="str">
        <f t="shared" si="10"/>
        <v>NA</v>
      </c>
      <c r="M15" s="2905" t="s">
        <v>2153</v>
      </c>
      <c r="N15" s="2905">
        <v>-157.05699999999999</v>
      </c>
      <c r="O15" s="3109">
        <f>IF(SUM(M15:N15)=0,M15,SUM(M15:N15))</f>
        <v>-157.05699999999999</v>
      </c>
      <c r="P15" s="2905">
        <v>-232.11700000000002</v>
      </c>
      <c r="Q15" s="2906">
        <v>-577.14200000000005</v>
      </c>
      <c r="R15" s="2906" t="s">
        <v>2153</v>
      </c>
      <c r="S15" s="3594">
        <f>IF(SUM(O15:R15)=0,Q15,SUM(O15:R15)*-44/12)</f>
        <v>3543.1586666666667</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522397.12067046913</v>
      </c>
      <c r="E10" s="3583">
        <f t="shared" ref="E10:F10" si="0">IF(SUM(E11,E15)=0,"IE",SUM(E11,E15))</f>
        <v>522396.12067046913</v>
      </c>
      <c r="F10" s="3584">
        <f t="shared" si="0"/>
        <v>1</v>
      </c>
      <c r="G10" s="3558" t="str">
        <f>IFERROR(IF(SUM($D10)=0,"NA",M10/$D10),"NA")</f>
        <v>NA</v>
      </c>
      <c r="H10" s="3583">
        <f t="shared" ref="H10:J10" si="1">IFERROR(IF(SUM($D10)=0,"NA",N10/$D10),"NA")</f>
        <v>-3.504468725456264E-2</v>
      </c>
      <c r="I10" s="3583">
        <f t="shared" si="1"/>
        <v>-3.504468725456264E-2</v>
      </c>
      <c r="J10" s="3583">
        <f t="shared" si="1"/>
        <v>-7.8885960550013016E-3</v>
      </c>
      <c r="K10" s="3585">
        <f>IFERROR(IF(SUM(E10)=0,"NA",Q10/E10),"NA")</f>
        <v>-7.0873672766415714E-3</v>
      </c>
      <c r="L10" s="3584">
        <f>IFERROR(IF(SUM(F10)=0,"NA",R10/F10),"NA")</f>
        <v>-8.7249999999999996</v>
      </c>
      <c r="M10" s="3586" t="str">
        <f>IF(SUM(M11,M15)=0,"IE",SUM(M11,M15))</f>
        <v>IE</v>
      </c>
      <c r="N10" s="3583">
        <f t="shared" ref="N10:S10" si="2">IF(SUM(N11,N15)=0,"IE",SUM(N11,N15))</f>
        <v>-18307.243716580611</v>
      </c>
      <c r="O10" s="3587">
        <f t="shared" si="2"/>
        <v>-18307.243716580611</v>
      </c>
      <c r="P10" s="3583">
        <f t="shared" si="2"/>
        <v>-4120.9798652651016</v>
      </c>
      <c r="Q10" s="3585">
        <f t="shared" si="2"/>
        <v>-3702.4131710843844</v>
      </c>
      <c r="R10" s="3585">
        <f t="shared" si="2"/>
        <v>-8.7249999999999996</v>
      </c>
      <c r="S10" s="3588">
        <f t="shared" si="2"/>
        <v>95844.326427410371</v>
      </c>
      <c r="U10" s="2261"/>
    </row>
    <row r="11" spans="2:21" ht="18" customHeight="1" x14ac:dyDescent="0.2">
      <c r="B11" s="493" t="s">
        <v>988</v>
      </c>
      <c r="C11" s="483"/>
      <c r="D11" s="3599">
        <f>IF(SUM(D12:D14)=0,"IE",SUM(D12:D14))</f>
        <v>508825.58572813898</v>
      </c>
      <c r="E11" s="3564">
        <f t="shared" ref="E11:F11" si="3">IF(SUM(E12:E14)=0,"IE",SUM(E12:E14))</f>
        <v>508825.58572813898</v>
      </c>
      <c r="F11" s="3565" t="str">
        <f t="shared" si="3"/>
        <v>IE</v>
      </c>
      <c r="G11" s="3599" t="str">
        <f t="shared" ref="G11:G26" si="4">IFERROR(IF(SUM($D11)=0,"NA",M11/$D11),"NA")</f>
        <v>NA</v>
      </c>
      <c r="H11" s="3109">
        <f t="shared" ref="H11:H26" si="5">IFERROR(IF(SUM($D11)=0,"NA",N11/$D11),"NA")</f>
        <v>-4.1910732015270945E-3</v>
      </c>
      <c r="I11" s="3109">
        <f t="shared" ref="I11:I26" si="6">IFERROR(IF(SUM($D11)=0,"NA",O11/$D11),"NA")</f>
        <v>-4.1910732015270945E-3</v>
      </c>
      <c r="J11" s="3109">
        <f t="shared" ref="J11:J26" si="7">IFERROR(IF(SUM($D11)=0,"NA",P11/$D11),"NA")</f>
        <v>1.2794310682318153E-4</v>
      </c>
      <c r="K11" s="3566">
        <f t="shared" ref="K11:K26" si="8">IFERROR(IF(SUM(E11)=0,"NA",Q11/E11),"NA")</f>
        <v>-1.3630389865169057E-3</v>
      </c>
      <c r="L11" s="3249" t="str">
        <f t="shared" ref="L11:L26" si="9">IFERROR(IF(SUM(F11)=0,"NA",R11/F11),"NA")</f>
        <v>NA</v>
      </c>
      <c r="M11" s="3109" t="str">
        <f>IF(SUM(M12:M14)=0,"IE",SUM(M12:M14))</f>
        <v>IE</v>
      </c>
      <c r="N11" s="3109">
        <f t="shared" ref="N11:O11" si="10">IF(SUM(N12:N14)=0,"IE",SUM(N12:N14))</f>
        <v>-2132.5252765965306</v>
      </c>
      <c r="O11" s="3109">
        <f t="shared" si="10"/>
        <v>-2132.5252765965306</v>
      </c>
      <c r="P11" s="3109">
        <f t="shared" ref="P11" si="11">IF(SUM(P12:P14)=0,"IE",SUM(P12:P14))</f>
        <v>65.100726269183198</v>
      </c>
      <c r="Q11" s="3566">
        <f t="shared" ref="Q11" si="12">IF(SUM(Q12:Q14)=0,"IE",SUM(Q12:Q14))</f>
        <v>-693.54911068475349</v>
      </c>
      <c r="R11" s="3566" t="str">
        <f t="shared" ref="R11" si="13">IF(SUM(R12:R14)=0,"IE",SUM(R12:R14))</f>
        <v>IE</v>
      </c>
      <c r="S11" s="3567">
        <f t="shared" ref="S11" si="14">IF(SUM(S12:S14)=0,"IE",SUM(S12:S14))</f>
        <v>10123.570090377703</v>
      </c>
      <c r="U11" s="2397"/>
    </row>
    <row r="12" spans="2:21" ht="18" customHeight="1" x14ac:dyDescent="0.2">
      <c r="B12" s="499"/>
      <c r="C12" s="484" t="s">
        <v>2226</v>
      </c>
      <c r="D12" s="3600">
        <f>IF(SUM(E12:F12)=0,E12,SUM(E12:F12))</f>
        <v>70456.100045431216</v>
      </c>
      <c r="E12" s="3569">
        <v>70456.100045431216</v>
      </c>
      <c r="F12" s="3554" t="s">
        <v>2153</v>
      </c>
      <c r="G12" s="3558" t="str">
        <f t="shared" si="4"/>
        <v>NA</v>
      </c>
      <c r="H12" s="3078">
        <f t="shared" si="5"/>
        <v>-4.8115352128201058E-3</v>
      </c>
      <c r="I12" s="3078">
        <f t="shared" si="6"/>
        <v>-4.8115352128201058E-3</v>
      </c>
      <c r="J12" s="3078">
        <f t="shared" si="7"/>
        <v>-9.6230704256402156E-4</v>
      </c>
      <c r="K12" s="3573">
        <f t="shared" si="8"/>
        <v>-3.8492281702560863E-3</v>
      </c>
      <c r="L12" s="3128" t="str">
        <f t="shared" si="9"/>
        <v>NA</v>
      </c>
      <c r="M12" s="2905" t="s">
        <v>2153</v>
      </c>
      <c r="N12" s="2905">
        <v>-339.00200632656856</v>
      </c>
      <c r="O12" s="3109">
        <f>IF(SUM(M12:N12)=0,M12,SUM(M12:N12))</f>
        <v>-339.00200632656856</v>
      </c>
      <c r="P12" s="2905">
        <v>-67.800401265313738</v>
      </c>
      <c r="Q12" s="2906">
        <v>-271.20160506125495</v>
      </c>
      <c r="R12" s="2906" t="s">
        <v>2153</v>
      </c>
      <c r="S12" s="3570">
        <f>IF(SUM(O12:R12)=0,Q12,SUM(O12:R12)*-44/12)</f>
        <v>2486.0147130615032</v>
      </c>
      <c r="U12" s="2398"/>
    </row>
    <row r="13" spans="2:21" ht="18" customHeight="1" x14ac:dyDescent="0.2">
      <c r="B13" s="499"/>
      <c r="C13" s="484" t="s">
        <v>2227</v>
      </c>
      <c r="D13" s="3600">
        <f>IF(SUM(E13:F13)=0,E13,SUM(E13:F13))</f>
        <v>438369.48568270775</v>
      </c>
      <c r="E13" s="3569">
        <v>438369.48568270775</v>
      </c>
      <c r="F13" s="3554" t="s">
        <v>2153</v>
      </c>
      <c r="G13" s="3558" t="str">
        <f t="shared" si="4"/>
        <v>NA</v>
      </c>
      <c r="H13" s="3078" t="str">
        <f t="shared" si="5"/>
        <v>NA</v>
      </c>
      <c r="I13" s="3078" t="str">
        <f t="shared" si="6"/>
        <v>NA</v>
      </c>
      <c r="J13" s="3078" t="str">
        <f t="shared" si="7"/>
        <v>NA</v>
      </c>
      <c r="K13" s="3573">
        <f t="shared" si="8"/>
        <v>-9.6345096868625125E-4</v>
      </c>
      <c r="L13" s="3128" t="str">
        <f t="shared" si="9"/>
        <v>NA</v>
      </c>
      <c r="M13" s="2905" t="s">
        <v>2147</v>
      </c>
      <c r="N13" s="2905" t="s">
        <v>2147</v>
      </c>
      <c r="O13" s="3109" t="str">
        <f>IF(SUM(M13:N13)=0,M13,SUM(M13:N13))</f>
        <v>NA</v>
      </c>
      <c r="P13" s="2905" t="s">
        <v>2147</v>
      </c>
      <c r="Q13" s="2906">
        <v>-422.34750562349853</v>
      </c>
      <c r="R13" s="2906" t="s">
        <v>2153</v>
      </c>
      <c r="S13" s="3570">
        <f>IF(SUM(O13:R13)=0,Q13,SUM(O13:R13)*-44/12)</f>
        <v>1548.6075206194946</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t="s">
        <v>2153</v>
      </c>
      <c r="N14" s="2905">
        <v>-1793.523270269962</v>
      </c>
      <c r="O14" s="3109">
        <f>IF(SUM(M14:N14)=0,M14,SUM(M14:N14))</f>
        <v>-1793.523270269962</v>
      </c>
      <c r="P14" s="2905">
        <v>132.90112753449694</v>
      </c>
      <c r="Q14" s="2906" t="s">
        <v>2147</v>
      </c>
      <c r="R14" s="2906" t="s">
        <v>2147</v>
      </c>
      <c r="S14" s="3570">
        <f>IF(SUM(O14:R14)=0,Q14,SUM(O14:R14)*-44/12)</f>
        <v>6088.9478566967055</v>
      </c>
      <c r="U14" s="2398"/>
    </row>
    <row r="15" spans="2:21" ht="18" customHeight="1" x14ac:dyDescent="0.2">
      <c r="B15" s="485" t="s">
        <v>1066</v>
      </c>
      <c r="C15" s="486"/>
      <c r="D15" s="3589">
        <f>IF(SUM(D16,D19,D21,D23,D25)=0,"IE",SUM(D16,D19,D21,D23,D25))</f>
        <v>13571.534942330169</v>
      </c>
      <c r="E15" s="3591">
        <f t="shared" ref="E15:F15" si="15">IF(SUM(E16,E19,E21,E23,E25)=0,"IE",SUM(E16,E19,E21,E23,E25))</f>
        <v>13570.534942330169</v>
      </c>
      <c r="F15" s="3595">
        <f t="shared" si="15"/>
        <v>1</v>
      </c>
      <c r="G15" s="3558" t="str">
        <f t="shared" si="4"/>
        <v>NA</v>
      </c>
      <c r="H15" s="3078">
        <f t="shared" si="5"/>
        <v>-1.1918120174848077</v>
      </c>
      <c r="I15" s="3078">
        <f t="shared" si="6"/>
        <v>-1.1918120174848077</v>
      </c>
      <c r="J15" s="3078">
        <f t="shared" si="7"/>
        <v>-0.30844562603436471</v>
      </c>
      <c r="K15" s="3573">
        <f t="shared" si="8"/>
        <v>-0.22172037234981579</v>
      </c>
      <c r="L15" s="3128">
        <f t="shared" si="9"/>
        <v>-8.7249999999999996</v>
      </c>
      <c r="M15" s="3590" t="str">
        <f>IF(SUM(M16,M19,M21,M23,M25)=0,"IE",SUM(M16,M19,M21,M23,M25))</f>
        <v>IE</v>
      </c>
      <c r="N15" s="3591">
        <f t="shared" ref="N15:S15" si="16">IF(SUM(N16,N19,N21,N23,N25)=0,"IE",SUM(N16,N19,N21,N23,N25))</f>
        <v>-16174.718439984083</v>
      </c>
      <c r="O15" s="3592">
        <f t="shared" si="16"/>
        <v>-16174.718439984083</v>
      </c>
      <c r="P15" s="3592">
        <f t="shared" si="16"/>
        <v>-4186.0805915342844</v>
      </c>
      <c r="Q15" s="3592">
        <f t="shared" si="16"/>
        <v>-3008.8640603996309</v>
      </c>
      <c r="R15" s="3592">
        <f t="shared" si="16"/>
        <v>-8.7249999999999996</v>
      </c>
      <c r="S15" s="3594">
        <f t="shared" si="16"/>
        <v>85720.756337032668</v>
      </c>
      <c r="U15" s="2019"/>
    </row>
    <row r="16" spans="2:21" ht="18" customHeight="1" x14ac:dyDescent="0.2">
      <c r="B16" s="500" t="s">
        <v>1067</v>
      </c>
      <c r="C16" s="486"/>
      <c r="D16" s="3599">
        <f>IF(SUM(D17:D18)=0,"IE",SUM(D17:D18))</f>
        <v>13522.657509793622</v>
      </c>
      <c r="E16" s="3564">
        <f t="shared" ref="E16:F16" si="17">IF(SUM(E17:E18)=0,"IE",SUM(E17:E18))</f>
        <v>13522.657509793622</v>
      </c>
      <c r="F16" s="3565" t="str">
        <f t="shared" si="17"/>
        <v>IE</v>
      </c>
      <c r="G16" s="3558" t="str">
        <f t="shared" si="4"/>
        <v>NA</v>
      </c>
      <c r="H16" s="3078">
        <f t="shared" si="5"/>
        <v>-1.1961198032464948</v>
      </c>
      <c r="I16" s="3078">
        <f t="shared" si="6"/>
        <v>-1.1961198032464948</v>
      </c>
      <c r="J16" s="3078">
        <f t="shared" si="7"/>
        <v>-0.30956049789048978</v>
      </c>
      <c r="K16" s="3573">
        <f t="shared" si="8"/>
        <v>-0.21375016421781365</v>
      </c>
      <c r="L16" s="3128" t="str">
        <f t="shared" si="9"/>
        <v>NA</v>
      </c>
      <c r="M16" s="3506" t="str">
        <f>IF(SUM(M17:M18)=0,"IE",SUM(M17:M18))</f>
        <v>IE</v>
      </c>
      <c r="N16" s="3506">
        <f t="shared" ref="N16:O16" si="18">IF(SUM(N17:N18)=0,"IE",SUM(N17:N18))</f>
        <v>-16174.718439984083</v>
      </c>
      <c r="O16" s="3506">
        <f t="shared" si="18"/>
        <v>-16174.718439984083</v>
      </c>
      <c r="P16" s="3506">
        <f t="shared" ref="P16" si="19">IF(SUM(P17:P18)=0,"IE",SUM(P17:P18))</f>
        <v>-4186.0805915342844</v>
      </c>
      <c r="Q16" s="3601">
        <f t="shared" ref="Q16" si="20">IF(SUM(Q17:Q18)=0,"IE",SUM(Q17:Q18))</f>
        <v>-2890.4702633796378</v>
      </c>
      <c r="R16" s="3601" t="str">
        <f t="shared" ref="R16" si="21">IF(SUM(R17:R18)=0,"IE",SUM(R17:R18))</f>
        <v>IE</v>
      </c>
      <c r="S16" s="3287">
        <f t="shared" ref="S16" si="22">IF(SUM(S17:S18)=0,"IE",SUM(S17:S18))</f>
        <v>85254.654081292698</v>
      </c>
      <c r="U16" s="2400"/>
    </row>
    <row r="17" spans="2:21" ht="18" customHeight="1" x14ac:dyDescent="0.2">
      <c r="B17" s="500"/>
      <c r="C17" s="484" t="s">
        <v>2228</v>
      </c>
      <c r="D17" s="3600">
        <f>IF(SUM(E17:F17)=0,E17,SUM(E17:F17))</f>
        <v>13522.657509793622</v>
      </c>
      <c r="E17" s="3569">
        <v>13522.657509793622</v>
      </c>
      <c r="F17" s="3554" t="s">
        <v>2153</v>
      </c>
      <c r="G17" s="3558" t="str">
        <f t="shared" si="4"/>
        <v>NA</v>
      </c>
      <c r="H17" s="3078">
        <f t="shared" si="5"/>
        <v>-1.1956815985875573</v>
      </c>
      <c r="I17" s="3078">
        <f t="shared" si="6"/>
        <v>-1.1956815985875573</v>
      </c>
      <c r="J17" s="3078">
        <f t="shared" si="7"/>
        <v>-0.30956945095249533</v>
      </c>
      <c r="K17" s="3573">
        <f t="shared" si="8"/>
        <v>-0.21375016421781365</v>
      </c>
      <c r="L17" s="3128" t="str">
        <f t="shared" si="9"/>
        <v>NA</v>
      </c>
      <c r="M17" s="2905" t="s">
        <v>2153</v>
      </c>
      <c r="N17" s="2905">
        <v>-16168.792748462076</v>
      </c>
      <c r="O17" s="3109">
        <f>IF(SUM(M17:N17)=0,M17,SUM(M17:N17))</f>
        <v>-16168.792748462076</v>
      </c>
      <c r="P17" s="2905">
        <v>-4186.2016607254491</v>
      </c>
      <c r="Q17" s="2906">
        <v>-2890.4702633796378</v>
      </c>
      <c r="R17" s="2906" t="s">
        <v>2153</v>
      </c>
      <c r="S17" s="3570">
        <f>IF(SUM(O17:R17)=0,Q17,SUM(O17:R17)*-44/12)</f>
        <v>85233.370466079607</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-5.9256915220070905</v>
      </c>
      <c r="O18" s="3109">
        <f>IF(SUM(M18:N18)=0,M18,SUM(M18:N18))</f>
        <v>-5.9256915220070905</v>
      </c>
      <c r="P18" s="2905">
        <v>0.1210691911643906</v>
      </c>
      <c r="Q18" s="2906" t="s">
        <v>2147</v>
      </c>
      <c r="R18" s="2906" t="s">
        <v>2147</v>
      </c>
      <c r="S18" s="3570">
        <f>IF(SUM(O18:R18)=0,Q18,SUM(O18:R18)*-44/12)</f>
        <v>21.283615213089899</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13244.220295293</v>
      </c>
      <c r="E10" s="3583">
        <f>IF(SUM(E11,E23)=0,"IE",SUM(E11,E23))</f>
        <v>13184.122636932439</v>
      </c>
      <c r="F10" s="3584">
        <f>IF(SUM(F11,F23)=0,"IE",SUM(F11,F23))</f>
        <v>60.097658360559876</v>
      </c>
      <c r="G10" s="3608" t="str">
        <f>IFERROR(IF(SUM($D10)=0,"NA",M10/$D10),"NA")</f>
        <v>NA</v>
      </c>
      <c r="H10" s="3609">
        <f t="shared" ref="H10:J10" si="0">IFERROR(IF(SUM($D10)=0,"NA",N10/$D10),"NA")</f>
        <v>-1.7431521496643388E-2</v>
      </c>
      <c r="I10" s="3610">
        <f t="shared" si="0"/>
        <v>-1.7431521496643388E-2</v>
      </c>
      <c r="J10" s="3609">
        <f t="shared" si="0"/>
        <v>-1.8972134466814692E-3</v>
      </c>
      <c r="K10" s="3609">
        <f>IFERROR(IF(SUM(E10)=0,"NA",Q10/E10),"NA")</f>
        <v>-2.2672422097348385E-3</v>
      </c>
      <c r="L10" s="3611" t="str">
        <f>IFERROR(IF(SUM(F10)=0,"NA",R10/F10),"NA")</f>
        <v>NA</v>
      </c>
      <c r="M10" s="3610" t="str">
        <f t="shared" ref="M10:S10" si="1">IF(SUM(M11,M23)=0,"IE",SUM(M11,M23))</f>
        <v>IE</v>
      </c>
      <c r="N10" s="3609">
        <f t="shared" si="1"/>
        <v>-230.86691078368059</v>
      </c>
      <c r="O10" s="3610">
        <f t="shared" si="1"/>
        <v>-230.86691078368059</v>
      </c>
      <c r="P10" s="3609">
        <f t="shared" si="1"/>
        <v>-25.127112835041498</v>
      </c>
      <c r="Q10" s="3612">
        <f t="shared" si="1"/>
        <v>-29.891599340773812</v>
      </c>
      <c r="R10" s="3612" t="str">
        <f t="shared" si="1"/>
        <v>IE</v>
      </c>
      <c r="S10" s="3588">
        <f t="shared" si="1"/>
        <v>1048.2472841848185</v>
      </c>
      <c r="U10" s="2401"/>
    </row>
    <row r="11" spans="1:23" ht="18" customHeight="1" x14ac:dyDescent="0.2">
      <c r="B11" s="501" t="s">
        <v>990</v>
      </c>
      <c r="C11" s="483"/>
      <c r="D11" s="3613">
        <f>IF(SUM(D12,D14,D17)=0,"IE",SUM(D12,D14,D17))</f>
        <v>13205.901295293001</v>
      </c>
      <c r="E11" s="3614">
        <f t="shared" ref="E11:S11" si="2">IF(SUM(E12,E14,E17)=0,"IE",SUM(E12,E14,E17))</f>
        <v>13145.80363693244</v>
      </c>
      <c r="F11" s="3615">
        <f t="shared" si="2"/>
        <v>60.097658360559876</v>
      </c>
      <c r="G11" s="3616" t="str">
        <f t="shared" ref="G11:G56" si="3">IFERROR(IF(SUM($D11)=0,"NA",M11/$D11),"NA")</f>
        <v>NA</v>
      </c>
      <c r="H11" s="3617">
        <f t="shared" ref="H11:H56" si="4">IFERROR(IF(SUM($D11)=0,"NA",N11/$D11),"NA")</f>
        <v>-1.6654744410521567E-2</v>
      </c>
      <c r="I11" s="3618">
        <f t="shared" ref="I11:I56" si="5">IFERROR(IF(SUM($D11)=0,"NA",O11/$D11),"NA")</f>
        <v>-1.6654744410521567E-2</v>
      </c>
      <c r="J11" s="3617">
        <f t="shared" ref="J11:J56" si="6">IFERROR(IF(SUM($D11)=0,"NA",P11/$D11),"NA")</f>
        <v>-1.9027185099435501E-3</v>
      </c>
      <c r="K11" s="3617">
        <f t="shared" ref="K11:K56" si="7">IFERROR(IF(SUM(E11)=0,"NA",Q11/E11),"NA")</f>
        <v>-2.2738510452715833E-3</v>
      </c>
      <c r="L11" s="3619" t="str">
        <f t="shared" ref="L11:L56" si="8">IFERROR(IF(SUM(F11)=0,"NA",R11/F11),"NA")</f>
        <v>NA</v>
      </c>
      <c r="M11" s="3618" t="str">
        <f t="shared" si="2"/>
        <v>IE</v>
      </c>
      <c r="N11" s="3617">
        <f t="shared" si="2"/>
        <v>-219.94091078368061</v>
      </c>
      <c r="O11" s="3618">
        <f t="shared" si="2"/>
        <v>-219.94091078368061</v>
      </c>
      <c r="P11" s="3617">
        <f t="shared" si="2"/>
        <v>-25.127112835041498</v>
      </c>
      <c r="Q11" s="3620">
        <f t="shared" si="2"/>
        <v>-29.891599340773812</v>
      </c>
      <c r="R11" s="3620" t="str">
        <f t="shared" si="2"/>
        <v>IE</v>
      </c>
      <c r="S11" s="3621">
        <f t="shared" si="2"/>
        <v>1008.1852841848186</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837.12549347714048</v>
      </c>
      <c r="E14" s="3564">
        <f>IF(SUM(E15:E16)=0,"IE",SUM(E15:E16))</f>
        <v>837.12549347714048</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504.33540000000011</v>
      </c>
      <c r="E15" s="3569">
        <v>504.33540000000011</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12368.77580181586</v>
      </c>
      <c r="E17" s="3564">
        <f>IF(SUM(E18:E21)=0,"IE",SUM(E18:E21))</f>
        <v>12308.6781434553</v>
      </c>
      <c r="F17" s="3565">
        <f>IF(SUM(F18:F21)=0,"IE",SUM(F18:F21))</f>
        <v>60.097658360559876</v>
      </c>
      <c r="G17" s="3622" t="str">
        <f t="shared" si="3"/>
        <v>NA</v>
      </c>
      <c r="H17" s="3591">
        <f t="shared" si="4"/>
        <v>-1.77819465974467E-2</v>
      </c>
      <c r="I17" s="3623">
        <f t="shared" si="5"/>
        <v>-1.77819465974467E-2</v>
      </c>
      <c r="J17" s="3591">
        <f t="shared" si="6"/>
        <v>-2.0314955366360983E-3</v>
      </c>
      <c r="K17" s="3591">
        <f t="shared" si="7"/>
        <v>-2.4284979258042917E-3</v>
      </c>
      <c r="L17" s="3595" t="str">
        <f t="shared" si="8"/>
        <v>NA</v>
      </c>
      <c r="M17" s="3564" t="str">
        <f t="shared" ref="M17:S17" si="16">IF(SUM(M18:M21)=0,"IE",SUM(M18:M21))</f>
        <v>IE</v>
      </c>
      <c r="N17" s="3617">
        <f t="shared" si="16"/>
        <v>-219.94091078368061</v>
      </c>
      <c r="O17" s="3618">
        <f t="shared" si="16"/>
        <v>-219.94091078368061</v>
      </c>
      <c r="P17" s="3617">
        <f t="shared" si="16"/>
        <v>-25.127112835041498</v>
      </c>
      <c r="Q17" s="3620">
        <f t="shared" si="16"/>
        <v>-29.891599340773812</v>
      </c>
      <c r="R17" s="3620" t="str">
        <f t="shared" si="16"/>
        <v>IE</v>
      </c>
      <c r="S17" s="3634">
        <f t="shared" si="16"/>
        <v>1008.1852841848186</v>
      </c>
      <c r="U17" s="2402"/>
    </row>
    <row r="18" spans="1:23" ht="18" customHeight="1" x14ac:dyDescent="0.2">
      <c r="A18" s="2502"/>
      <c r="B18" s="2682"/>
      <c r="C18" s="2503" t="s">
        <v>2231</v>
      </c>
      <c r="D18" s="3600">
        <f>IF(SUM(E18:F18)=0,E18,SUM(E18:F18))</f>
        <v>1716.6986404464246</v>
      </c>
      <c r="E18" s="3569">
        <v>1716.6986404464246</v>
      </c>
      <c r="F18" s="3635" t="s">
        <v>2153</v>
      </c>
      <c r="G18" s="3630" t="str">
        <f t="shared" si="3"/>
        <v>NA</v>
      </c>
      <c r="H18" s="3631">
        <f t="shared" si="4"/>
        <v>-2.1765322285250192E-2</v>
      </c>
      <c r="I18" s="3632">
        <f t="shared" si="5"/>
        <v>-2.1765322285250192E-2</v>
      </c>
      <c r="J18" s="3631">
        <f t="shared" si="6"/>
        <v>-4.3530644570500378E-3</v>
      </c>
      <c r="K18" s="3631">
        <f t="shared" si="7"/>
        <v>-1.7412257828200151E-2</v>
      </c>
      <c r="L18" s="3633" t="str">
        <f t="shared" si="8"/>
        <v>NA</v>
      </c>
      <c r="M18" s="3624" t="s">
        <v>2153</v>
      </c>
      <c r="N18" s="3625">
        <v>-37.364499175967275</v>
      </c>
      <c r="O18" s="3109">
        <f>IF(SUM(M18:N18)=0,M18,SUM(M18:N18))</f>
        <v>-37.364499175967275</v>
      </c>
      <c r="P18" s="3625">
        <v>-7.472899835193453</v>
      </c>
      <c r="Q18" s="3626">
        <v>-29.891599340773812</v>
      </c>
      <c r="R18" s="3636" t="s">
        <v>2153</v>
      </c>
      <c r="S18" s="3570">
        <f>IF(SUM(O18:R18)=0,Q18,SUM(O18:R18)*-44/12)</f>
        <v>274.00632729042667</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-182.57641160771334</v>
      </c>
      <c r="O19" s="3109">
        <f t="shared" ref="O19:O22" si="18">IF(SUM(M19:N19)=0,M19,SUM(M19:N19))</f>
        <v>-182.57641160771334</v>
      </c>
      <c r="P19" s="3625">
        <v>-17.654212999848045</v>
      </c>
      <c r="Q19" s="3628" t="s">
        <v>2147</v>
      </c>
      <c r="R19" s="3627" t="s">
        <v>2147</v>
      </c>
      <c r="S19" s="3570">
        <f t="shared" ref="S19:S22" si="19">IF(SUM(O19:R19)=0,Q19,SUM(O19:R19)*-44/12)</f>
        <v>734.17895689439183</v>
      </c>
      <c r="T19" s="2502"/>
      <c r="U19" s="2684"/>
      <c r="V19" s="2502"/>
      <c r="W19" s="2502"/>
    </row>
    <row r="20" spans="1:23" ht="18" customHeight="1" x14ac:dyDescent="0.2">
      <c r="A20" s="2502"/>
      <c r="B20" s="2682"/>
      <c r="C20" s="2683" t="s">
        <v>2234</v>
      </c>
      <c r="D20" s="3600">
        <f t="shared" si="17"/>
        <v>10591.979503008875</v>
      </c>
      <c r="E20" s="3607">
        <v>10591.979503008875</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60.097658360559876</v>
      </c>
      <c r="E21" s="3564" t="str">
        <f t="shared" ref="E21:F21" si="20">E22</f>
        <v>IE</v>
      </c>
      <c r="F21" s="3565">
        <f t="shared" si="20"/>
        <v>60.097658360559876</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60.097658360559876</v>
      </c>
      <c r="E22" s="3569" t="s">
        <v>2153</v>
      </c>
      <c r="F22" s="3554">
        <v>60.097658360559876</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38.319000000000003</v>
      </c>
      <c r="E23" s="3591">
        <f t="shared" ref="E23:F23" si="22">IF(SUM(E24,E35,E46)=0,"IE",SUM(E24,E35,E46))</f>
        <v>38.319000000000003</v>
      </c>
      <c r="F23" s="3595" t="str">
        <f t="shared" si="22"/>
        <v>IE</v>
      </c>
      <c r="G23" s="3622" t="str">
        <f t="shared" si="3"/>
        <v>NA</v>
      </c>
      <c r="H23" s="3591">
        <f t="shared" si="4"/>
        <v>-0.28513270179284428</v>
      </c>
      <c r="I23" s="3623">
        <f t="shared" si="5"/>
        <v>-0.28513270179284428</v>
      </c>
      <c r="J23" s="3591" t="str">
        <f t="shared" si="6"/>
        <v>NA</v>
      </c>
      <c r="K23" s="3591" t="str">
        <f t="shared" si="7"/>
        <v>NA</v>
      </c>
      <c r="L23" s="3595" t="str">
        <f t="shared" si="8"/>
        <v>NA</v>
      </c>
      <c r="M23" s="3591" t="str">
        <f t="shared" ref="M23" si="23">IF(SUM(M24,M35,M46)=0,"IE",SUM(M24,M35,M46))</f>
        <v>IE</v>
      </c>
      <c r="N23" s="3591">
        <f t="shared" ref="N23" si="24">IF(SUM(N24,N35,N46)=0,"IE",SUM(N24,N35,N46))</f>
        <v>-10.926</v>
      </c>
      <c r="O23" s="3623">
        <f t="shared" ref="O23" si="25">IF(SUM(O24,O35,O46)=0,"IE",SUM(O24,O35,O46))</f>
        <v>-10.926</v>
      </c>
      <c r="P23" s="3591" t="str">
        <f>IF(SUM(P24,P35,P46)=0,"NO",SUM(P24,P35,P46))</f>
        <v>NO</v>
      </c>
      <c r="Q23" s="3590" t="str">
        <f>IF(SUM(Q24,Q35,Q46)=0,"NO",SUM(Q24,Q35,Q46))</f>
        <v>NO</v>
      </c>
      <c r="R23" s="3590" t="str">
        <f>IF(SUM(R24,R35,R46)=0,"NO",SUM(R24,R35,R46))</f>
        <v>NO</v>
      </c>
      <c r="S23" s="3594">
        <f t="shared" ref="S23" si="26">IF(SUM(S24,S35,S46)=0,"IE",SUM(S24,S35,S46))</f>
        <v>40.062000000000005</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38.319000000000003</v>
      </c>
      <c r="E35" s="3591">
        <f>IF(SUM(E36,E38,E40,E42,E44)=0,"IE",SUM(E36,E38,E40,E42,E44))</f>
        <v>38.319000000000003</v>
      </c>
      <c r="F35" s="3595" t="str">
        <f>IF(SUM(F36,F38,F40,F42,F44)=0,"IE",SUM(F36,F38,F40,F42,F44))</f>
        <v>IE</v>
      </c>
      <c r="G35" s="3622" t="str">
        <f t="shared" si="3"/>
        <v>NA</v>
      </c>
      <c r="H35" s="3591">
        <f t="shared" si="4"/>
        <v>-0.28513270179284428</v>
      </c>
      <c r="I35" s="3623">
        <f t="shared" si="5"/>
        <v>-0.28513270179284428</v>
      </c>
      <c r="J35" s="3591" t="str">
        <f t="shared" si="6"/>
        <v>NA</v>
      </c>
      <c r="K35" s="3591" t="str">
        <f t="shared" si="7"/>
        <v>NA</v>
      </c>
      <c r="L35" s="3595" t="str">
        <f t="shared" si="8"/>
        <v>NA</v>
      </c>
      <c r="M35" s="3591" t="str">
        <f t="shared" ref="M35:S35" si="48">IF(SUM(M36,M38,M40,M42,M44)=0,"IE",SUM(M36,M38,M40,M42,M44))</f>
        <v>IE</v>
      </c>
      <c r="N35" s="3591">
        <f t="shared" si="48"/>
        <v>-10.926</v>
      </c>
      <c r="O35" s="3623">
        <f t="shared" si="48"/>
        <v>-10.926</v>
      </c>
      <c r="P35" s="3591" t="str">
        <f>IF(SUM(P36,P38,P40,P42,P44)=0,"NO",SUM(P36,P38,P40,P42,P44))</f>
        <v>NO</v>
      </c>
      <c r="Q35" s="3590" t="str">
        <f>IF(SUM(Q36,Q38,Q40,Q42,Q44)=0,"NO",SUM(Q36,Q38,Q40,Q42,Q44))</f>
        <v>NO</v>
      </c>
      <c r="R35" s="3590" t="str">
        <f>IF(SUM(R36,R38,R40,R42,R44)=0,"NO",SUM(R36,R38,R40,R42,R44))</f>
        <v>NO</v>
      </c>
      <c r="S35" s="3594">
        <f t="shared" si="48"/>
        <v>40.062000000000005</v>
      </c>
      <c r="U35" s="503"/>
    </row>
    <row r="36" spans="2:21" ht="18" customHeight="1" x14ac:dyDescent="0.2">
      <c r="B36" s="505" t="s">
        <v>1087</v>
      </c>
      <c r="C36" s="486"/>
      <c r="D36" s="3600">
        <f>D37</f>
        <v>38.319000000000003</v>
      </c>
      <c r="E36" s="3564">
        <f t="shared" ref="E36:F36" si="49">E37</f>
        <v>38.319000000000003</v>
      </c>
      <c r="F36" s="3565" t="str">
        <f t="shared" si="49"/>
        <v>IE</v>
      </c>
      <c r="G36" s="3558" t="str">
        <f t="shared" si="3"/>
        <v>NA</v>
      </c>
      <c r="H36" s="3078">
        <f t="shared" si="4"/>
        <v>-0.28513270179284428</v>
      </c>
      <c r="I36" s="3078">
        <f t="shared" si="5"/>
        <v>-0.28513270179284428</v>
      </c>
      <c r="J36" s="3078" t="str">
        <f t="shared" si="6"/>
        <v>NA</v>
      </c>
      <c r="K36" s="3573" t="str">
        <f t="shared" si="7"/>
        <v>NA</v>
      </c>
      <c r="L36" s="3128" t="str">
        <f t="shared" si="8"/>
        <v>NA</v>
      </c>
      <c r="M36" s="3505" t="str">
        <f t="shared" ref="M36:S36" si="50">M37</f>
        <v>IE</v>
      </c>
      <c r="N36" s="3506">
        <f t="shared" si="50"/>
        <v>-10.926</v>
      </c>
      <c r="O36" s="3506">
        <f t="shared" si="50"/>
        <v>-10.926</v>
      </c>
      <c r="P36" s="3506" t="str">
        <f t="shared" si="50"/>
        <v>NA</v>
      </c>
      <c r="Q36" s="3601" t="str">
        <f t="shared" si="50"/>
        <v>NA</v>
      </c>
      <c r="R36" s="3601" t="str">
        <f t="shared" si="50"/>
        <v>NA</v>
      </c>
      <c r="S36" s="3287">
        <f t="shared" si="50"/>
        <v>40.062000000000005</v>
      </c>
      <c r="U36" s="2402"/>
    </row>
    <row r="37" spans="2:21" ht="18" customHeight="1" x14ac:dyDescent="0.2">
      <c r="B37" s="1479"/>
      <c r="C37" s="885" t="s">
        <v>278</v>
      </c>
      <c r="D37" s="3600">
        <f>IF(SUM(E37:F37)=0,E37,SUM(E37:F37))</f>
        <v>38.319000000000003</v>
      </c>
      <c r="E37" s="3569">
        <v>38.319000000000003</v>
      </c>
      <c r="F37" s="3554" t="s">
        <v>2153</v>
      </c>
      <c r="G37" s="3622" t="str">
        <f t="shared" si="3"/>
        <v>NA</v>
      </c>
      <c r="H37" s="3591">
        <f t="shared" si="4"/>
        <v>-0.28513270179284428</v>
      </c>
      <c r="I37" s="3623">
        <f t="shared" si="5"/>
        <v>-0.28513270179284428</v>
      </c>
      <c r="J37" s="3591" t="str">
        <f t="shared" si="6"/>
        <v>NA</v>
      </c>
      <c r="K37" s="3591" t="str">
        <f t="shared" si="7"/>
        <v>NA</v>
      </c>
      <c r="L37" s="3595" t="str">
        <f t="shared" si="8"/>
        <v>NA</v>
      </c>
      <c r="M37" s="3624" t="s">
        <v>2153</v>
      </c>
      <c r="N37" s="3625">
        <v>-10.926</v>
      </c>
      <c r="O37" s="3109">
        <f t="shared" ref="O37" si="51">IF(SUM(M37:N37)=0,M37,SUM(M37:N37))</f>
        <v>-10.926</v>
      </c>
      <c r="P37" s="3625" t="s">
        <v>2147</v>
      </c>
      <c r="Q37" s="3626" t="s">
        <v>2147</v>
      </c>
      <c r="R37" s="3626" t="s">
        <v>2147</v>
      </c>
      <c r="S37" s="3570">
        <f t="shared" ref="S37" si="52">IF(SUM(O37:R37)=0,Q37,SUM(O37:R37)*-44/12)</f>
        <v>40.062000000000005</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1451.4745955045596</v>
      </c>
      <c r="E10" s="3583">
        <f t="shared" ref="E10:F10" si="0">IF(SUM(E11,E13)=0,"IE",SUM(E11,E13))</f>
        <v>1368.8193047909999</v>
      </c>
      <c r="F10" s="3584">
        <f t="shared" si="0"/>
        <v>82.655290713559609</v>
      </c>
      <c r="G10" s="3582" t="str">
        <f>IFERROR(IF(SUM($D10)=0,"NA",M10/$D10),"NA")</f>
        <v>NA</v>
      </c>
      <c r="H10" s="3583">
        <f t="shared" ref="H10:J10" si="1">IFERROR(IF(SUM($D10)=0,"NA",N10/$D10),"NA")</f>
        <v>-0.93678514750226238</v>
      </c>
      <c r="I10" s="3583">
        <f t="shared" si="1"/>
        <v>-0.93678514750226238</v>
      </c>
      <c r="J10" s="3583">
        <f t="shared" si="1"/>
        <v>-0.10002345789856838</v>
      </c>
      <c r="K10" s="3585">
        <f>IFERROR(IF(SUM(E10)=0,"NA",Q10/E10),"NA")</f>
        <v>-9.6779343867147927E-2</v>
      </c>
      <c r="L10" s="3584">
        <f>IFERROR(IF(SUM(F10)=0,"NA",R10/F10),"NA")</f>
        <v>0.84342974994127706</v>
      </c>
      <c r="M10" s="3586" t="str">
        <f>IF(SUM(M11,M13)=0,"IE",SUM(M11,M13))</f>
        <v>IE</v>
      </c>
      <c r="N10" s="3583">
        <f t="shared" ref="N10:S10" si="2">IF(SUM(N11,N13)=0,"IE",SUM(N11,N13))</f>
        <v>-1359.7198430455255</v>
      </c>
      <c r="O10" s="3587">
        <f t="shared" si="2"/>
        <v>-1359.7198430455255</v>
      </c>
      <c r="P10" s="3583">
        <f t="shared" si="2"/>
        <v>-145.1815080942919</v>
      </c>
      <c r="Q10" s="3585">
        <f t="shared" si="2"/>
        <v>-132.47343419035855</v>
      </c>
      <c r="R10" s="3585">
        <f t="shared" si="2"/>
        <v>69.713931177861141</v>
      </c>
      <c r="S10" s="3588">
        <f t="shared" si="2"/>
        <v>5748.0897985584879</v>
      </c>
      <c r="U10" s="2261"/>
    </row>
    <row r="11" spans="2:21" ht="18" customHeight="1" x14ac:dyDescent="0.2">
      <c r="B11" s="493" t="s">
        <v>993</v>
      </c>
      <c r="C11" s="2256"/>
      <c r="D11" s="3589">
        <f>D12</f>
        <v>987.09430479100001</v>
      </c>
      <c r="E11" s="3078">
        <f t="shared" ref="E11:F11" si="3">E12</f>
        <v>987.09430479100001</v>
      </c>
      <c r="F11" s="3078" t="str">
        <f t="shared" si="3"/>
        <v>IE</v>
      </c>
      <c r="G11" s="3558" t="str">
        <f t="shared" ref="G11:G24" si="4">IFERROR(IF(SUM($D11)=0,"NA",M11/$D11),"NA")</f>
        <v>NA</v>
      </c>
      <c r="H11" s="3078">
        <f t="shared" ref="H11:H24" si="5">IFERROR(IF(SUM($D11)=0,"NA",N11/$D11),"NA")</f>
        <v>-4.2757239277576358E-3</v>
      </c>
      <c r="I11" s="3078">
        <f t="shared" ref="I11:I24" si="6">IFERROR(IF(SUM($D11)=0,"NA",O11/$D11),"NA")</f>
        <v>-4.2757239277576358E-3</v>
      </c>
      <c r="J11" s="3078">
        <f t="shared" ref="J11:J24" si="7">IFERROR(IF(SUM($D11)=0,"NA",P11/$D11),"NA")</f>
        <v>-8.55144785551527E-4</v>
      </c>
      <c r="K11" s="3573">
        <f t="shared" ref="K11:K24" si="8">IFERROR(IF(SUM(E11)=0,"NA",Q11/E11),"NA")</f>
        <v>-3.420579142206108E-3</v>
      </c>
      <c r="L11" s="3128" t="str">
        <f t="shared" ref="L11:L24" si="9">IFERROR(IF(SUM(F11)=0,"NA",R11/F11),"NA")</f>
        <v>NA</v>
      </c>
      <c r="M11" s="3590" t="str">
        <f t="shared" ref="M11:S11" si="10">M12</f>
        <v>IE</v>
      </c>
      <c r="N11" s="3591">
        <f t="shared" si="10"/>
        <v>-4.2205427379481675</v>
      </c>
      <c r="O11" s="3592">
        <f t="shared" si="10"/>
        <v>-4.2205427379481675</v>
      </c>
      <c r="P11" s="3591">
        <f t="shared" si="10"/>
        <v>-0.84410854758963338</v>
      </c>
      <c r="Q11" s="3593">
        <f t="shared" si="10"/>
        <v>-3.3764341903585335</v>
      </c>
      <c r="R11" s="3593" t="str">
        <f t="shared" si="10"/>
        <v>IE</v>
      </c>
      <c r="S11" s="3594">
        <f t="shared" si="10"/>
        <v>30.950646744953229</v>
      </c>
      <c r="U11" s="2397"/>
    </row>
    <row r="12" spans="2:21" ht="18" customHeight="1" x14ac:dyDescent="0.2">
      <c r="B12" s="501"/>
      <c r="C12" s="885" t="s">
        <v>278</v>
      </c>
      <c r="D12" s="3600">
        <f>IF(SUM(E12:F12)=0,E12,SUM(E12:F12))</f>
        <v>987.09430479100001</v>
      </c>
      <c r="E12" s="3569">
        <v>987.09430479100001</v>
      </c>
      <c r="F12" s="3554" t="s">
        <v>2153</v>
      </c>
      <c r="G12" s="3558" t="str">
        <f t="shared" si="4"/>
        <v>NA</v>
      </c>
      <c r="H12" s="3078">
        <f t="shared" si="5"/>
        <v>-4.2757239277576358E-3</v>
      </c>
      <c r="I12" s="3078">
        <f t="shared" si="6"/>
        <v>-4.2757239277576358E-3</v>
      </c>
      <c r="J12" s="3078">
        <f t="shared" si="7"/>
        <v>-8.55144785551527E-4</v>
      </c>
      <c r="K12" s="3573">
        <f t="shared" si="8"/>
        <v>-3.420579142206108E-3</v>
      </c>
      <c r="L12" s="3128" t="str">
        <f t="shared" si="9"/>
        <v>NA</v>
      </c>
      <c r="M12" s="2905" t="s">
        <v>2153</v>
      </c>
      <c r="N12" s="2905">
        <v>-4.2205427379481675</v>
      </c>
      <c r="O12" s="3109">
        <f>IF(SUM(M12:N12)=0,M12,SUM(M12:N12))</f>
        <v>-4.2205427379481675</v>
      </c>
      <c r="P12" s="2905">
        <v>-0.84410854758963338</v>
      </c>
      <c r="Q12" s="2906">
        <v>-3.3764341903585335</v>
      </c>
      <c r="R12" s="2906" t="s">
        <v>2153</v>
      </c>
      <c r="S12" s="3570">
        <f>IF(SUM(O12:R12)=0,Q12,SUM(O12:R12)*-44/12)</f>
        <v>30.950646744953229</v>
      </c>
      <c r="U12" s="2398"/>
    </row>
    <row r="13" spans="2:21" ht="18" customHeight="1" x14ac:dyDescent="0.2">
      <c r="B13" s="493" t="s">
        <v>994</v>
      </c>
      <c r="C13" s="504"/>
      <c r="D13" s="3589">
        <f>IF(SUM(D14,D17,D19,D21,D23)=0,"IE",SUM(D14,D17,D19,D21,D23))</f>
        <v>464.38029071355965</v>
      </c>
      <c r="E13" s="3591">
        <f t="shared" ref="E13:S13" si="11">IF(SUM(E14,E17,E19,E21,E23)=0,"IE",SUM(E14,E17,E19,E21,E23))</f>
        <v>381.72500000000002</v>
      </c>
      <c r="F13" s="3595">
        <f t="shared" si="11"/>
        <v>82.655290713559609</v>
      </c>
      <c r="G13" s="3558" t="str">
        <f t="shared" si="4"/>
        <v>NA</v>
      </c>
      <c r="H13" s="3078">
        <f t="shared" si="5"/>
        <v>-2.9189423569737163</v>
      </c>
      <c r="I13" s="3078">
        <f t="shared" si="6"/>
        <v>-2.9189423569737163</v>
      </c>
      <c r="J13" s="3078">
        <f t="shared" si="7"/>
        <v>-0.31081723844247489</v>
      </c>
      <c r="K13" s="3573">
        <f t="shared" si="8"/>
        <v>-0.33819372584976093</v>
      </c>
      <c r="L13" s="3128">
        <f t="shared" si="9"/>
        <v>0.84342974994127706</v>
      </c>
      <c r="M13" s="3078" t="str">
        <f t="shared" si="11"/>
        <v>IE</v>
      </c>
      <c r="N13" s="3078">
        <f t="shared" si="11"/>
        <v>-1355.4993003075774</v>
      </c>
      <c r="O13" s="3078">
        <f t="shared" si="11"/>
        <v>-1355.4993003075774</v>
      </c>
      <c r="P13" s="3078">
        <f t="shared" si="11"/>
        <v>-144.33739954670227</v>
      </c>
      <c r="Q13" s="3573">
        <f t="shared" si="11"/>
        <v>-129.09700000000001</v>
      </c>
      <c r="R13" s="3573">
        <f t="shared" si="11"/>
        <v>69.713931177861141</v>
      </c>
      <c r="S13" s="3570">
        <f t="shared" si="11"/>
        <v>5717.1391518135351</v>
      </c>
      <c r="U13" s="2019"/>
    </row>
    <row r="14" spans="2:21" ht="18" customHeight="1" x14ac:dyDescent="0.2">
      <c r="B14" s="495" t="s">
        <v>1101</v>
      </c>
      <c r="C14" s="504"/>
      <c r="D14" s="3599">
        <f>IF(SUM(D15:D16)=0,"IE",SUM(D15:D16))</f>
        <v>464.38029071355965</v>
      </c>
      <c r="E14" s="3564">
        <f t="shared" ref="E14:F14" si="12">IF(SUM(E15:E16)=0,"IE",SUM(E15:E16))</f>
        <v>381.72500000000002</v>
      </c>
      <c r="F14" s="3565">
        <f t="shared" si="12"/>
        <v>82.655290713559609</v>
      </c>
      <c r="G14" s="3558" t="str">
        <f t="shared" si="4"/>
        <v>NA</v>
      </c>
      <c r="H14" s="3078">
        <f t="shared" si="5"/>
        <v>-2.9189423569737163</v>
      </c>
      <c r="I14" s="3078">
        <f t="shared" si="6"/>
        <v>-2.9189423569737163</v>
      </c>
      <c r="J14" s="3078">
        <f t="shared" si="7"/>
        <v>-0.31081723844247489</v>
      </c>
      <c r="K14" s="3573">
        <f t="shared" si="8"/>
        <v>-0.33819372584976093</v>
      </c>
      <c r="L14" s="3128">
        <f t="shared" si="9"/>
        <v>0.84342974994127706</v>
      </c>
      <c r="M14" s="3506" t="str">
        <f>IF(SUM(M15:M16)=0,"IE",SUM(M15:M16))</f>
        <v>IE</v>
      </c>
      <c r="N14" s="3506">
        <f t="shared" ref="N14:S14" si="13">IF(SUM(N15:N16)=0,"IE",SUM(N15:N16))</f>
        <v>-1355.4993003075774</v>
      </c>
      <c r="O14" s="3506">
        <f t="shared" si="13"/>
        <v>-1355.4993003075774</v>
      </c>
      <c r="P14" s="3506">
        <f t="shared" si="13"/>
        <v>-144.33739954670227</v>
      </c>
      <c r="Q14" s="3601">
        <f t="shared" si="13"/>
        <v>-129.09700000000001</v>
      </c>
      <c r="R14" s="3601">
        <f t="shared" si="13"/>
        <v>69.713931177861141</v>
      </c>
      <c r="S14" s="3287">
        <f t="shared" si="13"/>
        <v>5717.1391518135351</v>
      </c>
      <c r="U14" s="2019"/>
    </row>
    <row r="15" spans="2:21" ht="18" customHeight="1" x14ac:dyDescent="0.2">
      <c r="B15" s="496"/>
      <c r="C15" s="508" t="s">
        <v>2235</v>
      </c>
      <c r="D15" s="3600">
        <f>IF(SUM(E15:F15)=0,E15,SUM(E15:F15))</f>
        <v>82.655290713559609</v>
      </c>
      <c r="E15" s="3569" t="s">
        <v>2146</v>
      </c>
      <c r="F15" s="3554">
        <v>82.655290713559609</v>
      </c>
      <c r="G15" s="3558" t="str">
        <f t="shared" si="4"/>
        <v>NA</v>
      </c>
      <c r="H15" s="3078">
        <f t="shared" si="5"/>
        <v>-9.3641833889358388</v>
      </c>
      <c r="I15" s="3078">
        <f t="shared" si="6"/>
        <v>-9.3641833889358388</v>
      </c>
      <c r="J15" s="3078">
        <f t="shared" si="7"/>
        <v>-0.11014902334870991</v>
      </c>
      <c r="K15" s="3573" t="str">
        <f t="shared" si="8"/>
        <v>NA</v>
      </c>
      <c r="L15" s="3128">
        <f t="shared" si="9"/>
        <v>0.84342974994127706</v>
      </c>
      <c r="M15" s="2905" t="s">
        <v>2153</v>
      </c>
      <c r="N15" s="2905">
        <v>-773.99930030757764</v>
      </c>
      <c r="O15" s="3109">
        <f>IF(SUM(M15:N15)=0,M15,SUM(M15:N15))</f>
        <v>-773.99930030757764</v>
      </c>
      <c r="P15" s="2905">
        <v>-9.1043995467022825</v>
      </c>
      <c r="Q15" s="2906" t="s">
        <v>2146</v>
      </c>
      <c r="R15" s="2906">
        <v>69.713931177861141</v>
      </c>
      <c r="S15" s="3570">
        <f>IF(SUM(O15:R15)=0,Q15,SUM(O15:R15)*-44/12)</f>
        <v>2615.762485146869</v>
      </c>
      <c r="U15" s="2019"/>
    </row>
    <row r="16" spans="2:21" ht="18" customHeight="1" x14ac:dyDescent="0.2">
      <c r="B16" s="494"/>
      <c r="C16" s="508" t="s">
        <v>2236</v>
      </c>
      <c r="D16" s="3600">
        <f>IF(SUM(E16:F16)=0,E16,SUM(E16:F16))</f>
        <v>381.72500000000002</v>
      </c>
      <c r="E16" s="3569">
        <v>381.72500000000002</v>
      </c>
      <c r="F16" s="3554" t="s">
        <v>2153</v>
      </c>
      <c r="G16" s="3558" t="str">
        <f t="shared" si="4"/>
        <v>NA</v>
      </c>
      <c r="H16" s="3078">
        <f t="shared" si="5"/>
        <v>-1.5233479599187894</v>
      </c>
      <c r="I16" s="3078">
        <f t="shared" si="6"/>
        <v>-1.5233479599187894</v>
      </c>
      <c r="J16" s="3078">
        <f t="shared" si="7"/>
        <v>-0.3542681249590674</v>
      </c>
      <c r="K16" s="3573">
        <f t="shared" si="8"/>
        <v>-0.33819372584976093</v>
      </c>
      <c r="L16" s="3128" t="str">
        <f t="shared" si="9"/>
        <v>NA</v>
      </c>
      <c r="M16" s="2905" t="s">
        <v>2153</v>
      </c>
      <c r="N16" s="2905">
        <v>-581.49999999999989</v>
      </c>
      <c r="O16" s="3109">
        <f>IF(SUM(M16:N16)=0,M16,SUM(M16:N16))</f>
        <v>-581.49999999999989</v>
      </c>
      <c r="P16" s="2905">
        <v>-135.233</v>
      </c>
      <c r="Q16" s="2906">
        <v>-129.09700000000001</v>
      </c>
      <c r="R16" s="2906" t="s">
        <v>2153</v>
      </c>
      <c r="S16" s="3570">
        <f>IF(SUM(O16:R16)=0,Q16,SUM(O16:R16)*-44/12)</f>
        <v>3101.3766666666666</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63.801569746795323</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63.801569746795323</v>
      </c>
    </row>
    <row r="270" spans="2:10" ht="18" customHeight="1" x14ac:dyDescent="0.2">
      <c r="B270" s="2827" t="s">
        <v>1187</v>
      </c>
      <c r="C270" s="2828"/>
      <c r="D270" s="2808"/>
      <c r="E270" s="2809"/>
      <c r="F270" s="2810"/>
      <c r="G270" s="2811"/>
      <c r="H270" s="2819" t="s">
        <v>2154</v>
      </c>
      <c r="I270" s="2815" t="s">
        <v>2154</v>
      </c>
      <c r="J270" s="3741">
        <f>J277</f>
        <v>55.647855097836988</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554.94383852162582</v>
      </c>
      <c r="E277" s="2755" t="s">
        <v>2147</v>
      </c>
      <c r="F277" s="2753" t="s">
        <v>2147</v>
      </c>
      <c r="G277" s="3735">
        <f>IF(SUM(D277)=0,"NA",J277*1000/D277)</f>
        <v>100.2765527518663</v>
      </c>
      <c r="H277" s="2778" t="str">
        <f t="shared" ref="H277:J277" si="1">H302</f>
        <v>NE</v>
      </c>
      <c r="I277" s="2777" t="str">
        <f t="shared" si="1"/>
        <v>NE</v>
      </c>
      <c r="J277" s="3734">
        <f t="shared" si="1"/>
        <v>55.647855097836988</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290.46339751373921</v>
      </c>
      <c r="E281" s="2755" t="str">
        <f t="shared" si="2"/>
        <v>NA</v>
      </c>
      <c r="F281" s="2753" t="str">
        <f t="shared" si="2"/>
        <v>NA</v>
      </c>
      <c r="G281" s="3735">
        <f t="shared" si="2"/>
        <v>116.42395001862756</v>
      </c>
      <c r="H281" s="2780" t="str">
        <f t="shared" ref="H281" si="3">H306</f>
        <v>NA</v>
      </c>
      <c r="I281" s="2758" t="str">
        <f t="shared" ref="I281:J281" si="4">I306</f>
        <v>NA</v>
      </c>
      <c r="J281" s="3744">
        <f t="shared" si="4"/>
        <v>33.816896074380324</v>
      </c>
    </row>
    <row r="282" spans="2:10" ht="18" customHeight="1" outlineLevel="1" x14ac:dyDescent="0.2">
      <c r="B282" s="2847" t="str">
        <f>B307</f>
        <v>Other Constructed Water Bodies</v>
      </c>
      <c r="C282" s="2835" t="str">
        <f t="shared" si="2"/>
        <v>Other Constructed Water Bodies</v>
      </c>
      <c r="D282" s="3729">
        <f t="shared" si="2"/>
        <v>264.48044100788667</v>
      </c>
      <c r="E282" s="2755" t="str">
        <f t="shared" si="2"/>
        <v>NA</v>
      </c>
      <c r="F282" s="2753" t="str">
        <f t="shared" si="2"/>
        <v>NA</v>
      </c>
      <c r="G282" s="3735">
        <f t="shared" si="2"/>
        <v>82.542810879560193</v>
      </c>
      <c r="H282" s="2845" t="str">
        <f t="shared" ref="H282" si="5">H307</f>
        <v>NA</v>
      </c>
      <c r="I282" s="2846" t="str">
        <f t="shared" ref="I282:J282" si="6">I307</f>
        <v>NA</v>
      </c>
      <c r="J282" s="3744">
        <f t="shared" si="6"/>
        <v>21.830959023456664</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55.647855097836988</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554.94383852162582</v>
      </c>
      <c r="E302" s="2755" t="s">
        <v>2147</v>
      </c>
      <c r="F302" s="2753" t="s">
        <v>2147</v>
      </c>
      <c r="G302" s="3735">
        <f>IF(SUM(D302)=0,"NA",J302*1000/D302)</f>
        <v>100.2765527518663</v>
      </c>
      <c r="H302" s="2778" t="s">
        <v>2154</v>
      </c>
      <c r="I302" s="2777" t="s">
        <v>2154</v>
      </c>
      <c r="J302" s="3734">
        <f t="shared" ref="J302" si="7">IF(SUM(J306:J307)=0,"NO",SUM(J306:J307))</f>
        <v>55.647855097836988</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290.46339751373921</v>
      </c>
      <c r="E306" s="2755" t="s">
        <v>2147</v>
      </c>
      <c r="F306" s="2753" t="s">
        <v>2147</v>
      </c>
      <c r="G306" s="3735">
        <f>IF(SUM(D306)=0,"NA",J306*1000/D306)</f>
        <v>116.42395001862756</v>
      </c>
      <c r="H306" s="2780" t="s">
        <v>2147</v>
      </c>
      <c r="I306" s="2758" t="s">
        <v>2147</v>
      </c>
      <c r="J306" s="3744">
        <v>33.816896074380324</v>
      </c>
    </row>
    <row r="307" spans="2:10" ht="18" customHeight="1" outlineLevel="2" x14ac:dyDescent="0.2">
      <c r="B307" s="2847" t="s">
        <v>2245</v>
      </c>
      <c r="C307" s="2835" t="s">
        <v>2245</v>
      </c>
      <c r="D307" s="3732">
        <v>264.48044100788667</v>
      </c>
      <c r="E307" s="2755" t="s">
        <v>2147</v>
      </c>
      <c r="F307" s="2753" t="s">
        <v>2147</v>
      </c>
      <c r="G307" s="3735">
        <f>IF(SUM(D307)=0,"NA",J307*1000/D307)</f>
        <v>82.542810879560193</v>
      </c>
      <c r="H307" s="2780" t="s">
        <v>2147</v>
      </c>
      <c r="I307" s="2758" t="s">
        <v>2147</v>
      </c>
      <c r="J307" s="3744">
        <v>21.830959023456664</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8.1537146489583332</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37.173195833333338</v>
      </c>
      <c r="E327" s="2776" t="str">
        <f t="shared" ref="E327:J327" si="8">E331</f>
        <v>NA</v>
      </c>
      <c r="F327" s="2777" t="str">
        <f t="shared" si="8"/>
        <v>NA</v>
      </c>
      <c r="G327" s="3737">
        <f t="shared" si="8"/>
        <v>219.34392419515535</v>
      </c>
      <c r="H327" s="2778" t="str">
        <f t="shared" si="8"/>
        <v>IE</v>
      </c>
      <c r="I327" s="2777" t="str">
        <f t="shared" si="8"/>
        <v>NA</v>
      </c>
      <c r="J327" s="3734">
        <f t="shared" si="8"/>
        <v>8.1537146489583332</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37.173195833333338</v>
      </c>
      <c r="E331" s="2755" t="str">
        <f t="shared" si="9"/>
        <v>NA</v>
      </c>
      <c r="F331" s="2753" t="str">
        <f t="shared" si="9"/>
        <v>NA</v>
      </c>
      <c r="G331" s="3735">
        <f t="shared" si="9"/>
        <v>219.34392419515535</v>
      </c>
      <c r="H331" s="2765" t="str">
        <f t="shared" si="9"/>
        <v>IE</v>
      </c>
      <c r="I331" s="2758" t="str">
        <f t="shared" si="9"/>
        <v>NA</v>
      </c>
      <c r="J331" s="3744">
        <f t="shared" si="9"/>
        <v>8.1537146489583332</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8.1537146489583332</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37.173195833333338</v>
      </c>
      <c r="E411" s="2776" t="str">
        <f t="shared" ref="E411:J411" si="10">E415</f>
        <v>NA</v>
      </c>
      <c r="F411" s="2777" t="str">
        <f t="shared" si="10"/>
        <v>NA</v>
      </c>
      <c r="G411" s="3737">
        <f t="shared" si="10"/>
        <v>219.34392419515535</v>
      </c>
      <c r="H411" s="2778" t="str">
        <f t="shared" si="10"/>
        <v>IE</v>
      </c>
      <c r="I411" s="2777" t="str">
        <f t="shared" si="10"/>
        <v>NA</v>
      </c>
      <c r="J411" s="3734">
        <f t="shared" si="10"/>
        <v>8.1537146489583332</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37.173195833333338</v>
      </c>
      <c r="E415" s="2755" t="str">
        <f>E427</f>
        <v>NA</v>
      </c>
      <c r="F415" s="2753" t="str">
        <f>F427</f>
        <v>NA</v>
      </c>
      <c r="G415" s="3735">
        <f t="shared" ref="G415:J415" si="11">G427</f>
        <v>219.34392419515535</v>
      </c>
      <c r="H415" s="2780" t="str">
        <f t="shared" si="11"/>
        <v>IE</v>
      </c>
      <c r="I415" s="2758" t="str">
        <f t="shared" si="11"/>
        <v>NA</v>
      </c>
      <c r="J415" s="3744">
        <f t="shared" si="11"/>
        <v>8.1537146489583332</v>
      </c>
    </row>
    <row r="416" spans="2:10" ht="18" customHeight="1" outlineLevel="2" x14ac:dyDescent="0.2">
      <c r="B416" s="2842" t="s">
        <v>1199</v>
      </c>
      <c r="C416" s="2828"/>
      <c r="D416" s="3731"/>
      <c r="E416" s="2809"/>
      <c r="F416" s="2810"/>
      <c r="G416" s="3738"/>
      <c r="H416" s="2819" t="s">
        <v>2154</v>
      </c>
      <c r="I416" s="2815" t="s">
        <v>2154</v>
      </c>
      <c r="J416" s="3741">
        <f>J423</f>
        <v>8.1537146489583332</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37.173195833333338</v>
      </c>
      <c r="E423" s="2776" t="str">
        <f t="shared" ref="E423:J423" si="12">E427</f>
        <v>NA</v>
      </c>
      <c r="F423" s="2777" t="str">
        <f t="shared" si="12"/>
        <v>NA</v>
      </c>
      <c r="G423" s="3737">
        <f t="shared" si="12"/>
        <v>219.34392419515535</v>
      </c>
      <c r="H423" s="2778" t="str">
        <f t="shared" si="12"/>
        <v>IE</v>
      </c>
      <c r="I423" s="2777" t="str">
        <f t="shared" si="12"/>
        <v>NA</v>
      </c>
      <c r="J423" s="3734">
        <f t="shared" si="12"/>
        <v>8.1537146489583332</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37.173195833333338</v>
      </c>
      <c r="E427" s="2755" t="s">
        <v>2147</v>
      </c>
      <c r="F427" s="2753" t="s">
        <v>2147</v>
      </c>
      <c r="G427" s="3735">
        <f>IF(SUM(D427)=0,"NA",J427*1000/D427)</f>
        <v>219.34392419515535</v>
      </c>
      <c r="H427" s="2780" t="s">
        <v>2153</v>
      </c>
      <c r="I427" s="2758" t="s">
        <v>2147</v>
      </c>
      <c r="J427" s="3744">
        <v>8.1537146489583332</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657076.34336904157</v>
      </c>
      <c r="D10" s="4332">
        <f>IF(SUM(D11,D20,D28,D37,D46,D55)=0,"NO",SUM(D11,D20,D28,D37,D46,D55))</f>
        <v>59419.383341429726</v>
      </c>
      <c r="E10" s="4333">
        <f t="shared" ref="E10:E12" si="0">IF(SUM(C10)=0,"NA",G10/C10*1000/(44/28))</f>
        <v>1.6558452336837655E-3</v>
      </c>
      <c r="F10" s="4332">
        <f t="shared" ref="F10:F11" si="1">IF(SUM(D10)=0,"NA",H10/D10*1000/(44/28))</f>
        <v>7.4999999999999997E-3</v>
      </c>
      <c r="G10" s="4331">
        <f>IF(SUM(G11,G20,G28,G37,G46,G55)=0,"NO",SUM(G11,G20,G28,G37,G46,G55))</f>
        <v>1.7097405778105474</v>
      </c>
      <c r="H10" s="4334">
        <f>IF(SUM(H11,H20,H28,H37,H46,H55)=0,"NO",SUM(H11,H20,H28,H37,H46,H55))</f>
        <v>0.7002998750954218</v>
      </c>
      <c r="I10" s="4335">
        <f t="shared" ref="I10:I11" si="2">IF(SUM(G10:H10)=0,"NO",SUM(G10:H10))</f>
        <v>2.4100404529059691</v>
      </c>
    </row>
    <row r="11" spans="2:10" ht="18" customHeight="1" x14ac:dyDescent="0.2">
      <c r="B11" s="2848" t="s">
        <v>1901</v>
      </c>
      <c r="C11" s="4336">
        <f>IF(SUM(C12:C13)=0,"NO",SUM(C12:C13))</f>
        <v>131083.0118263179</v>
      </c>
      <c r="D11" s="4337">
        <f>IF(SUM(D12:D13)=0,"NO",SUM(D12:D13))</f>
        <v>19453.448800846199</v>
      </c>
      <c r="E11" s="4336">
        <f t="shared" si="0"/>
        <v>2.1494217457900667E-3</v>
      </c>
      <c r="F11" s="4337">
        <f t="shared" si="1"/>
        <v>7.4999999999999997E-3</v>
      </c>
      <c r="G11" s="4336">
        <f>IF(SUM(G12:G13)=0,"NO",SUM(G12:G13))</f>
        <v>0.44275420533636944</v>
      </c>
      <c r="H11" s="4338">
        <f>IF(SUM(H12:H13)=0,"NO",SUM(H12:H13))</f>
        <v>0.22927278943854448</v>
      </c>
      <c r="I11" s="4337">
        <f t="shared" si="2"/>
        <v>0.6720269947749139</v>
      </c>
    </row>
    <row r="12" spans="2:10" ht="18" customHeight="1" x14ac:dyDescent="0.2">
      <c r="B12" s="914" t="s">
        <v>1228</v>
      </c>
      <c r="C12" s="4339">
        <f>Table4.A!E11</f>
        <v>122274.763067783</v>
      </c>
      <c r="D12" s="4340">
        <f>H12/F12*1000/(44/28)</f>
        <v>7433.6885273808839</v>
      </c>
      <c r="E12" s="4341">
        <f t="shared" si="0"/>
        <v>5.5338872923240182E-4</v>
      </c>
      <c r="F12" s="4342">
        <v>7.4999999999999997E-3</v>
      </c>
      <c r="G12" s="4339">
        <v>0.10633146189485829</v>
      </c>
      <c r="H12" s="4343">
        <v>8.7611329072703276E-2</v>
      </c>
      <c r="I12" s="4344">
        <f>IF(SUM(G12:H12)=0,"NO",SUM(G12:H12))</f>
        <v>0.19394279096756156</v>
      </c>
    </row>
    <row r="13" spans="2:10" ht="18" customHeight="1" x14ac:dyDescent="0.2">
      <c r="B13" s="914" t="s">
        <v>1902</v>
      </c>
      <c r="C13" s="4345">
        <f>IF(SUM(C15:C19)=0,"NO",SUM(C15:C19))</f>
        <v>8808.2487585349063</v>
      </c>
      <c r="D13" s="4344">
        <f>IF(SUM(D15:D19)=0,"NO",SUM(D15:D19))</f>
        <v>12019.760273465316</v>
      </c>
      <c r="E13" s="4345">
        <f>IF(SUM(C13)=0,"NA",G13/C13*1000/(44/28))</f>
        <v>2.430530815384014E-2</v>
      </c>
      <c r="F13" s="4344">
        <f>IF(SUM(D13)=0,"NA",H13/D13*1000/(44/28))</f>
        <v>7.4999999999999997E-3</v>
      </c>
      <c r="G13" s="4345">
        <f>IF(SUM(G15:G19)=0,"NO",SUM(G15:G19))</f>
        <v>0.33642274344151119</v>
      </c>
      <c r="H13" s="4346">
        <f>IF(SUM(H15:H19)=0,"NO",SUM(H15:H19))</f>
        <v>0.14166146036584121</v>
      </c>
      <c r="I13" s="4344">
        <f>IF(SUM(G13:H13)=0,"NO",SUM(G13:H13))</f>
        <v>0.47808420380735239</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54.149000000000001</v>
      </c>
      <c r="D15" s="4340">
        <f>H15/F15*1000/(44/28)</f>
        <v>81.650453094223806</v>
      </c>
      <c r="E15" s="4345">
        <f>IF(SUM(C15)=0,"NA",G15/C15*1000/(44/28))</f>
        <v>3.526350132658651E-2</v>
      </c>
      <c r="F15" s="4342">
        <v>7.4999999999999997E-3</v>
      </c>
      <c r="G15" s="4350">
        <v>3.0006166666666661E-3</v>
      </c>
      <c r="H15" s="4351">
        <v>9.6230891146763763E-4</v>
      </c>
      <c r="I15" s="4344">
        <f>IF(SUM(G15:H15)=0,"NO",SUM(G15:H15))</f>
        <v>3.9629255781343034E-3</v>
      </c>
    </row>
    <row r="16" spans="2:10" ht="18" customHeight="1" x14ac:dyDescent="0.2">
      <c r="B16" s="528" t="s">
        <v>1230</v>
      </c>
      <c r="C16" s="4350">
        <f>Table4.A!E19</f>
        <v>8707.528758534907</v>
      </c>
      <c r="D16" s="4340">
        <f>H16/F16*1000/(44/28)</f>
        <v>11811.708725932</v>
      </c>
      <c r="E16" s="4345">
        <f t="shared" ref="E16:E21" si="3">IF(SUM(C16)=0,"NA",G16/C16*1000/(44/28))</f>
        <v>2.4035694417515224E-2</v>
      </c>
      <c r="F16" s="4342">
        <v>7.4999999999999997E-3</v>
      </c>
      <c r="G16" s="4350">
        <v>0.3288866434415112</v>
      </c>
      <c r="H16" s="4351">
        <v>0.13920942426991284</v>
      </c>
      <c r="I16" s="4344">
        <f t="shared" ref="I16:I21" si="4">IF(SUM(G16:H16)=0,"NO",SUM(G16:H16))</f>
        <v>0.46809606771142404</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46.570999999999998</v>
      </c>
      <c r="D18" s="4340">
        <f>H18/F18*1000/(44/28)</f>
        <v>126.40109443909165</v>
      </c>
      <c r="E18" s="4345">
        <f t="shared" si="3"/>
        <v>6.197454782303722E-2</v>
      </c>
      <c r="F18" s="4342">
        <v>7.4999999999999997E-3</v>
      </c>
      <c r="G18" s="4350">
        <v>4.535483333333333E-3</v>
      </c>
      <c r="H18" s="4351">
        <v>1.4897271844607229E-3</v>
      </c>
      <c r="I18" s="4344">
        <f t="shared" si="4"/>
        <v>6.0252105177940555E-3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2276.2689999999998</v>
      </c>
      <c r="D20" s="4360">
        <f>D21</f>
        <v>3264.5138003570078</v>
      </c>
      <c r="E20" s="4359">
        <f t="shared" si="3"/>
        <v>2.958052555885677E-2</v>
      </c>
      <c r="F20" s="4360">
        <f t="shared" si="5"/>
        <v>7.4999999999999997E-3</v>
      </c>
      <c r="G20" s="4359">
        <f>G21</f>
        <v>0.10580936666666667</v>
      </c>
      <c r="H20" s="4361">
        <f>H21</f>
        <v>3.8474626932779019E-2</v>
      </c>
      <c r="I20" s="4360">
        <f t="shared" si="4"/>
        <v>0.14428399359944569</v>
      </c>
    </row>
    <row r="21" spans="2:9" ht="18" customHeight="1" x14ac:dyDescent="0.2">
      <c r="B21" s="914" t="s">
        <v>1904</v>
      </c>
      <c r="C21" s="4345">
        <f>IF(SUM(C23:C27)=0,"NO",SUM(C23:C27))</f>
        <v>2276.2689999999998</v>
      </c>
      <c r="D21" s="4344">
        <f>IF(SUM(D23:D27)=0,"NO",SUM(D23:D27))</f>
        <v>3264.5138003570078</v>
      </c>
      <c r="E21" s="4345">
        <f t="shared" si="3"/>
        <v>2.958052555885677E-2</v>
      </c>
      <c r="F21" s="4344">
        <f t="shared" si="5"/>
        <v>7.4999999999999997E-3</v>
      </c>
      <c r="G21" s="4345">
        <f>IF(SUM(G23:G27)=0,"NO",SUM(G23:G27))</f>
        <v>0.10580936666666667</v>
      </c>
      <c r="H21" s="4346">
        <f>IF(SUM(H23:H27)=0,"NO",SUM(H23:H27))</f>
        <v>3.8474626932779019E-2</v>
      </c>
      <c r="I21" s="4344">
        <f t="shared" si="4"/>
        <v>0.14428399359944569</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2276.2689999999998</v>
      </c>
      <c r="D23" s="4340">
        <f>H23/F23*1000/(44/28)</f>
        <v>3264.5138003570078</v>
      </c>
      <c r="E23" s="4345">
        <f>IF(SUM(C23)=0,"NA",G23/C23*1000/(44/28))</f>
        <v>2.958052555885677E-2</v>
      </c>
      <c r="F23" s="4342">
        <v>7.4999999999999997E-3</v>
      </c>
      <c r="G23" s="4350">
        <v>0.10580936666666667</v>
      </c>
      <c r="H23" s="4351">
        <v>3.8474626932779019E-2</v>
      </c>
      <c r="I23" s="4344">
        <f>IF(SUM(G23:H23)=0,"NO",SUM(G23:H23))</f>
        <v>0.14428399359944569</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522348.24323793262</v>
      </c>
      <c r="D28" s="4337">
        <f>IF(SUM(D29:D30)=0,"NO",SUM(D29:D30))</f>
        <v>36037.322774741151</v>
      </c>
      <c r="E28" s="4336">
        <f t="shared" si="6"/>
        <v>1.3849809767160889E-3</v>
      </c>
      <c r="F28" s="4337">
        <f t="shared" si="7"/>
        <v>7.4999999999999997E-3</v>
      </c>
      <c r="G28" s="4336">
        <f>IF(SUM(G29:G30)=0,"NO",SUM(G29:G30))</f>
        <v>1.1368380258802366</v>
      </c>
      <c r="H28" s="4338">
        <f>IF(SUM(H29:H30)=0,"NO",SUM(H29:H30))</f>
        <v>0.42472558984516356</v>
      </c>
      <c r="I28" s="4360">
        <f t="shared" si="8"/>
        <v>1.5615636157254003</v>
      </c>
    </row>
    <row r="29" spans="2:9" ht="18" customHeight="1" x14ac:dyDescent="0.2">
      <c r="B29" s="914" t="s">
        <v>1239</v>
      </c>
      <c r="C29" s="4339">
        <f>Table4.C!E11</f>
        <v>508825.58572813898</v>
      </c>
      <c r="D29" s="4340">
        <f>H29/F29*1000/(44/28)</f>
        <v>26174.541932806471</v>
      </c>
      <c r="E29" s="4341">
        <f t="shared" si="6"/>
        <v>7.4973606938218314E-4</v>
      </c>
      <c r="F29" s="4342">
        <v>7.4999999999999997E-3</v>
      </c>
      <c r="G29" s="4339">
        <v>0.59947626301341739</v>
      </c>
      <c r="H29" s="4343">
        <v>0.30848567277950484</v>
      </c>
      <c r="I29" s="4344">
        <f t="shared" si="8"/>
        <v>0.90796193579292228</v>
      </c>
    </row>
    <row r="30" spans="2:9" ht="18" customHeight="1" x14ac:dyDescent="0.2">
      <c r="B30" s="914" t="s">
        <v>1906</v>
      </c>
      <c r="C30" s="4345">
        <f>IF(SUM(C32:C36)=0,"NO",SUM(C32:C36))</f>
        <v>13522.657509793622</v>
      </c>
      <c r="D30" s="4344">
        <f>IF(SUM(D32:D36)=0,"NO",SUM(D32:D36))</f>
        <v>9862.7808419346802</v>
      </c>
      <c r="E30" s="4345">
        <f>IF(SUM(C30)=0,"NA",G30/C30*1000/(44/28))</f>
        <v>2.5287742828141915E-2</v>
      </c>
      <c r="F30" s="4344">
        <f>IF(SUM(D30)=0,"NA",H30/D30*1000/(44/28))</f>
        <v>7.4999999999999997E-3</v>
      </c>
      <c r="G30" s="4345">
        <f>IF(SUM(G32:G36)=0,"NO",SUM(G32:G36))</f>
        <v>0.53736176286681914</v>
      </c>
      <c r="H30" s="4346">
        <f>IF(SUM(H32:H36)=0,"NO",SUM(H32:H36))</f>
        <v>0.11623991706565871</v>
      </c>
      <c r="I30" s="4344">
        <f t="shared" si="8"/>
        <v>0.65360167993247786</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13522.657509793622</v>
      </c>
      <c r="D32" s="4340">
        <f>H32/F32*1000/(44/28)</f>
        <v>9862.7808419346802</v>
      </c>
      <c r="E32" s="4345">
        <f>IF(SUM(C32)=0,"NA",G32/C32*1000/(44/28))</f>
        <v>2.5287742828141915E-2</v>
      </c>
      <c r="F32" s="4342">
        <v>7.4999999999999997E-3</v>
      </c>
      <c r="G32" s="4350">
        <v>0.53736176286681914</v>
      </c>
      <c r="H32" s="4351">
        <v>0.11623991706565871</v>
      </c>
      <c r="I32" s="4344">
        <f t="shared" si="8"/>
        <v>0.65360167993247786</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1368.8193047909999</v>
      </c>
      <c r="D46" s="4337">
        <f>IF(SUM(D47:D48)=0,"NO",SUM(D47:D48))</f>
        <v>664.09796548537463</v>
      </c>
      <c r="E46" s="4336">
        <f t="shared" si="11"/>
        <v>1.1315183616779094E-2</v>
      </c>
      <c r="F46" s="4337">
        <f t="shared" si="12"/>
        <v>7.4999999999999997E-3</v>
      </c>
      <c r="G46" s="4336">
        <f>IF(SUM(G47:G48)=0,"NO",SUM(G47:G48))</f>
        <v>2.4338979927274688E-2</v>
      </c>
      <c r="H46" s="4338">
        <f>IF(SUM(H47:H48)=0,"NO",SUM(H47:H48))</f>
        <v>7.8268688789347729E-3</v>
      </c>
      <c r="I46" s="4337">
        <f t="shared" si="8"/>
        <v>3.2165848806209457E-2</v>
      </c>
    </row>
    <row r="47" spans="2:9" ht="18" customHeight="1" x14ac:dyDescent="0.2">
      <c r="B47" s="914" t="s">
        <v>1251</v>
      </c>
      <c r="C47" s="4339">
        <f>Table4.E!E11</f>
        <v>987.09430479100001</v>
      </c>
      <c r="D47" s="4340">
        <f>H47/F47*1000/(44/28)</f>
        <v>31.44147171387252</v>
      </c>
      <c r="E47" s="4341">
        <f t="shared" si="11"/>
        <v>4.3270952244613066E-4</v>
      </c>
      <c r="F47" s="4342">
        <v>7.4999999999999997E-3</v>
      </c>
      <c r="G47" s="4339">
        <v>6.7119659394135681E-4</v>
      </c>
      <c r="H47" s="4343">
        <v>3.7056020234206897E-4</v>
      </c>
      <c r="I47" s="4344">
        <f t="shared" si="8"/>
        <v>1.0417567962834257E-3</v>
      </c>
    </row>
    <row r="48" spans="2:9" ht="18" customHeight="1" x14ac:dyDescent="0.2">
      <c r="B48" s="914" t="s">
        <v>1910</v>
      </c>
      <c r="C48" s="4345">
        <f>IF(SUM(C50:C54)=0,"NO",SUM(C50:C54))</f>
        <v>381.72500000000002</v>
      </c>
      <c r="D48" s="4344">
        <f>IF(SUM(D50:D54)=0,"NO",SUM(D50:D54))</f>
        <v>632.65649377150214</v>
      </c>
      <c r="E48" s="4345">
        <f>IF(SUM(C48)=0,"NA",G48/C48*1000/(44/28))</f>
        <v>3.9455934682472105E-2</v>
      </c>
      <c r="F48" s="4344">
        <f>IF(SUM(D48)=0,"NA",H48/D48*1000/(44/28))</f>
        <v>7.4999999999999997E-3</v>
      </c>
      <c r="G48" s="4345">
        <f>IF(SUM(G50:G54)=0,"NO",SUM(G50:G54))</f>
        <v>2.3667783333333331E-2</v>
      </c>
      <c r="H48" s="4346">
        <f>IF(SUM(H50:H54)=0,"NO",SUM(H50:H54))</f>
        <v>7.4563086765927038E-3</v>
      </c>
      <c r="I48" s="4344">
        <f t="shared" si="8"/>
        <v>3.1124092009926035E-2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381.72500000000002</v>
      </c>
      <c r="D50" s="4340">
        <f>H50/F50*1000/(44/28)</f>
        <v>632.65649377150214</v>
      </c>
      <c r="E50" s="4345">
        <f>IF(SUM(C50)=0,"NA",G50/C50*1000/(44/28))</f>
        <v>3.9455934682472105E-2</v>
      </c>
      <c r="F50" s="4342">
        <v>7.4999999999999997E-3</v>
      </c>
      <c r="G50" s="4350">
        <v>2.3667783333333331E-2</v>
      </c>
      <c r="H50" s="4351">
        <v>7.4563086765927038E-3</v>
      </c>
      <c r="I50" s="4344">
        <f t="shared" si="8"/>
        <v>3.1124092009926035E-2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5169923.593073369</v>
      </c>
      <c r="D10" s="3076" t="s">
        <v>1814</v>
      </c>
      <c r="E10" s="628"/>
      <c r="F10" s="628"/>
      <c r="G10" s="628"/>
      <c r="H10" s="1913">
        <f>IF(SUM(H11:H15)=0,"NO",SUM(H11:H15))</f>
        <v>365635.60767060495</v>
      </c>
      <c r="I10" s="1913">
        <f t="shared" ref="I10:K10" si="0">IF(SUM(I11:I16)=0,"NO",SUM(I11:I16))</f>
        <v>82.703649507558566</v>
      </c>
      <c r="J10" s="1913">
        <f t="shared" si="0"/>
        <v>12.610587956384448</v>
      </c>
      <c r="K10" s="3085" t="str">
        <f t="shared" si="0"/>
        <v>NO</v>
      </c>
    </row>
    <row r="11" spans="2:11" ht="18" customHeight="1" x14ac:dyDescent="0.2">
      <c r="B11" s="282" t="s">
        <v>132</v>
      </c>
      <c r="C11" s="3086">
        <f>IF(SUM(C18,'Table1.A(a)s2'!C11,'Table1.A(a)s3'!C11,'Table1.A(a)s4'!C11,'Table1.A(a)s4'!C94)=0,"NO",SUM(C18,'Table1.A(a)s2'!C11,'Table1.A(a)s3'!C11,'Table1.A(a)s4'!C11,'Table1.A(a)s4'!C94))</f>
        <v>1692993.0091664924</v>
      </c>
      <c r="D11" s="3077" t="s">
        <v>2145</v>
      </c>
      <c r="E11" s="1913">
        <f>IFERROR(H11*1000/$C11,"NA")</f>
        <v>68.167706863386684</v>
      </c>
      <c r="F11" s="1913">
        <f t="shared" ref="F11:G16" si="1">IFERROR(I11*1000000/$C11,"NA")</f>
        <v>12.870281161176742</v>
      </c>
      <c r="G11" s="1913">
        <f t="shared" si="1"/>
        <v>4.6040913576303444</v>
      </c>
      <c r="H11" s="1913">
        <f>IF(SUM(H18,'Table1.A(a)s2'!H11,'Table1.A(a)s3'!H11,'Table1.A(a)s4'!H11,'Table1.A(a)s4'!H94)=0,"NO",SUM(H18,'Table1.A(a)s2'!H11,'Table1.A(a)s3'!H11,'Table1.A(a)s4'!H11,'Table1.A(a)s4'!H94))</f>
        <v>115407.45117062438</v>
      </c>
      <c r="I11" s="1913">
        <f>IF(SUM(I18,'Table1.A(a)s2'!I11,'Table1.A(a)s3'!I11,'Table1.A(a)s4'!I11,'Table1.A(a)s4'!I94)=0,"NO",SUM(I18,'Table1.A(a)s2'!I11,'Table1.A(a)s3'!I11,'Table1.A(a)s4'!I11,'Table1.A(a)s4'!I94))</f>
        <v>21.789296031879427</v>
      </c>
      <c r="J11" s="1913">
        <f>IF(SUM(J18,'Table1.A(a)s2'!J11,'Table1.A(a)s3'!J11,'Table1.A(a)s4'!J11,'Table1.A(a)s4'!J94)=0,"NO",SUM(J18,'Table1.A(a)s2'!J11,'Table1.A(a)s3'!J11,'Table1.A(a)s4'!J11,'Table1.A(a)s4'!J94))</f>
        <v>7.7946944820320381</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2135494.9066331568</v>
      </c>
      <c r="D12" s="3077" t="s">
        <v>1814</v>
      </c>
      <c r="E12" s="1913">
        <f t="shared" ref="E12:E16" si="2">IFERROR(H12*1000/$C12,"NA")</f>
        <v>90.002123398902199</v>
      </c>
      <c r="F12" s="1913">
        <f t="shared" si="1"/>
        <v>0.68475613153841419</v>
      </c>
      <c r="G12" s="1913">
        <f t="shared" si="1"/>
        <v>1.293346912368369</v>
      </c>
      <c r="H12" s="1913">
        <f>IF(SUM(H19,'Table1.A(a)s2'!H12,'Table1.A(a)s3'!H12,'Table1.A(a)s4'!H12,'Table1.A(a)s4'!H95)=0,"NO",SUM(H19,'Table1.A(a)s2'!H12,'Table1.A(a)s3'!H12,'Table1.A(a)s4'!H12,'Table1.A(a)s4'!H95))</f>
        <v>192199.07610452452</v>
      </c>
      <c r="I12" s="1913">
        <f>IF(SUM(I19,'Table1.A(a)s2'!I12,'Table1.A(a)s3'!I12,'Table1.A(a)s4'!I12,'Table1.A(a)s4'!I95)=0,"NO",SUM(I19,'Table1.A(a)s2'!I12,'Table1.A(a)s3'!I12,'Table1.A(a)s4'!I12,'Table1.A(a)s4'!I95))</f>
        <v>1.4622932311861074</v>
      </c>
      <c r="J12" s="1913">
        <f>IF(SUM(J19,'Table1.A(a)s2'!J12,'Table1.A(a)s3'!J12,'Table1.A(a)s4'!J12,'Table1.A(a)s4'!J95)=0,"NO",SUM(J19,'Table1.A(a)s2'!J12,'Table1.A(a)s3'!J12,'Table1.A(a)s4'!J12,'Table1.A(a)s4'!J95))</f>
        <v>2.7619357438723715</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1114514.7765422952</v>
      </c>
      <c r="D13" s="3077" t="s">
        <v>2145</v>
      </c>
      <c r="E13" s="1913">
        <f t="shared" si="2"/>
        <v>51.46796246578004</v>
      </c>
      <c r="F13" s="1913">
        <f t="shared" si="1"/>
        <v>9.2029454524887786</v>
      </c>
      <c r="G13" s="1913">
        <f t="shared" si="1"/>
        <v>0.93504139122253527</v>
      </c>
      <c r="H13" s="1913">
        <f>IF(SUM(H20,'Table1.A(a)s2'!H13,'Table1.A(a)s3'!H13,'Table1.A(a)s4'!H13,'Table1.A(a)s4'!H96)=0,"NO",SUM(H20,'Table1.A(a)s2'!H13,'Table1.A(a)s3'!H13,'Table1.A(a)s4'!H13,'Table1.A(a)s4'!H96))</f>
        <v>57361.804686636082</v>
      </c>
      <c r="I13" s="1913">
        <f>IF(SUM(I20,'Table1.A(a)s2'!I13,'Table1.A(a)s3'!I13,'Table1.A(a)s4'!I13,'Table1.A(a)s4'!I96)=0,"NO",SUM(I20,'Table1.A(a)s2'!I13,'Table1.A(a)s3'!I13,'Table1.A(a)s4'!I13,'Table1.A(a)s4'!I96))</f>
        <v>10.256818694511464</v>
      </c>
      <c r="J13" s="1913">
        <f>IF(SUM(J20,'Table1.A(a)s2'!J13,'Table1.A(a)s3'!J13,'Table1.A(a)s4'!J13,'Table1.A(a)s4'!J96)=0,"NO",SUM(J20,'Table1.A(a)s2'!J13,'Table1.A(a)s3'!J13,'Table1.A(a)s4'!J13,'Table1.A(a)s4'!J96))</f>
        <v>1.0421174471961807</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7417.403940245159</v>
      </c>
      <c r="D14" s="3077" t="s">
        <v>2145</v>
      </c>
      <c r="E14" s="1913">
        <f t="shared" si="2"/>
        <v>89.960815697185211</v>
      </c>
      <c r="F14" s="1913">
        <f t="shared" si="1"/>
        <v>31.924916305983647</v>
      </c>
      <c r="G14" s="1913">
        <f t="shared" si="1"/>
        <v>0.99765363456198897</v>
      </c>
      <c r="H14" s="1913">
        <f>IF(SUM(H21,'Table1.A(a)s2'!H14,'Table1.A(a)s3'!H14,'Table1.A(a)s4'!H14,'Table1.A(a)s4'!H97)=0,"NO",SUM(H21,'Table1.A(a)s2'!H14,'Table1.A(a)s3'!H14,'Table1.A(a)s4'!H14,'Table1.A(a)s4'!H97))</f>
        <v>667.27570881997019</v>
      </c>
      <c r="I14" s="1913">
        <f>IF(SUM(I21,'Table1.A(a)s2'!I14,'Table1.A(a)s3'!I14,'Table1.A(a)s4'!I14,'Table1.A(a)s4'!I97)=0,"NO",SUM(I21,'Table1.A(a)s2'!I14,'Table1.A(a)s3'!I14,'Table1.A(a)s4'!I14,'Table1.A(a)s4'!I97))</f>
        <v>0.23680000000000004</v>
      </c>
      <c r="J14" s="1913">
        <f>IF(SUM(J21,'Table1.A(a)s2'!J14,'Table1.A(a)s3'!J14,'Table1.A(a)s4'!J14,'Table1.A(a)s4'!J97)=0,"NO",SUM(J21,'Table1.A(a)s2'!J14,'Table1.A(a)s3'!J14,'Table1.A(a)s4'!J14,'Table1.A(a)s4'!J97))</f>
        <v>7.4000000000000012E-3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219503.49679117952</v>
      </c>
      <c r="D16" s="3079" t="s">
        <v>2145</v>
      </c>
      <c r="E16" s="2880">
        <f t="shared" si="2"/>
        <v>87.809841315610058</v>
      </c>
      <c r="F16" s="1913">
        <f t="shared" si="1"/>
        <v>223.04173858586518</v>
      </c>
      <c r="G16" s="1913">
        <f t="shared" si="1"/>
        <v>4.5759648386805081</v>
      </c>
      <c r="H16" s="2880">
        <f>IF(SUM(H23,'Table1.A(a)s2'!H16,'Table1.A(a)s3'!H15,'Table1.A(a)s4'!H16,'Table1.A(a)s4'!H99)=0,"NO",SUM(H23,'Table1.A(a)s2'!H16,'Table1.A(a)s3'!H15,'Table1.A(a)s4'!H16,'Table1.A(a)s4'!H99))</f>
        <v>19274.567221454996</v>
      </c>
      <c r="I16" s="2880">
        <f>IF(SUM(I23,'Table1.A(a)s2'!I16,'Table1.A(a)s3'!I15,'Table1.A(a)s4'!I16,'Table1.A(a)s4'!I99)=0,"NO",SUM(I23,'Table1.A(a)s2'!I16,'Table1.A(a)s3'!I15,'Table1.A(a)s4'!I16,'Table1.A(a)s4'!I99))</f>
        <v>48.958441549981558</v>
      </c>
      <c r="J16" s="2880">
        <f>IF(SUM(J23,'Table1.A(a)s2'!J16,'Table1.A(a)s3'!J15,'Table1.A(a)s4'!J16,'Table1.A(a)s4'!J99)=0,"NO",SUM(J23,'Table1.A(a)s2'!J16,'Table1.A(a)s3'!J15,'Table1.A(a)s4'!J16,'Table1.A(a)s4'!J99))</f>
        <v>1.0044402832838573</v>
      </c>
      <c r="K16" s="3066" t="str">
        <f>IF(SUM(K23,'Table1.A(a)s2'!K16,'Table1.A(a)s3'!K15,'Table1.A(a)s4'!K16,'Table1.A(a)s4'!K99)=0,"NO",SUM(K23,'Table1.A(a)s2'!K16,'Table1.A(a)s3'!K15,'Table1.A(a)s4'!K16,'Table1.A(a)s4'!K99))</f>
        <v>NO</v>
      </c>
    </row>
    <row r="17" spans="2:12" ht="18" customHeight="1" x14ac:dyDescent="0.2">
      <c r="B17" s="2184" t="s">
        <v>76</v>
      </c>
      <c r="C17" s="3067">
        <f>IF(SUM(C18:C23)=0,"NO",SUM(C18:C23))</f>
        <v>2776413.9552752399</v>
      </c>
      <c r="D17" s="3080" t="s">
        <v>1814</v>
      </c>
      <c r="E17" s="3081"/>
      <c r="F17" s="3081"/>
      <c r="G17" s="3081"/>
      <c r="H17" s="3067">
        <f>IF(SUM(H18:H22)=0,"NO",SUM(H18:H22))</f>
        <v>222727.89215060009</v>
      </c>
      <c r="I17" s="3067">
        <f t="shared" ref="I17" si="3">IF(SUM(I18:I23)=0,"NO",SUM(I18:I23))</f>
        <v>12.976423252243976</v>
      </c>
      <c r="J17" s="3067">
        <f t="shared" ref="J17" si="4">IF(SUM(J18:J23)=0,"NO",SUM(J18:J23))</f>
        <v>3.7612196537347935</v>
      </c>
      <c r="K17" s="3068" t="str">
        <f t="shared" ref="K17" si="5">IF(SUM(K18:K23)=0,"NO",SUM(K18:K23))</f>
        <v>NO</v>
      </c>
    </row>
    <row r="18" spans="2:12" ht="18" customHeight="1" x14ac:dyDescent="0.2">
      <c r="B18" s="282" t="s">
        <v>132</v>
      </c>
      <c r="C18" s="3086">
        <f>IF(SUM(C25,C54,C61)=0,"NO",SUM(C25,C54,C61))</f>
        <v>164133.49690770177</v>
      </c>
      <c r="D18" s="3077" t="s">
        <v>1814</v>
      </c>
      <c r="E18" s="1913">
        <f>IFERROR(H18*1000/$C18,"NA")</f>
        <v>67.86923752099527</v>
      </c>
      <c r="F18" s="1913">
        <f t="shared" ref="F18:G23" si="6">IFERROR(I18*1000000/$C18,"NA")</f>
        <v>2.358105283785096</v>
      </c>
      <c r="G18" s="1913">
        <f t="shared" si="6"/>
        <v>1.5969032184079177</v>
      </c>
      <c r="H18" s="3086">
        <f>IF(SUM(H25,H54,H61)=0,"NO",SUM(H25,H54,H61))</f>
        <v>11139.615286780354</v>
      </c>
      <c r="I18" s="3086">
        <f>IF(SUM(I25,I54,I61)=0,"NO",SUM(I25,I54,I61))</f>
        <v>0.38704406630417626</v>
      </c>
      <c r="J18" s="3086">
        <f>IF(SUM(J25,J54,J61)=0,"NO",SUM(J25,J54,J61))</f>
        <v>0.26210530946045496</v>
      </c>
      <c r="K18" s="3069" t="str">
        <f>IF(SUM(K25,K54,K61)=0,"NO",SUM(K25,K54,K61))</f>
        <v>NO</v>
      </c>
      <c r="L18" s="19"/>
    </row>
    <row r="19" spans="2:12" ht="18" customHeight="1" x14ac:dyDescent="0.2">
      <c r="B19" s="282" t="s">
        <v>133</v>
      </c>
      <c r="C19" s="3086">
        <f t="shared" ref="C19:C23" si="7">IF(SUM(C26,C55,C62)=0,"NO",SUM(C26,C55,C62))</f>
        <v>2005700.16457754</v>
      </c>
      <c r="D19" s="3077" t="s">
        <v>1814</v>
      </c>
      <c r="E19" s="1913">
        <f t="shared" ref="E19:E23" si="8">IFERROR(H19*1000/$C19,"NA")</f>
        <v>90.615742950650173</v>
      </c>
      <c r="F19" s="1913">
        <f t="shared" si="6"/>
        <v>0.66757549195690091</v>
      </c>
      <c r="G19" s="1913">
        <f t="shared" si="6"/>
        <v>1.3319114878943739</v>
      </c>
      <c r="H19" s="3086">
        <f t="shared" ref="H19:K23" si="9">IF(SUM(H26,H55,H62)=0,"NO",SUM(H26,H55,H62))</f>
        <v>181748.0105494351</v>
      </c>
      <c r="I19" s="3086">
        <f t="shared" si="9"/>
        <v>1.3389562740858885</v>
      </c>
      <c r="J19" s="3086">
        <f t="shared" si="9"/>
        <v>2.6714150904724616</v>
      </c>
      <c r="K19" s="3069" t="str">
        <f t="shared" si="9"/>
        <v>NO</v>
      </c>
      <c r="L19" s="19"/>
    </row>
    <row r="20" spans="2:12" ht="18" customHeight="1" x14ac:dyDescent="0.2">
      <c r="B20" s="282" t="s">
        <v>134</v>
      </c>
      <c r="C20" s="3086">
        <f t="shared" si="7"/>
        <v>580046.33075966593</v>
      </c>
      <c r="D20" s="3077" t="s">
        <v>1814</v>
      </c>
      <c r="E20" s="1913">
        <f t="shared" si="8"/>
        <v>51.444625596206969</v>
      </c>
      <c r="F20" s="1913">
        <f t="shared" si="6"/>
        <v>16.279863697561041</v>
      </c>
      <c r="G20" s="1913">
        <f t="shared" si="6"/>
        <v>1.1982547686327503</v>
      </c>
      <c r="H20" s="3086">
        <f t="shared" si="9"/>
        <v>29840.266314384644</v>
      </c>
      <c r="I20" s="3086">
        <f t="shared" si="9"/>
        <v>9.4430752030377683</v>
      </c>
      <c r="J20" s="3086">
        <f t="shared" si="9"/>
        <v>0.6950432818606993</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26533.963030332092</v>
      </c>
      <c r="D23" s="3077" t="s">
        <v>1814</v>
      </c>
      <c r="E23" s="1913">
        <f t="shared" si="8"/>
        <v>81.201506479355004</v>
      </c>
      <c r="F23" s="1913">
        <f t="shared" si="6"/>
        <v>68.114503165248493</v>
      </c>
      <c r="G23" s="1913">
        <f t="shared" si="6"/>
        <v>4.9994782833432332</v>
      </c>
      <c r="H23" s="3086">
        <f t="shared" si="9"/>
        <v>2154.5977709304775</v>
      </c>
      <c r="I23" s="3086">
        <f t="shared" si="9"/>
        <v>1.8073477088161416</v>
      </c>
      <c r="J23" s="3086">
        <f t="shared" si="9"/>
        <v>0.13265597194117751</v>
      </c>
      <c r="K23" s="3069" t="str">
        <f t="shared" si="9"/>
        <v>NO</v>
      </c>
      <c r="L23" s="19"/>
    </row>
    <row r="24" spans="2:12" ht="18" customHeight="1" x14ac:dyDescent="0.2">
      <c r="B24" s="1237" t="s">
        <v>138</v>
      </c>
      <c r="C24" s="3086">
        <f>IF(SUM(C25:C30)=0,"NO",SUM(C25:C30))</f>
        <v>2445401.3236214691</v>
      </c>
      <c r="D24" s="3077" t="s">
        <v>1814</v>
      </c>
      <c r="E24" s="628"/>
      <c r="F24" s="628"/>
      <c r="G24" s="628"/>
      <c r="H24" s="3086">
        <f>IF(SUM(H25:H29)=0,"NO",SUM(H25:H29))</f>
        <v>202966.71922491211</v>
      </c>
      <c r="I24" s="3086">
        <f t="shared" ref="I24" si="10">IF(SUM(I25:I30)=0,"NO",SUM(I25:I30))</f>
        <v>6.4538982914027692</v>
      </c>
      <c r="J24" s="3086">
        <f t="shared" ref="J24" si="11">IF(SUM(J25:J30)=0,"NO",SUM(J25:J30))</f>
        <v>3.3454264933759181</v>
      </c>
      <c r="K24" s="3069" t="str">
        <f t="shared" ref="K24" si="12">IF(SUM(K25:K30)=0,"NO",SUM(K25:K30))</f>
        <v>NO</v>
      </c>
      <c r="L24" s="19"/>
    </row>
    <row r="25" spans="2:12" ht="18" customHeight="1" x14ac:dyDescent="0.2">
      <c r="B25" s="160" t="s">
        <v>132</v>
      </c>
      <c r="C25" s="3074">
        <f>IF(SUM(C33,C40,C47)=0,"NO",SUM(C33,C40,C47))</f>
        <v>37086.429924398319</v>
      </c>
      <c r="D25" s="3082" t="s">
        <v>1814</v>
      </c>
      <c r="E25" s="3086">
        <f>IFERROR(H25*1000/$C25,"NA")</f>
        <v>69.997371451021678</v>
      </c>
      <c r="F25" s="1913">
        <f t="shared" ref="F25:G30" si="13">IFERROR(I25*1000000/$C25,"NA")</f>
        <v>3.3658803504692978</v>
      </c>
      <c r="G25" s="1913">
        <f t="shared" si="13"/>
        <v>0.38560461696059462</v>
      </c>
      <c r="H25" s="3086">
        <f>IF(SUM(H33,H40,H47)=0,"NO",SUM(H33,H40,H47))</f>
        <v>2595.9526112103949</v>
      </c>
      <c r="I25" s="3086">
        <f>IF(SUM(I33,I40,I47)=0,"NO",SUM(I33,I40,I47))</f>
        <v>0.12482848575158886</v>
      </c>
      <c r="J25" s="3086">
        <f>IF(SUM(J33,J40,J47)=0,"NO",SUM(J33,J40,J47))</f>
        <v>1.4300698605433546E-2</v>
      </c>
      <c r="K25" s="3069" t="str">
        <f>IF(SUM(K33,K40,K47)=0,"NO",SUM(K33,K40,K47))</f>
        <v>NO</v>
      </c>
      <c r="L25" s="19"/>
    </row>
    <row r="26" spans="2:12" ht="18" customHeight="1" x14ac:dyDescent="0.2">
      <c r="B26" s="160" t="s">
        <v>133</v>
      </c>
      <c r="C26" s="3086">
        <f t="shared" ref="C26:C30" si="14">IF(SUM(C34,C41,C48)=0,"NO",SUM(C34,C41,C48))</f>
        <v>1983181.38944489</v>
      </c>
      <c r="D26" s="3082" t="s">
        <v>1814</v>
      </c>
      <c r="E26" s="3086">
        <f t="shared" ref="E26:E30" si="15">IFERROR(H26*1000/$C26,"NA")</f>
        <v>90.688390469705695</v>
      </c>
      <c r="F26" s="1913">
        <f t="shared" si="13"/>
        <v>0.66424864931358185</v>
      </c>
      <c r="G26" s="1913">
        <f t="shared" si="13"/>
        <v>1.3381393316997343</v>
      </c>
      <c r="H26" s="3086">
        <f t="shared" ref="H26:K30" si="16">IF(SUM(H34,H41,H48)=0,"NO",SUM(H34,H41,H48))</f>
        <v>179851.52821823166</v>
      </c>
      <c r="I26" s="3086">
        <f t="shared" si="16"/>
        <v>1.3173255592826008</v>
      </c>
      <c r="J26" s="3086">
        <f t="shared" si="16"/>
        <v>2.6537730191111355</v>
      </c>
      <c r="K26" s="3069" t="str">
        <f t="shared" si="16"/>
        <v>NO</v>
      </c>
      <c r="L26" s="19"/>
    </row>
    <row r="27" spans="2:12" ht="18" customHeight="1" x14ac:dyDescent="0.2">
      <c r="B27" s="160" t="s">
        <v>134</v>
      </c>
      <c r="C27" s="3086">
        <f t="shared" si="14"/>
        <v>398750.73011618108</v>
      </c>
      <c r="D27" s="3082" t="s">
        <v>1814</v>
      </c>
      <c r="E27" s="3086">
        <f t="shared" si="15"/>
        <v>51.4588108452905</v>
      </c>
      <c r="F27" s="1913">
        <f t="shared" si="13"/>
        <v>8.0374535011378363</v>
      </c>
      <c r="G27" s="1913">
        <f t="shared" si="13"/>
        <v>1.367368779953583</v>
      </c>
      <c r="H27" s="3086">
        <f t="shared" si="16"/>
        <v>20519.238395470045</v>
      </c>
      <c r="I27" s="3086">
        <f t="shared" si="16"/>
        <v>3.2049404518535676</v>
      </c>
      <c r="J27" s="3086">
        <f t="shared" si="16"/>
        <v>0.54523929934456294</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26382.774135999829</v>
      </c>
      <c r="D30" s="3082" t="s">
        <v>1814</v>
      </c>
      <c r="E30" s="3086">
        <f t="shared" si="15"/>
        <v>81.276530453622698</v>
      </c>
      <c r="F30" s="1913">
        <f t="shared" si="13"/>
        <v>68.484223273912349</v>
      </c>
      <c r="G30" s="1913">
        <f t="shared" si="13"/>
        <v>5.0075657561163984</v>
      </c>
      <c r="H30" s="3086">
        <f t="shared" si="16"/>
        <v>2144.3003455156395</v>
      </c>
      <c r="I30" s="3086">
        <f t="shared" si="16"/>
        <v>1.8068037945150124</v>
      </c>
      <c r="J30" s="3086">
        <f t="shared" si="16"/>
        <v>0.13211347631478615</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2445401.3236214691</v>
      </c>
      <c r="D32" s="3077" t="s">
        <v>1814</v>
      </c>
      <c r="E32" s="1914"/>
      <c r="F32" s="1914"/>
      <c r="G32" s="1914"/>
      <c r="H32" s="3086">
        <f>IF(SUM(H33:H37)=0,"NO",SUM(H33:H37))</f>
        <v>202966.71922491211</v>
      </c>
      <c r="I32" s="3086">
        <f t="shared" ref="I32" si="17">IF(SUM(I33:I38)=0,"NO",SUM(I33:I38))</f>
        <v>6.4538982914027692</v>
      </c>
      <c r="J32" s="3086">
        <f t="shared" ref="J32" si="18">IF(SUM(J33:J38)=0,"NO",SUM(J33:J38))</f>
        <v>3.3454264933759181</v>
      </c>
      <c r="K32" s="3069" t="str">
        <f t="shared" ref="K32" si="19">IF(SUM(K33:K38)=0,"NO",SUM(K33:K38))</f>
        <v>NO</v>
      </c>
      <c r="L32" s="19"/>
    </row>
    <row r="33" spans="2:12" ht="18" customHeight="1" x14ac:dyDescent="0.2">
      <c r="B33" s="160" t="s">
        <v>132</v>
      </c>
      <c r="C33" s="3033">
        <v>37086.429924398319</v>
      </c>
      <c r="D33" s="3077" t="s">
        <v>1814</v>
      </c>
      <c r="E33" s="1913">
        <f>IFERROR(H33*1000/$C33,"NA")</f>
        <v>69.997371451021678</v>
      </c>
      <c r="F33" s="1913">
        <f t="shared" ref="F33:G38" si="20">IFERROR(I33*1000000/$C33,"NA")</f>
        <v>3.3658803504692978</v>
      </c>
      <c r="G33" s="1913">
        <f t="shared" si="20"/>
        <v>0.38560461696059462</v>
      </c>
      <c r="H33" s="3033">
        <v>2595.9526112103949</v>
      </c>
      <c r="I33" s="3033">
        <v>0.12482848575158886</v>
      </c>
      <c r="J33" s="3033">
        <v>1.4300698605433546E-2</v>
      </c>
      <c r="K33" s="3072" t="s">
        <v>2146</v>
      </c>
      <c r="L33" s="19"/>
    </row>
    <row r="34" spans="2:12" ht="18" customHeight="1" x14ac:dyDescent="0.2">
      <c r="B34" s="160" t="s">
        <v>133</v>
      </c>
      <c r="C34" s="3033">
        <v>1983181.38944489</v>
      </c>
      <c r="D34" s="3077" t="s">
        <v>1814</v>
      </c>
      <c r="E34" s="1913">
        <f t="shared" ref="E34:E38" si="21">IFERROR(H34*1000/$C34,"NA")</f>
        <v>90.688390469705695</v>
      </c>
      <c r="F34" s="1913">
        <f t="shared" si="20"/>
        <v>0.66424864931358185</v>
      </c>
      <c r="G34" s="1913">
        <f t="shared" si="20"/>
        <v>1.3381393316997343</v>
      </c>
      <c r="H34" s="3033">
        <v>179851.52821823166</v>
      </c>
      <c r="I34" s="3033">
        <v>1.3173255592826008</v>
      </c>
      <c r="J34" s="3033">
        <v>2.6537730191111355</v>
      </c>
      <c r="K34" s="3072" t="s">
        <v>2146</v>
      </c>
      <c r="L34" s="19"/>
    </row>
    <row r="35" spans="2:12" ht="18" customHeight="1" x14ac:dyDescent="0.2">
      <c r="B35" s="160" t="s">
        <v>134</v>
      </c>
      <c r="C35" s="3033">
        <v>398750.73011618108</v>
      </c>
      <c r="D35" s="3077" t="s">
        <v>1814</v>
      </c>
      <c r="E35" s="1913">
        <f t="shared" si="21"/>
        <v>51.4588108452905</v>
      </c>
      <c r="F35" s="1913">
        <f t="shared" si="20"/>
        <v>8.0374535011378363</v>
      </c>
      <c r="G35" s="1913">
        <f t="shared" si="20"/>
        <v>1.367368779953583</v>
      </c>
      <c r="H35" s="3033">
        <v>20519.238395470045</v>
      </c>
      <c r="I35" s="3033">
        <v>3.2049404518535676</v>
      </c>
      <c r="J35" s="3033">
        <v>0.54523929934456294</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26382.774135999829</v>
      </c>
      <c r="D38" s="3077" t="s">
        <v>1814</v>
      </c>
      <c r="E38" s="1913">
        <f t="shared" si="21"/>
        <v>81.276530453622698</v>
      </c>
      <c r="F38" s="1913">
        <f t="shared" si="20"/>
        <v>68.484223273912349</v>
      </c>
      <c r="G38" s="1913">
        <f t="shared" si="20"/>
        <v>5.0075657561163984</v>
      </c>
      <c r="H38" s="3033">
        <v>2144.3003455156395</v>
      </c>
      <c r="I38" s="3033">
        <v>1.8068037945150124</v>
      </c>
      <c r="J38" s="3033">
        <v>0.13211347631478615</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86891.215357547131</v>
      </c>
      <c r="D53" s="3077" t="s">
        <v>1814</v>
      </c>
      <c r="E53" s="628"/>
      <c r="F53" s="628"/>
      <c r="G53" s="628"/>
      <c r="H53" s="3086">
        <f>IF(SUM(H54:H58)=0,"NO",SUM(H54:H58))</f>
        <v>5319.7742183309911</v>
      </c>
      <c r="I53" s="3086">
        <f t="shared" ref="I53:K53" si="28">IF(SUM(I54:I59)=0,"NO",SUM(I54:I59))</f>
        <v>6.6274166312862662E-2</v>
      </c>
      <c r="J53" s="3086">
        <f t="shared" si="28"/>
        <v>4.4137277865418226E-2</v>
      </c>
      <c r="K53" s="3069" t="str">
        <f t="shared" si="28"/>
        <v>NO</v>
      </c>
      <c r="L53" s="19"/>
    </row>
    <row r="54" spans="2:12" ht="18" customHeight="1" x14ac:dyDescent="0.2">
      <c r="B54" s="160" t="s">
        <v>132</v>
      </c>
      <c r="C54" s="3033">
        <v>63291.215357547153</v>
      </c>
      <c r="D54" s="3077" t="s">
        <v>1814</v>
      </c>
      <c r="E54" s="1913">
        <f>IFERROR(H54*1000/$C54,"NA")</f>
        <v>64.881878509142339</v>
      </c>
      <c r="F54" s="1913">
        <f t="shared" ref="F54:G59" si="29">IFERROR(I54*1000000/$C54,"NA")</f>
        <v>0.66374259313006556</v>
      </c>
      <c r="G54" s="1913">
        <f t="shared" si="29"/>
        <v>0.53902993473693672</v>
      </c>
      <c r="H54" s="3033">
        <v>4106.4529455243382</v>
      </c>
      <c r="I54" s="3033">
        <v>4.200907540377178E-2</v>
      </c>
      <c r="J54" s="3033">
        <v>3.411585968360005E-2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23599.999999999982</v>
      </c>
      <c r="D56" s="3077" t="s">
        <v>1814</v>
      </c>
      <c r="E56" s="1913">
        <f t="shared" si="30"/>
        <v>51.411918339264993</v>
      </c>
      <c r="F56" s="1913">
        <f t="shared" si="29"/>
        <v>1.0281818181818179</v>
      </c>
      <c r="G56" s="1913">
        <f t="shared" si="29"/>
        <v>0.42463636363636353</v>
      </c>
      <c r="H56" s="3033">
        <v>1213.3212728066528</v>
      </c>
      <c r="I56" s="3033">
        <v>2.4265090909090882E-2</v>
      </c>
      <c r="J56" s="3033">
        <v>1.0021418181818172E-2</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244121.41629622347</v>
      </c>
      <c r="D60" s="3077" t="s">
        <v>1814</v>
      </c>
      <c r="E60" s="628"/>
      <c r="F60" s="628"/>
      <c r="G60" s="628"/>
      <c r="H60" s="3086">
        <f>IF(SUM(H61:H65)=0,"NO",SUM(H61:H65))</f>
        <v>14441.398707357019</v>
      </c>
      <c r="I60" s="3086">
        <f t="shared" ref="I60:K60" si="31">IF(SUM(I61:I66)=0,"NO",SUM(I61:I66))</f>
        <v>6.4562507945283425</v>
      </c>
      <c r="J60" s="3086">
        <f t="shared" si="31"/>
        <v>0.37165588249345721</v>
      </c>
      <c r="K60" s="3069" t="str">
        <f t="shared" si="31"/>
        <v>NO</v>
      </c>
      <c r="L60" s="19"/>
    </row>
    <row r="61" spans="2:12" ht="18" customHeight="1" x14ac:dyDescent="0.2">
      <c r="B61" s="160" t="s">
        <v>132</v>
      </c>
      <c r="C61" s="3074">
        <f>IF(SUM(C69,C76,C83)=0,"NO",SUM(C69,C76,C83))</f>
        <v>63755.851625756317</v>
      </c>
      <c r="D61" s="3077" t="s">
        <v>1814</v>
      </c>
      <c r="E61" s="1913">
        <f>IFERROR(H61*1000/$C61,"NA")</f>
        <v>69.596901569001417</v>
      </c>
      <c r="F61" s="1913">
        <f t="shared" ref="F61:G66" si="32">IFERROR(I61*1000000/$C61,"NA")</f>
        <v>3.4539026541660345</v>
      </c>
      <c r="G61" s="1913">
        <f t="shared" si="32"/>
        <v>3.3516727597925238</v>
      </c>
      <c r="H61" s="3074">
        <f>IF(SUM(H69,H76,H83)=0,"NO",SUM(H69,H76,H83))</f>
        <v>4437.2097300456217</v>
      </c>
      <c r="I61" s="3074">
        <f>IF(SUM(I69,I76,I83)=0,"NO",SUM(I69,I76,I83))</f>
        <v>0.22020650514881562</v>
      </c>
      <c r="J61" s="3074">
        <f>IF(SUM(J69,J76,J83)=0,"NO",SUM(J69,J76,J83))</f>
        <v>0.21368875117142136</v>
      </c>
      <c r="K61" s="3088" t="str">
        <f>IF(SUM(K69,K76,K83)=0,"NO",SUM(K69,K76,K83))</f>
        <v>NO</v>
      </c>
    </row>
    <row r="62" spans="2:12" ht="18" customHeight="1" x14ac:dyDescent="0.2">
      <c r="B62" s="160" t="s">
        <v>133</v>
      </c>
      <c r="C62" s="3074">
        <f t="shared" ref="C62:C66" si="33">IF(SUM(C70,C77,C84)=0,"NO",SUM(C70,C77,C84))</f>
        <v>22518.77513264996</v>
      </c>
      <c r="D62" s="3077" t="s">
        <v>1814</v>
      </c>
      <c r="E62" s="1913">
        <f t="shared" ref="E62:E66" si="34">IFERROR(H62*1000/$C62,"NA")</f>
        <v>84.217828013822384</v>
      </c>
      <c r="F62" s="1913">
        <f t="shared" si="32"/>
        <v>0.96056355977929231</v>
      </c>
      <c r="G62" s="1913">
        <f t="shared" si="32"/>
        <v>0.78343832013078663</v>
      </c>
      <c r="H62" s="3074">
        <f t="shared" ref="H62:K66" si="35">IF(SUM(H70,H77,H84)=0,"NO",SUM(H70,H77,H84))</f>
        <v>1896.4823312034546</v>
      </c>
      <c r="I62" s="3074">
        <f t="shared" si="35"/>
        <v>2.163071480328765E-2</v>
      </c>
      <c r="J62" s="3074">
        <f t="shared" si="35"/>
        <v>1.7642071361326218E-2</v>
      </c>
      <c r="K62" s="3088" t="str">
        <f t="shared" si="35"/>
        <v>NO</v>
      </c>
    </row>
    <row r="63" spans="2:12" ht="18" customHeight="1" x14ac:dyDescent="0.2">
      <c r="B63" s="160" t="s">
        <v>134</v>
      </c>
      <c r="C63" s="3074">
        <f t="shared" si="33"/>
        <v>157695.60064348491</v>
      </c>
      <c r="D63" s="3077" t="s">
        <v>1814</v>
      </c>
      <c r="E63" s="1913">
        <f t="shared" si="34"/>
        <v>51.413651446356361</v>
      </c>
      <c r="F63" s="1913">
        <f t="shared" si="32"/>
        <v>39.404204270246595</v>
      </c>
      <c r="G63" s="1913">
        <f t="shared" si="32"/>
        <v>0.88640750765353282</v>
      </c>
      <c r="H63" s="3074">
        <f t="shared" si="35"/>
        <v>8107.706646107943</v>
      </c>
      <c r="I63" s="3074">
        <f t="shared" si="35"/>
        <v>6.21386966027511</v>
      </c>
      <c r="J63" s="3074">
        <f t="shared" si="35"/>
        <v>0.13978256433431829</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f t="shared" si="33"/>
        <v>151.18889433226352</v>
      </c>
      <c r="D66" s="3077" t="s">
        <v>1814</v>
      </c>
      <c r="E66" s="1913">
        <f t="shared" si="34"/>
        <v>68.109668109668078</v>
      </c>
      <c r="F66" s="1913">
        <f t="shared" si="32"/>
        <v>3.5975810493976876</v>
      </c>
      <c r="G66" s="1913">
        <f t="shared" si="32"/>
        <v>3.5881975907510708</v>
      </c>
      <c r="H66" s="3074">
        <f t="shared" si="35"/>
        <v>10.297425414838147</v>
      </c>
      <c r="I66" s="3074">
        <f t="shared" si="35"/>
        <v>5.4391430112914066E-4</v>
      </c>
      <c r="J66" s="3074">
        <f t="shared" si="35"/>
        <v>5.4249562639134617E-4</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23343.543590801804</v>
      </c>
      <c r="D68" s="3077" t="s">
        <v>1814</v>
      </c>
      <c r="E68" s="628"/>
      <c r="F68" s="628"/>
      <c r="G68" s="628"/>
      <c r="H68" s="3086">
        <f>IF(SUM(H69:H73)=0,"NO",SUM(H69:H73))</f>
        <v>1954.4840093640037</v>
      </c>
      <c r="I68" s="3086">
        <f t="shared" ref="I68:K68" si="36">IF(SUM(I69:I74)=0,"NO",SUM(I69:I74))</f>
        <v>2.349475634265813E-2</v>
      </c>
      <c r="J68" s="3086">
        <f t="shared" si="36"/>
        <v>1.8180425034292083E-2</v>
      </c>
      <c r="K68" s="3069" t="str">
        <f t="shared" si="36"/>
        <v>NO</v>
      </c>
    </row>
    <row r="69" spans="2:11" ht="18" customHeight="1" x14ac:dyDescent="0.2">
      <c r="B69" s="282" t="s">
        <v>132</v>
      </c>
      <c r="C69" s="3033">
        <v>943.04045815184554</v>
      </c>
      <c r="D69" s="3076" t="s">
        <v>1814</v>
      </c>
      <c r="E69" s="1913">
        <f>IFERROR(H69*1000/$C69,"NA")</f>
        <v>73.419456781567618</v>
      </c>
      <c r="F69" s="1913">
        <f t="shared" ref="F69:G74" si="37">IFERROR(I69*1000000/$C69,"NA")</f>
        <v>2.0960728909174757</v>
      </c>
      <c r="G69" s="1913">
        <f t="shared" si="37"/>
        <v>0.66609049011206256</v>
      </c>
      <c r="H69" s="3033">
        <v>69.237518160549158</v>
      </c>
      <c r="I69" s="3033">
        <v>1.9766815393704798E-3</v>
      </c>
      <c r="J69" s="3033">
        <v>6.2815028096586685E-4</v>
      </c>
      <c r="K69" s="3072" t="s">
        <v>2146</v>
      </c>
    </row>
    <row r="70" spans="2:11" ht="18" customHeight="1" x14ac:dyDescent="0.2">
      <c r="B70" s="282" t="s">
        <v>133</v>
      </c>
      <c r="C70" s="3033">
        <v>22400.503132649959</v>
      </c>
      <c r="D70" s="3076" t="s">
        <v>1814</v>
      </c>
      <c r="E70" s="1913">
        <f t="shared" ref="E70:E74" si="38">IFERROR(H70*1000/$C70,"NA")</f>
        <v>84.160899424424301</v>
      </c>
      <c r="F70" s="1913">
        <f t="shared" si="37"/>
        <v>0.96060676297595649</v>
      </c>
      <c r="G70" s="1913">
        <f t="shared" si="37"/>
        <v>0.78356609444824543</v>
      </c>
      <c r="H70" s="3033">
        <v>1885.2464912034545</v>
      </c>
      <c r="I70" s="3033">
        <v>2.151807480328765E-2</v>
      </c>
      <c r="J70" s="3033">
        <v>1.7552274753326217E-2</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153421.1061583072</v>
      </c>
      <c r="D75" s="3077" t="s">
        <v>1814</v>
      </c>
      <c r="E75" s="628"/>
      <c r="F75" s="628"/>
      <c r="G75" s="628"/>
      <c r="H75" s="3086">
        <f>IF(SUM(H76:H80)=0,"NO",SUM(H76:H80))</f>
        <v>7980.929202362865</v>
      </c>
      <c r="I75" s="3086">
        <f t="shared" ref="I75:K75" si="39">IF(SUM(I76:I81)=0,"NO",SUM(I76:I81))</f>
        <v>6.1923374482883133</v>
      </c>
      <c r="J75" s="3086">
        <f t="shared" si="39"/>
        <v>0.14098813442270094</v>
      </c>
      <c r="K75" s="3069" t="str">
        <f t="shared" si="39"/>
        <v>NO</v>
      </c>
    </row>
    <row r="76" spans="2:11" ht="18" customHeight="1" x14ac:dyDescent="0.2">
      <c r="B76" s="282" t="s">
        <v>132</v>
      </c>
      <c r="C76" s="3033">
        <v>6176.5839699192247</v>
      </c>
      <c r="D76" s="3076" t="s">
        <v>1814</v>
      </c>
      <c r="E76" s="1913">
        <f>IFERROR(H76*1000/$C76,"NA")</f>
        <v>66.51020268000056</v>
      </c>
      <c r="F76" s="1913">
        <f t="shared" ref="F76:G81" si="40">IFERROR(I76*1000000/$C76,"NA")</f>
        <v>2.2683083167030875</v>
      </c>
      <c r="G76" s="1913">
        <f t="shared" si="40"/>
        <v>1.7329164582578422</v>
      </c>
      <c r="H76" s="3033">
        <v>410.80585170937007</v>
      </c>
      <c r="I76" s="3033">
        <v>1.401039678778275E-2</v>
      </c>
      <c r="J76" s="3033">
        <v>1.0703504017284586E-2</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147244.52218838799</v>
      </c>
      <c r="D78" s="3076" t="s">
        <v>1814</v>
      </c>
      <c r="E78" s="1913">
        <f t="shared" si="41"/>
        <v>51.411918339264986</v>
      </c>
      <c r="F78" s="1913">
        <f t="shared" si="40"/>
        <v>41.959639378610213</v>
      </c>
      <c r="G78" s="1913">
        <f t="shared" si="40"/>
        <v>0.8848181818181815</v>
      </c>
      <c r="H78" s="3033">
        <v>7570.1233506534945</v>
      </c>
      <c r="I78" s="3033">
        <v>6.1783270515005304</v>
      </c>
      <c r="J78" s="3033">
        <v>0.13028463040541635</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67356.766547114443</v>
      </c>
      <c r="D82" s="3077" t="s">
        <v>1814</v>
      </c>
      <c r="E82" s="628"/>
      <c r="F82" s="628"/>
      <c r="G82" s="628"/>
      <c r="H82" s="3086">
        <f>IF(SUM(H83:H87)=0,"NO",SUM(H83:H87))</f>
        <v>4505.9854956301506</v>
      </c>
      <c r="I82" s="3086">
        <f t="shared" ref="I82:K82" si="42">IF(SUM(I83:I88)=0,"NO",SUM(I83:I88))</f>
        <v>0.24041858989737117</v>
      </c>
      <c r="J82" s="3086">
        <f t="shared" si="42"/>
        <v>0.2124873230364642</v>
      </c>
      <c r="K82" s="3069" t="str">
        <f t="shared" si="42"/>
        <v>NO</v>
      </c>
    </row>
    <row r="83" spans="2:11" ht="18" customHeight="1" x14ac:dyDescent="0.2">
      <c r="B83" s="282" t="s">
        <v>132</v>
      </c>
      <c r="C83" s="3033">
        <v>56636.22719768525</v>
      </c>
      <c r="D83" s="3076" t="s">
        <v>1814</v>
      </c>
      <c r="E83" s="1913">
        <f>IFERROR(H83*1000/$C83,"NA")</f>
        <v>69.869879332948116</v>
      </c>
      <c r="F83" s="1913">
        <f t="shared" ref="F83:G88" si="43">IFERROR(I83*1000000/$C83,"NA")</f>
        <v>3.6058091600778259</v>
      </c>
      <c r="G83" s="1913">
        <f t="shared" si="43"/>
        <v>3.5729268506331815</v>
      </c>
      <c r="H83" s="3033">
        <v>3957.1663601757027</v>
      </c>
      <c r="I83" s="3033">
        <v>0.20421942682166239</v>
      </c>
      <c r="J83" s="3033">
        <v>0.20235709687317091</v>
      </c>
      <c r="K83" s="3072" t="s">
        <v>2146</v>
      </c>
    </row>
    <row r="84" spans="2:11" ht="18" customHeight="1" x14ac:dyDescent="0.2">
      <c r="B84" s="282" t="s">
        <v>133</v>
      </c>
      <c r="C84" s="3033">
        <v>118.27200000000002</v>
      </c>
      <c r="D84" s="3076" t="s">
        <v>1814</v>
      </c>
      <c r="E84" s="1913">
        <f t="shared" ref="E84:E88" si="44">IFERROR(H84*1000/$C84,"NA")</f>
        <v>95</v>
      </c>
      <c r="F84" s="1913">
        <f t="shared" si="43"/>
        <v>0.95238095238095233</v>
      </c>
      <c r="G84" s="1913">
        <f t="shared" si="43"/>
        <v>0.75923809523809516</v>
      </c>
      <c r="H84" s="3033">
        <v>11.235840000000001</v>
      </c>
      <c r="I84" s="3033">
        <v>1.1264000000000002E-4</v>
      </c>
      <c r="J84" s="3033">
        <v>8.9796608000000002E-5</v>
      </c>
      <c r="K84" s="3072" t="s">
        <v>2146</v>
      </c>
    </row>
    <row r="85" spans="2:11" ht="18" customHeight="1" x14ac:dyDescent="0.2">
      <c r="B85" s="282" t="s">
        <v>134</v>
      </c>
      <c r="C85" s="3033">
        <v>10451.078455096927</v>
      </c>
      <c r="D85" s="3076" t="s">
        <v>1814</v>
      </c>
      <c r="E85" s="1913">
        <f t="shared" si="44"/>
        <v>51.438069072409675</v>
      </c>
      <c r="F85" s="1913">
        <f t="shared" si="43"/>
        <v>3.4008556080875789</v>
      </c>
      <c r="G85" s="1913">
        <f t="shared" si="43"/>
        <v>0.90879940952599669</v>
      </c>
      <c r="H85" s="3033">
        <v>537.58329545444838</v>
      </c>
      <c r="I85" s="3033">
        <v>3.5542608774579654E-2</v>
      </c>
      <c r="J85" s="3033">
        <v>9.4979339289019537E-3</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v>151.18889433226352</v>
      </c>
      <c r="D88" s="3084" t="s">
        <v>1814</v>
      </c>
      <c r="E88" s="2880">
        <f t="shared" si="44"/>
        <v>68.109668109668078</v>
      </c>
      <c r="F88" s="2880">
        <f t="shared" si="43"/>
        <v>3.5975810493976876</v>
      </c>
      <c r="G88" s="2880">
        <f t="shared" si="43"/>
        <v>3.5881975907510708</v>
      </c>
      <c r="H88" s="3040">
        <v>10.297425414838147</v>
      </c>
      <c r="I88" s="3040">
        <v>5.4391430112914066E-4</v>
      </c>
      <c r="J88" s="3040">
        <v>5.4249562639134617E-4</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62506132.378004633</v>
      </c>
      <c r="G10" s="3657" t="s">
        <v>2147</v>
      </c>
      <c r="H10" s="3658">
        <f t="shared" ref="H10:H13" si="0">IF(SUM($F10)=0,"NA",K10*1000/$F10)</f>
        <v>1.0949753061774231E-2</v>
      </c>
      <c r="I10" s="3659">
        <f t="shared" ref="I10:I13" si="1">IF(SUM($F10)=0,"NA",L10*1000/$F10)</f>
        <v>2.4492833594719492E-4</v>
      </c>
      <c r="J10" s="3499" t="str">
        <f>IF(SUM(J11,J25,J36,J48,J59,J70,J76)=0,"IE",SUM(J11,J25,J36,J48,J59,J70,J76))</f>
        <v>IE</v>
      </c>
      <c r="K10" s="3500">
        <f>IF(SUM(K11,K25,K36,K48,K59,K70,K76)=0,"NO",SUM(K11,K25,K36,K48,K59,K70,K76))</f>
        <v>684.42671438572165</v>
      </c>
      <c r="L10" s="3501">
        <f>IF(SUM(L11,L25,L36,L48,L59,L70,L76)=0,"NO",SUM(L11,L25,L36,L48,L59,L70,L76))</f>
        <v>15.309522989839756</v>
      </c>
    </row>
    <row r="11" spans="2:13" ht="18" customHeight="1" x14ac:dyDescent="0.2">
      <c r="B11" s="933" t="s">
        <v>1985</v>
      </c>
      <c r="C11" s="934"/>
      <c r="D11" s="2850"/>
      <c r="E11" s="2854" t="s">
        <v>2250</v>
      </c>
      <c r="F11" s="3679">
        <f>IF(SUM(F12,F19)=0,"NO",SUM(F12,F19))</f>
        <v>9720358.470977651</v>
      </c>
      <c r="G11" s="3660" t="s">
        <v>2147</v>
      </c>
      <c r="H11" s="3661">
        <f t="shared" si="0"/>
        <v>2.8004674604655274E-2</v>
      </c>
      <c r="I11" s="3662">
        <f t="shared" si="1"/>
        <v>4.3959313469123695E-4</v>
      </c>
      <c r="J11" s="3502" t="str">
        <f>IF(SUM(J12,J19)=0,"IE",SUM(J12,J19))</f>
        <v>IE</v>
      </c>
      <c r="K11" s="3503">
        <f>IF(SUM(K12,K19)=0,"NO",SUM(K12,K19))</f>
        <v>272.2154760203336</v>
      </c>
      <c r="L11" s="3504">
        <f>IF(SUM(L12,L19)=0,"NO",SUM(L12,L19))</f>
        <v>4.2730028505795845</v>
      </c>
      <c r="M11" s="482"/>
    </row>
    <row r="12" spans="2:13" ht="18" customHeight="1" x14ac:dyDescent="0.2">
      <c r="B12" s="903" t="s">
        <v>1912</v>
      </c>
      <c r="C12" s="476"/>
      <c r="D12" s="298"/>
      <c r="E12" s="2852" t="s">
        <v>2250</v>
      </c>
      <c r="F12" s="3680">
        <f>IF(SUM(F13,F17)=0,"NO",SUM(F13,F17))</f>
        <v>9688934.94527575</v>
      </c>
      <c r="G12" s="3663" t="str">
        <f>IFERROR(IF(SUM($F12)=0,"NA",J12*1000/$F12),"NA")</f>
        <v>NA</v>
      </c>
      <c r="H12" s="3664">
        <f t="shared" si="0"/>
        <v>2.7849488177473302E-2</v>
      </c>
      <c r="I12" s="3665">
        <f t="shared" si="1"/>
        <v>4.3724738510449282E-4</v>
      </c>
      <c r="J12" s="3505" t="str">
        <f>IF(SUM(J13,J17)=0,"IE",SUM(J13,J17))</f>
        <v>IE</v>
      </c>
      <c r="K12" s="3506">
        <f>IF(SUM(K13,K17)=0,"NO",SUM(K13,K17))</f>
        <v>269.83187921076495</v>
      </c>
      <c r="L12" s="3507">
        <f>IF(SUM(L13,L17)=0,"NO",SUM(L13,L17))</f>
        <v>4.2364614692693641</v>
      </c>
    </row>
    <row r="13" spans="2:13" ht="18" customHeight="1" x14ac:dyDescent="0.2">
      <c r="B13" s="923" t="s">
        <v>1270</v>
      </c>
      <c r="C13" s="476"/>
      <c r="D13" s="298"/>
      <c r="E13" s="2852" t="s">
        <v>2250</v>
      </c>
      <c r="F13" s="3681">
        <f>IF(SUM(F14:F16)=0,"NO",SUM(F14:F16))</f>
        <v>8002417.4316511843</v>
      </c>
      <c r="G13" s="3666" t="str">
        <f t="shared" ref="G13:G76" si="2">IFERROR(IF(SUM($F13)=0,"NA",J13*1000/$F13),"NA")</f>
        <v>NA</v>
      </c>
      <c r="H13" s="3667">
        <f t="shared" si="0"/>
        <v>2.3276383990488425E-2</v>
      </c>
      <c r="I13" s="3668">
        <f t="shared" si="1"/>
        <v>4.2810836893488597E-4</v>
      </c>
      <c r="J13" s="3505" t="str">
        <f>IF(SUM(J14:J16)=0,"IE",SUM(J14:J16))</f>
        <v>IE</v>
      </c>
      <c r="K13" s="3505">
        <f>IF(SUM(K14:K16)=0,"NO",SUM(K14:K16))</f>
        <v>186.26734099129112</v>
      </c>
      <c r="L13" s="3508">
        <f>IF(SUM(L14:L16)=0,"NO",SUM(L14:L16))</f>
        <v>3.4259018742002878</v>
      </c>
      <c r="M13" s="482"/>
    </row>
    <row r="14" spans="2:13" ht="24" x14ac:dyDescent="0.2">
      <c r="B14" s="923"/>
      <c r="C14" s="4367" t="s">
        <v>2247</v>
      </c>
      <c r="D14" s="542" t="s">
        <v>940</v>
      </c>
      <c r="E14" s="2851" t="s">
        <v>2250</v>
      </c>
      <c r="F14" s="3654">
        <v>295333.72836148355</v>
      </c>
      <c r="G14" s="3666" t="str">
        <f t="shared" si="2"/>
        <v>NA</v>
      </c>
      <c r="H14" s="3667">
        <f>IF(SUM($F14)=0,"NA",K14*1000/$F14)</f>
        <v>0.13704800009764573</v>
      </c>
      <c r="I14" s="3668">
        <f>IF(SUM($F14)=0,"NA",L14*1000/$F14)</f>
        <v>1.493324297752281E-3</v>
      </c>
      <c r="J14" s="3509" t="s">
        <v>2153</v>
      </c>
      <c r="K14" s="3510">
        <v>40.474896833322674</v>
      </c>
      <c r="L14" s="3511">
        <v>0.44102903250797532</v>
      </c>
      <c r="M14" s="482"/>
    </row>
    <row r="15" spans="2:13" ht="18" customHeight="1" x14ac:dyDescent="0.2">
      <c r="B15" s="923"/>
      <c r="C15" s="4367" t="s">
        <v>2248</v>
      </c>
      <c r="D15" s="542" t="s">
        <v>940</v>
      </c>
      <c r="E15" s="543" t="s">
        <v>2250</v>
      </c>
      <c r="F15" s="3655">
        <v>108590.22672858667</v>
      </c>
      <c r="G15" s="3666" t="str">
        <f t="shared" si="2"/>
        <v>NA</v>
      </c>
      <c r="H15" s="3667">
        <f t="shared" ref="H15:H77" si="3">IF(SUM($F15)=0,"NA",K15*1000/$F15)</f>
        <v>0.1057540987785567</v>
      </c>
      <c r="I15" s="3668">
        <f t="shared" ref="I15:I77" si="4">IF(SUM($F15)=0,"NA",L15*1000/$F15)</f>
        <v>1.9549820204758186E-3</v>
      </c>
      <c r="J15" s="3509" t="s">
        <v>2153</v>
      </c>
      <c r="K15" s="3510">
        <v>11.483861563840822</v>
      </c>
      <c r="L15" s="3512">
        <v>0.21229194085377961</v>
      </c>
      <c r="M15" s="482"/>
    </row>
    <row r="16" spans="2:13" ht="18" customHeight="1" x14ac:dyDescent="0.2">
      <c r="B16" s="923"/>
      <c r="C16" s="4367" t="s">
        <v>2263</v>
      </c>
      <c r="D16" s="542" t="s">
        <v>940</v>
      </c>
      <c r="E16" s="543" t="s">
        <v>2250</v>
      </c>
      <c r="F16" s="3655">
        <v>7598493.4765611142</v>
      </c>
      <c r="G16" s="3666" t="str">
        <f t="shared" si="2"/>
        <v>NA</v>
      </c>
      <c r="H16" s="3667">
        <f t="shared" si="3"/>
        <v>1.7675685714336139E-2</v>
      </c>
      <c r="I16" s="3668">
        <f t="shared" si="4"/>
        <v>3.6488560652069322E-4</v>
      </c>
      <c r="J16" s="3509" t="s">
        <v>2153</v>
      </c>
      <c r="K16" s="3510">
        <v>134.30858259412761</v>
      </c>
      <c r="L16" s="3512">
        <v>2.7725809008385331</v>
      </c>
      <c r="M16" s="482"/>
    </row>
    <row r="17" spans="2:13" ht="18" customHeight="1" x14ac:dyDescent="0.2">
      <c r="B17" s="923" t="s">
        <v>1271</v>
      </c>
      <c r="C17" s="4368"/>
      <c r="D17" s="298"/>
      <c r="E17" s="5" t="s">
        <v>2250</v>
      </c>
      <c r="F17" s="3681">
        <f>F18</f>
        <v>1686517.5136245659</v>
      </c>
      <c r="G17" s="3666" t="str">
        <f t="shared" si="2"/>
        <v>NA</v>
      </c>
      <c r="H17" s="3667">
        <f t="shared" si="3"/>
        <v>4.9548574233232695E-2</v>
      </c>
      <c r="I17" s="3668">
        <f t="shared" si="4"/>
        <v>4.8061143066760578E-4</v>
      </c>
      <c r="J17" s="3505" t="str">
        <f>J18</f>
        <v>IE</v>
      </c>
      <c r="K17" s="3505">
        <f>K18</f>
        <v>83.564538219473832</v>
      </c>
      <c r="L17" s="3508">
        <f>L18</f>
        <v>0.81055959506907593</v>
      </c>
      <c r="M17" s="482"/>
    </row>
    <row r="18" spans="2:13" ht="18" customHeight="1" x14ac:dyDescent="0.2">
      <c r="B18" s="923"/>
      <c r="C18" s="4367" t="s">
        <v>2249</v>
      </c>
      <c r="D18" s="542" t="s">
        <v>940</v>
      </c>
      <c r="E18" s="543" t="s">
        <v>2250</v>
      </c>
      <c r="F18" s="3654">
        <v>1686517.5136245659</v>
      </c>
      <c r="G18" s="3666" t="str">
        <f t="shared" si="2"/>
        <v>NA</v>
      </c>
      <c r="H18" s="3667">
        <f t="shared" si="3"/>
        <v>4.9548574233232695E-2</v>
      </c>
      <c r="I18" s="3668">
        <f t="shared" si="4"/>
        <v>4.8061143066760578E-4</v>
      </c>
      <c r="J18" s="3509" t="s">
        <v>2153</v>
      </c>
      <c r="K18" s="3510">
        <v>83.564538219473832</v>
      </c>
      <c r="L18" s="3511">
        <v>0.81055959506907593</v>
      </c>
      <c r="M18" s="482"/>
    </row>
    <row r="19" spans="2:13" ht="18" customHeight="1" x14ac:dyDescent="0.2">
      <c r="B19" s="903" t="s">
        <v>1272</v>
      </c>
      <c r="C19" s="4368"/>
      <c r="D19" s="298"/>
      <c r="E19" s="5" t="s">
        <v>2250</v>
      </c>
      <c r="F19" s="3682">
        <f>IF(SUM(F20,F23)=0,"NO",SUM(F20,F23))</f>
        <v>31423.525701900388</v>
      </c>
      <c r="G19" s="3663" t="s">
        <v>2147</v>
      </c>
      <c r="H19" s="3664">
        <f t="shared" si="3"/>
        <v>7.585389469598941E-2</v>
      </c>
      <c r="I19" s="3665">
        <f t="shared" si="4"/>
        <v>1.1628670078867162E-3</v>
      </c>
      <c r="J19" s="3505" t="str">
        <f>IF(SUM(J20,J23)=0,"IE",SUM(J20,J23))</f>
        <v>IE</v>
      </c>
      <c r="K19" s="3506">
        <f>IF(SUM(K20,K23)=0,"NO",SUM(K20,K23))</f>
        <v>2.3835968095686684</v>
      </c>
      <c r="L19" s="3507">
        <f>IF(SUM(L20,L23)=0,"NO",SUM(L20,L23))</f>
        <v>3.6541381310220222E-2</v>
      </c>
    </row>
    <row r="20" spans="2:13" ht="18" customHeight="1" x14ac:dyDescent="0.2">
      <c r="B20" s="923" t="s">
        <v>1273</v>
      </c>
      <c r="C20" s="4368"/>
      <c r="D20" s="298"/>
      <c r="E20" s="5" t="s">
        <v>2250</v>
      </c>
      <c r="F20" s="3681">
        <f>IF(SUM(F21:F22)=0,"NO",SUM(F21:F22))</f>
        <v>26560.454928208757</v>
      </c>
      <c r="G20" s="3666" t="str">
        <f t="shared" si="2"/>
        <v>NA</v>
      </c>
      <c r="H20" s="3667">
        <f t="shared" si="3"/>
        <v>5.5787696403677783E-2</v>
      </c>
      <c r="I20" s="3668">
        <f t="shared" si="4"/>
        <v>1.0413301796043295E-3</v>
      </c>
      <c r="J20" s="3505" t="str">
        <f>IF(SUM(J21:J22)=0,"IE",SUM(J21:J22))</f>
        <v>IE</v>
      </c>
      <c r="K20" s="3505">
        <f>IF(SUM(K21:K22)=0,"NO",SUM(K21:K22))</f>
        <v>1.4817465958784777</v>
      </c>
      <c r="L20" s="3508">
        <f>IF(SUM(L21:L22)=0,"NO",SUM(L21:L22))</f>
        <v>2.7658203300764322E-2</v>
      </c>
      <c r="M20" s="482"/>
    </row>
    <row r="21" spans="2:13" ht="18" customHeight="1" x14ac:dyDescent="0.2">
      <c r="B21" s="923"/>
      <c r="C21" s="4367" t="s">
        <v>2248</v>
      </c>
      <c r="D21" s="542" t="s">
        <v>940</v>
      </c>
      <c r="E21" s="543" t="s">
        <v>2250</v>
      </c>
      <c r="F21" s="3654">
        <v>20336.827821524326</v>
      </c>
      <c r="G21" s="3666" t="str">
        <f t="shared" si="2"/>
        <v>NA</v>
      </c>
      <c r="H21" s="3667">
        <f t="shared" si="3"/>
        <v>6.8277367013097057E-2</v>
      </c>
      <c r="I21" s="3668">
        <f t="shared" si="4"/>
        <v>1.2621829929782243E-3</v>
      </c>
      <c r="J21" s="3509" t="s">
        <v>2153</v>
      </c>
      <c r="K21" s="3510">
        <v>1.3885450570523794</v>
      </c>
      <c r="L21" s="3511">
        <v>2.5668798207454394E-2</v>
      </c>
      <c r="M21" s="482"/>
    </row>
    <row r="22" spans="2:13" ht="18" customHeight="1" x14ac:dyDescent="0.2">
      <c r="B22" s="923"/>
      <c r="C22" s="4367" t="s">
        <v>2263</v>
      </c>
      <c r="D22" s="542" t="s">
        <v>940</v>
      </c>
      <c r="E22" s="543" t="s">
        <v>2250</v>
      </c>
      <c r="F22" s="3655">
        <v>6223.6271066844311</v>
      </c>
      <c r="G22" s="3666" t="str">
        <f t="shared" si="2"/>
        <v>NA</v>
      </c>
      <c r="H22" s="3667">
        <f t="shared" si="3"/>
        <v>1.4975437510707535E-2</v>
      </c>
      <c r="I22" s="3668">
        <f t="shared" si="4"/>
        <v>3.1965364556839002E-4</v>
      </c>
      <c r="J22" s="3509" t="s">
        <v>2153</v>
      </c>
      <c r="K22" s="3510">
        <v>9.3201538826098232E-2</v>
      </c>
      <c r="L22" s="3512">
        <v>1.9894050933099297E-3</v>
      </c>
      <c r="M22" s="482"/>
    </row>
    <row r="23" spans="2:13" ht="18" customHeight="1" x14ac:dyDescent="0.2">
      <c r="B23" s="923" t="s">
        <v>1274</v>
      </c>
      <c r="C23" s="4368"/>
      <c r="D23" s="298"/>
      <c r="E23" s="5" t="s">
        <v>2250</v>
      </c>
      <c r="F23" s="3681">
        <f>F24</f>
        <v>4863.0707736916293</v>
      </c>
      <c r="G23" s="3666" t="str">
        <f t="shared" si="2"/>
        <v>NA</v>
      </c>
      <c r="H23" s="3667">
        <f t="shared" si="3"/>
        <v>0.18544871248204819</v>
      </c>
      <c r="I23" s="3668">
        <f t="shared" si="4"/>
        <v>1.8266602364728787E-3</v>
      </c>
      <c r="J23" s="3505" t="str">
        <f>J24</f>
        <v>IE</v>
      </c>
      <c r="K23" s="3505">
        <f>K24</f>
        <v>0.90185021369019058</v>
      </c>
      <c r="L23" s="3508">
        <f>L24</f>
        <v>8.8831780094558964E-3</v>
      </c>
      <c r="M23" s="482"/>
    </row>
    <row r="24" spans="2:13" ht="18" customHeight="1" thickBot="1" x14ac:dyDescent="0.25">
      <c r="B24" s="938"/>
      <c r="C24" s="4369" t="s">
        <v>2251</v>
      </c>
      <c r="D24" s="939" t="s">
        <v>940</v>
      </c>
      <c r="E24" s="940" t="s">
        <v>2250</v>
      </c>
      <c r="F24" s="3656">
        <v>4863.0707736916293</v>
      </c>
      <c r="G24" s="3669" t="str">
        <f t="shared" si="2"/>
        <v>NA</v>
      </c>
      <c r="H24" s="3670">
        <f t="shared" si="3"/>
        <v>0.18544871248204819</v>
      </c>
      <c r="I24" s="3671">
        <f t="shared" si="4"/>
        <v>1.8266602364728787E-3</v>
      </c>
      <c r="J24" s="3513" t="s">
        <v>2153</v>
      </c>
      <c r="K24" s="3514">
        <v>0.90185021369019058</v>
      </c>
      <c r="L24" s="3515">
        <v>8.8831780094558964E-3</v>
      </c>
      <c r="M24" s="482"/>
    </row>
    <row r="25" spans="2:13" ht="18" customHeight="1" x14ac:dyDescent="0.2">
      <c r="B25" s="933" t="s">
        <v>1986</v>
      </c>
      <c r="C25" s="4370"/>
      <c r="D25" s="2850"/>
      <c r="E25" s="935" t="s">
        <v>2250</v>
      </c>
      <c r="F25" s="3683">
        <f>IF(SUM(F26,F31)=0,"IE",SUM(F26,F31))</f>
        <v>25336</v>
      </c>
      <c r="G25" s="3660" t="str">
        <f t="shared" si="2"/>
        <v>NA</v>
      </c>
      <c r="H25" s="3661">
        <f t="shared" si="3"/>
        <v>0.14015816229870542</v>
      </c>
      <c r="I25" s="3662">
        <f t="shared" si="4"/>
        <v>2.5909793613830123E-3</v>
      </c>
      <c r="J25" s="3502" t="str">
        <f>IF(SUM(J26,J31)=0,"IE",SUM(J26,J31))</f>
        <v>IE</v>
      </c>
      <c r="K25" s="3503">
        <f>IF(SUM(K26,K31)=0,"IE",SUM(K26,K31))</f>
        <v>3.5510472000000006</v>
      </c>
      <c r="L25" s="3504">
        <f>IF(SUM(L26,L31)=0,"IE",SUM(L26,L31))</f>
        <v>6.5645053100000003E-2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25336</v>
      </c>
      <c r="G31" s="3663" t="str">
        <f t="shared" si="2"/>
        <v>NA</v>
      </c>
      <c r="H31" s="3664">
        <f t="shared" si="3"/>
        <v>0.14015816229870542</v>
      </c>
      <c r="I31" s="3665">
        <f t="shared" si="4"/>
        <v>2.5909793613830123E-3</v>
      </c>
      <c r="J31" s="3505" t="str">
        <f>IF(SUM(J32,J34)=0,"IE",SUM(J32,J34))</f>
        <v>IE</v>
      </c>
      <c r="K31" s="3505">
        <f t="shared" ref="K31:L31" si="6">IF(SUM(K32,K34)=0,"IE",SUM(K32,K34))</f>
        <v>3.5510472000000006</v>
      </c>
      <c r="L31" s="3508">
        <f t="shared" si="6"/>
        <v>6.5645053100000003E-2</v>
      </c>
    </row>
    <row r="32" spans="2:13" ht="18" customHeight="1" x14ac:dyDescent="0.2">
      <c r="B32" s="923" t="s">
        <v>1278</v>
      </c>
      <c r="C32" s="4368"/>
      <c r="D32" s="298"/>
      <c r="E32" s="5" t="s">
        <v>2250</v>
      </c>
      <c r="F32" s="3681">
        <f>F33</f>
        <v>25336</v>
      </c>
      <c r="G32" s="3663" t="str">
        <f t="shared" si="2"/>
        <v>NA</v>
      </c>
      <c r="H32" s="3664">
        <f t="shared" si="3"/>
        <v>0.14015816229870542</v>
      </c>
      <c r="I32" s="3665">
        <f t="shared" si="4"/>
        <v>2.5909793613830123E-3</v>
      </c>
      <c r="J32" s="3505" t="str">
        <f>J33</f>
        <v>IE</v>
      </c>
      <c r="K32" s="3505">
        <f>K33</f>
        <v>3.5510472000000006</v>
      </c>
      <c r="L32" s="3508">
        <f>L33</f>
        <v>6.5645053100000003E-2</v>
      </c>
      <c r="M32" s="482"/>
    </row>
    <row r="33" spans="2:13" ht="18" customHeight="1" x14ac:dyDescent="0.2">
      <c r="B33" s="923"/>
      <c r="C33" s="4367" t="s">
        <v>2252</v>
      </c>
      <c r="D33" s="542" t="s">
        <v>940</v>
      </c>
      <c r="E33" s="543" t="s">
        <v>2250</v>
      </c>
      <c r="F33" s="3654">
        <v>25336</v>
      </c>
      <c r="G33" s="3666" t="str">
        <f t="shared" si="2"/>
        <v>NA</v>
      </c>
      <c r="H33" s="3667">
        <f t="shared" si="3"/>
        <v>0.14015816229870542</v>
      </c>
      <c r="I33" s="3668">
        <f t="shared" si="4"/>
        <v>2.5909793613830123E-3</v>
      </c>
      <c r="J33" s="3509" t="s">
        <v>2153</v>
      </c>
      <c r="K33" s="3510">
        <v>3.5510472000000006</v>
      </c>
      <c r="L33" s="3511">
        <v>6.5645053100000003E-2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51837598.254474036</v>
      </c>
      <c r="G36" s="3660" t="str">
        <f t="shared" si="2"/>
        <v>NA</v>
      </c>
      <c r="H36" s="3661">
        <f t="shared" ref="H36" si="7">IF(SUM($F36)=0,"NA",K36*1000/$F36)</f>
        <v>7.4881419673017329E-3</v>
      </c>
      <c r="I36" s="3662">
        <f t="shared" ref="I36" si="8">IF(SUM($F36)=0,"NA",L36*1000/$F36)</f>
        <v>2.0363054292807015E-4</v>
      </c>
      <c r="J36" s="3502" t="str">
        <f>IF(SUM(J37,J42)=0,"IE",SUM(J37,J42))</f>
        <v>IE</v>
      </c>
      <c r="K36" s="3503">
        <f>IF(SUM(K37,K42)=0,"NO",SUM(K37,K42))</f>
        <v>388.16729497345409</v>
      </c>
      <c r="L36" s="3504">
        <f>IF(SUM(L37,L42)=0,"NO",SUM(L37,L42))</f>
        <v>10.555718276645729</v>
      </c>
      <c r="M36" s="482"/>
    </row>
    <row r="37" spans="2:13" ht="18" customHeight="1" x14ac:dyDescent="0.2">
      <c r="B37" s="903" t="s">
        <v>1876</v>
      </c>
      <c r="C37" s="4368"/>
      <c r="D37" s="298"/>
      <c r="E37" s="5" t="s">
        <v>2250</v>
      </c>
      <c r="F37" s="3680">
        <f>IF(SUM(F38,F40)=0,"NO",SUM(F38,F40))</f>
        <v>51097522.969792053</v>
      </c>
      <c r="G37" s="3666" t="str">
        <f t="shared" si="2"/>
        <v>NA</v>
      </c>
      <c r="H37" s="3664">
        <f t="shared" si="3"/>
        <v>5.3787413943976832E-3</v>
      </c>
      <c r="I37" s="3665">
        <f t="shared" si="4"/>
        <v>1.6549200900277665E-4</v>
      </c>
      <c r="J37" s="3505" t="str">
        <f>IF(SUM(J38,J40)=0,"IE",SUM(J38,J40))</f>
        <v>IE</v>
      </c>
      <c r="K37" s="3506">
        <f>IF(SUM(K38,K40)=0,"NO",SUM(K38,K40))</f>
        <v>274.84036194880696</v>
      </c>
      <c r="L37" s="3507">
        <f>IF(SUM(L38,L40)=0,"NO",SUM(L38,L40))</f>
        <v>8.4562317313364126</v>
      </c>
    </row>
    <row r="38" spans="2:13" ht="18" customHeight="1" x14ac:dyDescent="0.2">
      <c r="B38" s="923" t="s">
        <v>1280</v>
      </c>
      <c r="C38" s="4368"/>
      <c r="D38" s="298"/>
      <c r="E38" s="5" t="s">
        <v>2250</v>
      </c>
      <c r="F38" s="3681">
        <f>F39</f>
        <v>51097522.969792053</v>
      </c>
      <c r="G38" s="3666" t="str">
        <f t="shared" si="2"/>
        <v>NA</v>
      </c>
      <c r="H38" s="3667">
        <f t="shared" si="3"/>
        <v>5.3787413943976832E-3</v>
      </c>
      <c r="I38" s="3668">
        <f t="shared" si="4"/>
        <v>1.6549200900277665E-4</v>
      </c>
      <c r="J38" s="3505" t="str">
        <f>J39</f>
        <v>IE</v>
      </c>
      <c r="K38" s="3505">
        <f>K39</f>
        <v>274.84036194880696</v>
      </c>
      <c r="L38" s="3508">
        <f>L39</f>
        <v>8.4562317313364126</v>
      </c>
      <c r="M38" s="482"/>
    </row>
    <row r="39" spans="2:13" ht="18" customHeight="1" x14ac:dyDescent="0.2">
      <c r="B39" s="923"/>
      <c r="C39" s="4367" t="s">
        <v>2263</v>
      </c>
      <c r="D39" s="542" t="s">
        <v>940</v>
      </c>
      <c r="E39" s="543" t="s">
        <v>2250</v>
      </c>
      <c r="F39" s="3655">
        <v>51097522.969792053</v>
      </c>
      <c r="G39" s="3666" t="str">
        <f t="shared" si="2"/>
        <v>NA</v>
      </c>
      <c r="H39" s="3667">
        <f t="shared" ref="H39:H40" si="9">IF(SUM($F39)=0,"NA",K39*1000/$F39)</f>
        <v>5.3787413943976832E-3</v>
      </c>
      <c r="I39" s="3668">
        <f t="shared" ref="I39:I40" si="10">IF(SUM($F39)=0,"NA",L39*1000/$F39)</f>
        <v>1.6549200900277665E-4</v>
      </c>
      <c r="J39" s="3509" t="s">
        <v>2153</v>
      </c>
      <c r="K39" s="3510">
        <v>274.84036194880696</v>
      </c>
      <c r="L39" s="3512">
        <v>8.4562317313364126</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740075.28468198015</v>
      </c>
      <c r="G42" s="3663" t="str">
        <f t="shared" si="2"/>
        <v>NA</v>
      </c>
      <c r="H42" s="3664">
        <f t="shared" si="11"/>
        <v>0.15312892535432415</v>
      </c>
      <c r="I42" s="3665">
        <f t="shared" si="12"/>
        <v>2.8368553696689019E-3</v>
      </c>
      <c r="J42" s="3505" t="str">
        <f>IF(SUM(J43,J46)=0,"IE",SUM(J43,J46))</f>
        <v>IE</v>
      </c>
      <c r="K42" s="3506">
        <f>IF(SUM(K43,K46)=0,"NO",SUM(K43,K46))</f>
        <v>113.32693302464713</v>
      </c>
      <c r="L42" s="3507">
        <f>IF(SUM(L43,L46)=0,"NO",SUM(L43,L46))</f>
        <v>2.0994865453093166</v>
      </c>
    </row>
    <row r="43" spans="2:13" ht="18" customHeight="1" x14ac:dyDescent="0.2">
      <c r="B43" s="923" t="s">
        <v>1283</v>
      </c>
      <c r="C43" s="4368"/>
      <c r="D43" s="298"/>
      <c r="E43" s="5" t="s">
        <v>2250</v>
      </c>
      <c r="F43" s="3681">
        <f>IF(SUM(F44:F45)=0,"NO",SUM(F44:F45))</f>
        <v>740075.28468198015</v>
      </c>
      <c r="G43" s="3666" t="str">
        <f t="shared" si="2"/>
        <v>NA</v>
      </c>
      <c r="H43" s="3667">
        <f t="shared" ref="H43" si="13">IF(SUM($F43)=0,"NA",K43*1000/$F43)</f>
        <v>0.15312892535432415</v>
      </c>
      <c r="I43" s="3668">
        <f t="shared" ref="I43" si="14">IF(SUM($F43)=0,"NA",L43*1000/$F43)</f>
        <v>2.8368553696689019E-3</v>
      </c>
      <c r="J43" s="3505" t="str">
        <f>IF(SUM(J44:J45)=0,"IE",SUM(J44:J45))</f>
        <v>IE</v>
      </c>
      <c r="K43" s="3505">
        <f>IF(SUM(K44:K45)=0,"NO",SUM(K44:K45))</f>
        <v>113.32693302464713</v>
      </c>
      <c r="L43" s="3508">
        <f>IF(SUM(L44:L45)=0,"NO",SUM(L44:L45))</f>
        <v>2.0994865453093166</v>
      </c>
      <c r="M43" s="482"/>
    </row>
    <row r="44" spans="2:13" ht="18" customHeight="1" x14ac:dyDescent="0.2">
      <c r="B44" s="923"/>
      <c r="C44" s="4367" t="s">
        <v>2252</v>
      </c>
      <c r="D44" s="542" t="s">
        <v>940</v>
      </c>
      <c r="E44" s="543" t="s">
        <v>2250</v>
      </c>
      <c r="F44" s="3655">
        <v>667001.74346550484</v>
      </c>
      <c r="G44" s="3666" t="str">
        <f t="shared" si="2"/>
        <v>NA</v>
      </c>
      <c r="H44" s="3667">
        <f t="shared" ref="H44:H46" si="15">IF(SUM($F44)=0,"NA",K44*1000/$F44)</f>
        <v>0.16853570517197833</v>
      </c>
      <c r="I44" s="3668">
        <f t="shared" ref="I44:I46" si="16">IF(SUM($F44)=0,"NA",L44*1000/$F44)</f>
        <v>3.115569771998655E-3</v>
      </c>
      <c r="J44" s="3509" t="s">
        <v>2153</v>
      </c>
      <c r="K44" s="3510">
        <v>112.41360918589784</v>
      </c>
      <c r="L44" s="3512">
        <v>2.0780904698115283</v>
      </c>
      <c r="M44" s="482"/>
    </row>
    <row r="45" spans="2:13" ht="18" customHeight="1" x14ac:dyDescent="0.2">
      <c r="B45" s="923"/>
      <c r="C45" s="4367" t="s">
        <v>2263</v>
      </c>
      <c r="D45" s="542" t="s">
        <v>940</v>
      </c>
      <c r="E45" s="543" t="s">
        <v>2250</v>
      </c>
      <c r="F45" s="3655">
        <v>73073.541216475263</v>
      </c>
      <c r="G45" s="3666" t="str">
        <f t="shared" si="2"/>
        <v>NA</v>
      </c>
      <c r="H45" s="3667">
        <f t="shared" si="15"/>
        <v>1.2498694103843116E-2</v>
      </c>
      <c r="I45" s="3668">
        <f t="shared" si="16"/>
        <v>2.928019518638631E-4</v>
      </c>
      <c r="J45" s="3509" t="s">
        <v>2153</v>
      </c>
      <c r="K45" s="3510">
        <v>0.91332383874929635</v>
      </c>
      <c r="L45" s="3512">
        <v>2.1396075497788405E-2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898821.65255294601</v>
      </c>
      <c r="G48" s="3660" t="str">
        <f t="shared" si="2"/>
        <v>NA</v>
      </c>
      <c r="H48" s="3661">
        <f t="shared" si="17"/>
        <v>1.8158234779477023E-2</v>
      </c>
      <c r="I48" s="3662">
        <f t="shared" si="18"/>
        <v>3.7608678179293158E-4</v>
      </c>
      <c r="J48" s="3502" t="str">
        <f>IF(SUM(J49,J54)=0,"IE",SUM(J49,J54))</f>
        <v>IE</v>
      </c>
      <c r="K48" s="3503">
        <f>IF(SUM(K49,K54)=0,"NO",SUM(K49,K54))</f>
        <v>16.321014591933917</v>
      </c>
      <c r="L48" s="3504">
        <f>IF(SUM(L49,L54)=0,"NO",SUM(L49,L54))</f>
        <v>0.33803494271444195</v>
      </c>
      <c r="M48" s="482"/>
    </row>
    <row r="49" spans="2:13" ht="18" customHeight="1" x14ac:dyDescent="0.2">
      <c r="B49" s="903" t="s">
        <v>1285</v>
      </c>
      <c r="C49" s="4368"/>
      <c r="D49" s="298"/>
      <c r="E49" s="5" t="s">
        <v>2250</v>
      </c>
      <c r="F49" s="3680">
        <f>IF(SUM(F50,F52)=0,"NO",SUM(F50,F52))</f>
        <v>898821.65255294601</v>
      </c>
      <c r="G49" s="3663" t="str">
        <f t="shared" si="2"/>
        <v>NA</v>
      </c>
      <c r="H49" s="3664">
        <f t="shared" si="17"/>
        <v>1.8158234779477023E-2</v>
      </c>
      <c r="I49" s="3665">
        <f t="shared" si="18"/>
        <v>3.7608678179293158E-4</v>
      </c>
      <c r="J49" s="3505" t="str">
        <f>IF(SUM(J50,J52)=0,"IE",SUM(J50,J52))</f>
        <v>IE</v>
      </c>
      <c r="K49" s="3506">
        <f>IF(SUM(K50,K52)=0,"NO",SUM(K50,K52))</f>
        <v>16.321014591933917</v>
      </c>
      <c r="L49" s="3507">
        <f>IF(SUM(L50,L52)=0,"NO",SUM(L50,L52))</f>
        <v>0.33803494271444195</v>
      </c>
    </row>
    <row r="50" spans="2:13" ht="18" customHeight="1" x14ac:dyDescent="0.2">
      <c r="B50" s="923" t="s">
        <v>1286</v>
      </c>
      <c r="C50" s="4368"/>
      <c r="D50" s="298"/>
      <c r="E50" s="5" t="s">
        <v>2250</v>
      </c>
      <c r="F50" s="3681">
        <f>F51</f>
        <v>898821.65255294601</v>
      </c>
      <c r="G50" s="3666" t="str">
        <f t="shared" si="2"/>
        <v>NA</v>
      </c>
      <c r="H50" s="3667">
        <f t="shared" si="17"/>
        <v>1.8158234779477023E-2</v>
      </c>
      <c r="I50" s="3668">
        <f t="shared" si="18"/>
        <v>3.7608678179293158E-4</v>
      </c>
      <c r="J50" s="3505" t="str">
        <f>J51</f>
        <v>IE</v>
      </c>
      <c r="K50" s="3505">
        <f>K51</f>
        <v>16.321014591933917</v>
      </c>
      <c r="L50" s="3508">
        <f>L51</f>
        <v>0.33803494271444195</v>
      </c>
      <c r="M50" s="482"/>
    </row>
    <row r="51" spans="2:13" ht="18" customHeight="1" x14ac:dyDescent="0.2">
      <c r="B51" s="923"/>
      <c r="C51" s="4367" t="s">
        <v>2263</v>
      </c>
      <c r="D51" s="542" t="s">
        <v>940</v>
      </c>
      <c r="E51" s="543" t="s">
        <v>2250</v>
      </c>
      <c r="F51" s="3655">
        <v>898821.65255294601</v>
      </c>
      <c r="G51" s="3666" t="str">
        <f t="shared" si="2"/>
        <v>NA</v>
      </c>
      <c r="H51" s="3667">
        <f t="shared" si="17"/>
        <v>1.8158234779477023E-2</v>
      </c>
      <c r="I51" s="3668">
        <f t="shared" si="18"/>
        <v>3.7608678179293158E-4</v>
      </c>
      <c r="J51" s="3509" t="s">
        <v>2153</v>
      </c>
      <c r="K51" s="3510">
        <v>16.321014591933917</v>
      </c>
      <c r="L51" s="3512">
        <v>0.33803494271444195</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24018</v>
      </c>
      <c r="G59" s="3660" t="str">
        <f t="shared" si="2"/>
        <v>NA</v>
      </c>
      <c r="H59" s="3661">
        <f t="shared" si="3"/>
        <v>0.17369812640519613</v>
      </c>
      <c r="I59" s="3662">
        <f t="shared" si="4"/>
        <v>3.2110028645182778E-3</v>
      </c>
      <c r="J59" s="3502" t="str">
        <f>IF(SUM(J60,J65)=0,"IE",SUM(J60,J65))</f>
        <v>IE</v>
      </c>
      <c r="K59" s="3503">
        <f>IF(SUM(K60,K65)=0,"NO",SUM(K60,K65))</f>
        <v>4.1718816000000007</v>
      </c>
      <c r="L59" s="3504">
        <f>IF(SUM(L60,L65)=0,"NO",SUM(L60,L65))</f>
        <v>7.7121866799999994E-2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24018</v>
      </c>
      <c r="G65" s="3663" t="str">
        <f t="shared" si="2"/>
        <v>NA</v>
      </c>
      <c r="H65" s="3664">
        <f t="shared" si="3"/>
        <v>0.17369812640519613</v>
      </c>
      <c r="I65" s="3665">
        <f t="shared" si="4"/>
        <v>3.2110028645182778E-3</v>
      </c>
      <c r="J65" s="3505" t="str">
        <f>IF(SUM(J66,J68)=0,"IE",SUM(J66,J68))</f>
        <v>IE</v>
      </c>
      <c r="K65" s="3506">
        <f>IF(SUM(K66,K68)=0,"NO",SUM(K66,K68))</f>
        <v>4.1718816000000007</v>
      </c>
      <c r="L65" s="3507">
        <f>IF(SUM(L66,L68)=0,"NO",SUM(L66,L68))</f>
        <v>7.7121866799999994E-2</v>
      </c>
    </row>
    <row r="66" spans="2:13" ht="18" customHeight="1" x14ac:dyDescent="0.2">
      <c r="B66" s="923" t="s">
        <v>1294</v>
      </c>
      <c r="C66" s="4368"/>
      <c r="D66" s="298"/>
      <c r="E66" s="5" t="s">
        <v>2250</v>
      </c>
      <c r="F66" s="3681">
        <f>F67</f>
        <v>24018</v>
      </c>
      <c r="G66" s="3666" t="str">
        <f t="shared" si="2"/>
        <v>NA</v>
      </c>
      <c r="H66" s="3667">
        <f t="shared" si="3"/>
        <v>0.17369812640519613</v>
      </c>
      <c r="I66" s="3668">
        <f t="shared" si="4"/>
        <v>3.2110028645182778E-3</v>
      </c>
      <c r="J66" s="3505" t="str">
        <f>J67</f>
        <v>IE</v>
      </c>
      <c r="K66" s="3505">
        <f>K67</f>
        <v>4.1718816000000007</v>
      </c>
      <c r="L66" s="3508">
        <f>L67</f>
        <v>7.7121866799999994E-2</v>
      </c>
      <c r="M66" s="482"/>
    </row>
    <row r="67" spans="2:13" ht="18" customHeight="1" x14ac:dyDescent="0.2">
      <c r="B67" s="923"/>
      <c r="C67" s="4367" t="s">
        <v>2252</v>
      </c>
      <c r="D67" s="542" t="s">
        <v>940</v>
      </c>
      <c r="E67" s="543" t="s">
        <v>2250</v>
      </c>
      <c r="F67" s="3655">
        <v>24018</v>
      </c>
      <c r="G67" s="3666" t="str">
        <f t="shared" si="2"/>
        <v>NA</v>
      </c>
      <c r="H67" s="3667">
        <f t="shared" ref="H67:H68" si="23">IF(SUM($F67)=0,"NA",K67*1000/$F67)</f>
        <v>0.17369812640519613</v>
      </c>
      <c r="I67" s="3668">
        <f t="shared" ref="I67:I68" si="24">IF(SUM($F67)=0,"NA",L67*1000/$F67)</f>
        <v>3.2110028645182778E-3</v>
      </c>
      <c r="J67" s="3509" t="s">
        <v>2153</v>
      </c>
      <c r="K67" s="3510">
        <v>4.1718816000000007</v>
      </c>
      <c r="L67" s="3512">
        <v>7.7121866799999994E-2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5166.3154419308139</v>
      </c>
      <c r="D10" s="3521">
        <f>IF(SUM(D11,D16:D17)=0,"NO",SUM(D11,D16:D17))</f>
        <v>-3427.2458314609994</v>
      </c>
      <c r="E10" s="3522"/>
      <c r="F10" s="3523">
        <f>IF(SUM(F11,F16:F17)=0,"NO",SUM(F11,F16:F17))</f>
        <v>1739.0696104698143</v>
      </c>
      <c r="G10" s="3524">
        <f>IF(SUM(G11,G16:G17)=0,"NO",SUM(G11,G16:G17))</f>
        <v>-6376.588571722652</v>
      </c>
      <c r="H10" s="226"/>
      <c r="I10" s="2"/>
      <c r="J10" s="2"/>
    </row>
    <row r="11" spans="1:10" ht="18" customHeight="1" x14ac:dyDescent="0.2">
      <c r="B11" s="606" t="s">
        <v>1314</v>
      </c>
      <c r="C11" s="3525">
        <f>IF(SUM(C13:C15)=0,"NO",SUM(C13:C15))</f>
        <v>1718.9251882980448</v>
      </c>
      <c r="D11" s="3526">
        <f>IF(SUM(D13:D15)=0,"NO",SUM(D13:D15))</f>
        <v>-693.30751036251093</v>
      </c>
      <c r="E11" s="3527"/>
      <c r="F11" s="3528">
        <f>IF(SUM(F13:F15)=0,"NO",SUM(F13:F15))</f>
        <v>1025.6176779355337</v>
      </c>
      <c r="G11" s="3529">
        <f>IF(SUM(G13:G15)=0,"NO",SUM(G13:G15))</f>
        <v>-3760.5981524302897</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1209.71808220357</v>
      </c>
      <c r="D13" s="3534">
        <f>F13-C13</f>
        <v>-425.17583453136854</v>
      </c>
      <c r="E13" s="3535" t="s">
        <v>2147</v>
      </c>
      <c r="F13" s="3536">
        <f>G13/(-44/12)</f>
        <v>784.54224767220148</v>
      </c>
      <c r="G13" s="3537">
        <v>-2876.6549081314051</v>
      </c>
      <c r="H13" s="226"/>
      <c r="I13" s="2"/>
      <c r="J13" s="2"/>
    </row>
    <row r="14" spans="1:10" ht="18" customHeight="1" x14ac:dyDescent="0.2">
      <c r="B14" s="1193" t="s">
        <v>1316</v>
      </c>
      <c r="C14" s="3538">
        <v>509.20710609447463</v>
      </c>
      <c r="D14" s="3539">
        <f>F14-C14</f>
        <v>-268.13167583114239</v>
      </c>
      <c r="E14" s="3235" t="s">
        <v>2147</v>
      </c>
      <c r="F14" s="3540">
        <f>G14/(-44/12)</f>
        <v>241.07543026333224</v>
      </c>
      <c r="G14" s="3537">
        <v>-883.94324429888479</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2136.1556605037708</v>
      </c>
      <c r="D16" s="3539">
        <f>F16-C16</f>
        <v>-2171.7653336914586</v>
      </c>
      <c r="E16" s="3235" t="s">
        <v>2147</v>
      </c>
      <c r="F16" s="3540">
        <f>G16/(-44/12)</f>
        <v>-35.609673187687804</v>
      </c>
      <c r="G16" s="3537">
        <v>130.56880168818861</v>
      </c>
      <c r="H16" s="226"/>
      <c r="I16" s="2"/>
      <c r="J16" s="2"/>
    </row>
    <row r="17" spans="2:10" ht="18" customHeight="1" x14ac:dyDescent="0.2">
      <c r="B17" s="1197" t="s">
        <v>1320</v>
      </c>
      <c r="C17" s="3542">
        <f>C18</f>
        <v>1311.2345931289979</v>
      </c>
      <c r="D17" s="3543">
        <f t="shared" ref="D17:F17" si="0">D18</f>
        <v>-562.1729874070295</v>
      </c>
      <c r="E17" s="3544"/>
      <c r="F17" s="3226">
        <f t="shared" si="0"/>
        <v>749.06160572196836</v>
      </c>
      <c r="G17" s="3537">
        <f>-F17*44/12</f>
        <v>-2746.5592209805509</v>
      </c>
      <c r="H17" s="226"/>
      <c r="I17" s="2"/>
      <c r="J17" s="2"/>
    </row>
    <row r="18" spans="2:10" ht="18" customHeight="1" thickBot="1" x14ac:dyDescent="0.25">
      <c r="B18" s="561" t="s">
        <v>2254</v>
      </c>
      <c r="C18" s="3545">
        <v>1311.2345931289979</v>
      </c>
      <c r="D18" s="3546">
        <f>F18-C18</f>
        <v>-562.1729874070295</v>
      </c>
      <c r="E18" s="3238" t="s">
        <v>2147</v>
      </c>
      <c r="F18" s="3547">
        <f>G18/(-44/12)</f>
        <v>749.06160572196836</v>
      </c>
      <c r="G18" s="3548">
        <v>-2746.5592209805504</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29.670531219562221</v>
      </c>
      <c r="D10" s="4371">
        <f t="shared" ref="D10:I10" si="0">IF(SUM(D11,D15,D18,D21)=0,"NO",SUM(D11,D15,D18,D21))</f>
        <v>556.6206221164382</v>
      </c>
      <c r="E10" s="4371">
        <f t="shared" si="0"/>
        <v>0.97212226391401435</v>
      </c>
      <c r="F10" s="4371" t="str">
        <f t="shared" si="0"/>
        <v>NO</v>
      </c>
      <c r="G10" s="4371" t="str">
        <f t="shared" si="0"/>
        <v>NO</v>
      </c>
      <c r="H10" s="4371">
        <f t="shared" si="0"/>
        <v>260.24360468428273</v>
      </c>
      <c r="I10" s="4372" t="str">
        <f t="shared" si="0"/>
        <v>NO</v>
      </c>
      <c r="J10" s="4373">
        <f>IF(SUM(C10:E10)=0,"NO",SUM(C10,IFERROR(28*D10,0),IFERROR(265*E10,0)))</f>
        <v>15872.660350417045</v>
      </c>
    </row>
    <row r="11" spans="1:10" ht="18" customHeight="1" x14ac:dyDescent="0.2">
      <c r="B11" s="1504" t="s">
        <v>1371</v>
      </c>
      <c r="C11" s="4374"/>
      <c r="D11" s="2883">
        <f>IF(SUM(D12:D14)=0,"NO",SUM(D12:D14))</f>
        <v>439.03412183</v>
      </c>
      <c r="E11" s="4374"/>
      <c r="F11" s="2883" t="str">
        <f>IF(SUM(F12:F14)=0,"NO",SUM(F12:F14))</f>
        <v>NO</v>
      </c>
      <c r="G11" s="2883" t="str">
        <f t="shared" ref="G11:H11" si="1">IF(SUM(G12:G14)=0,"NO",SUM(G12:G14))</f>
        <v>NO</v>
      </c>
      <c r="H11" s="2883">
        <f t="shared" si="1"/>
        <v>2.9094849859015626</v>
      </c>
      <c r="I11" s="2153"/>
      <c r="J11" s="2872">
        <f t="shared" ref="J11:J18" si="2">IF(SUM(C11:E11)=0,"NO",SUM(C11,IFERROR(28*D11,0),IFERROR(265*E11,0)))</f>
        <v>12292.95541124</v>
      </c>
    </row>
    <row r="12" spans="1:10" ht="18" customHeight="1" x14ac:dyDescent="0.2">
      <c r="B12" s="1270" t="s">
        <v>1372</v>
      </c>
      <c r="C12" s="4375"/>
      <c r="D12" s="4376">
        <f>IF(SUM(Table5.A!F10:H10)=0,"NO",SUM(Table5.A!F10))</f>
        <v>439.03412183</v>
      </c>
      <c r="E12" s="4375"/>
      <c r="F12" s="4377" t="s">
        <v>2147</v>
      </c>
      <c r="G12" s="4377" t="s">
        <v>2147</v>
      </c>
      <c r="H12" s="4377">
        <v>2.9094849859015626</v>
      </c>
      <c r="I12" s="4378"/>
      <c r="J12" s="4379">
        <f t="shared" si="2"/>
        <v>12292.95541124</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2.6635267499999995</v>
      </c>
      <c r="E15" s="2881">
        <f t="shared" ref="E15" si="3">IF(SUM(E16:E17)=0,"NO",SUM(E16:E17))</f>
        <v>0.34093142400000004</v>
      </c>
      <c r="F15" s="2881" t="s">
        <v>2256</v>
      </c>
      <c r="G15" s="2881" t="s">
        <v>2256</v>
      </c>
      <c r="H15" s="2881" t="s">
        <v>2256</v>
      </c>
      <c r="I15" s="4386"/>
      <c r="J15" s="2873">
        <f t="shared" si="2"/>
        <v>164.92557635999998</v>
      </c>
    </row>
    <row r="16" spans="1:10" ht="18" customHeight="1" x14ac:dyDescent="0.2">
      <c r="B16" s="1883" t="s">
        <v>1376</v>
      </c>
      <c r="C16" s="4387"/>
      <c r="D16" s="4376">
        <f>Table5.B!F10</f>
        <v>2.6635267499999995</v>
      </c>
      <c r="E16" s="4376">
        <f>Table5.B!G10</f>
        <v>0.34093142400000004</v>
      </c>
      <c r="F16" s="4388" t="s">
        <v>2147</v>
      </c>
      <c r="G16" s="4388" t="s">
        <v>2147</v>
      </c>
      <c r="H16" s="4388" t="s">
        <v>2147</v>
      </c>
      <c r="I16" s="4378"/>
      <c r="J16" s="4379">
        <f t="shared" si="2"/>
        <v>164.92557635999998</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29.670531219562221</v>
      </c>
      <c r="D18" s="2871" t="str">
        <f>IF(SUM(D19:D20)=0,"NO,NE",SUM(D19:D20))</f>
        <v>NO,NE</v>
      </c>
      <c r="E18" s="2871" t="str">
        <f>IF(SUM(E19:E20)=0,"NO,NE",SUM(E19:E20))</f>
        <v>NO,NE</v>
      </c>
      <c r="F18" s="2871" t="s">
        <v>2147</v>
      </c>
      <c r="G18" s="2871" t="s">
        <v>2147</v>
      </c>
      <c r="H18" s="2871" t="s">
        <v>2147</v>
      </c>
      <c r="I18" s="2871" t="s">
        <v>2147</v>
      </c>
      <c r="J18" s="2874">
        <f t="shared" si="2"/>
        <v>29.670531219562221</v>
      </c>
    </row>
    <row r="19" spans="2:12" ht="18" customHeight="1" x14ac:dyDescent="0.2">
      <c r="B19" s="1270" t="s">
        <v>1379</v>
      </c>
      <c r="C19" s="4376">
        <f>Table5.C!G10</f>
        <v>29.670531219562221</v>
      </c>
      <c r="D19" s="4376" t="str">
        <f>Table5.C!H10</f>
        <v>NO,NE</v>
      </c>
      <c r="E19" s="4376" t="str">
        <f>Table5.C!I10</f>
        <v>NO,NE</v>
      </c>
      <c r="F19" s="4391" t="s">
        <v>2147</v>
      </c>
      <c r="G19" s="4391" t="s">
        <v>2147</v>
      </c>
      <c r="H19" s="4391" t="s">
        <v>2147</v>
      </c>
      <c r="I19" s="4391" t="s">
        <v>2147</v>
      </c>
      <c r="J19" s="4379">
        <f>IF(SUM(C19:E19)=0,"NO",SUM(C19,IFERROR(28*D19,0),IFERROR(265*E19,0)))</f>
        <v>29.670531219562221</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114.92297353643815</v>
      </c>
      <c r="E21" s="2871">
        <f t="shared" ref="E21:H21" si="5">IF(SUM(E22:E24)=0,"NO",SUM(E22:E24))</f>
        <v>0.63119083991401437</v>
      </c>
      <c r="F21" s="2871" t="str">
        <f t="shared" si="5"/>
        <v>NO</v>
      </c>
      <c r="G21" s="2871" t="str">
        <f t="shared" si="5"/>
        <v>NO</v>
      </c>
      <c r="H21" s="2871">
        <f t="shared" si="5"/>
        <v>257.33411969838119</v>
      </c>
      <c r="I21" s="4393"/>
      <c r="J21" s="2874">
        <f t="shared" si="4"/>
        <v>3385.1088315974821</v>
      </c>
    </row>
    <row r="22" spans="2:12" ht="18" customHeight="1" x14ac:dyDescent="0.2">
      <c r="B22" s="1270" t="s">
        <v>1382</v>
      </c>
      <c r="C22" s="4394"/>
      <c r="D22" s="4376">
        <f>IF(SUM(Table5.D!H10)=0,"NO",SUM(Table5.D!H10))</f>
        <v>59.826498501401552</v>
      </c>
      <c r="E22" s="4376">
        <f>IF(SUM(Table5.D!I10:J10)=0,"NO",SUM(Table5.D!I10:J10))</f>
        <v>0.63119083991401437</v>
      </c>
      <c r="F22" s="4377" t="s">
        <v>2147</v>
      </c>
      <c r="G22" s="4377" t="s">
        <v>2147</v>
      </c>
      <c r="H22" s="4377">
        <v>6.8670594635048596</v>
      </c>
      <c r="I22" s="4378"/>
      <c r="J22" s="4379">
        <f t="shared" si="4"/>
        <v>1842.4075306164573</v>
      </c>
    </row>
    <row r="23" spans="2:12" ht="18" customHeight="1" x14ac:dyDescent="0.2">
      <c r="B23" s="1270" t="s">
        <v>1383</v>
      </c>
      <c r="C23" s="4394"/>
      <c r="D23" s="4376">
        <f>IF(SUM(Table5.D!H11)=0,"NO",SUM(Table5.D!H11))</f>
        <v>55.096475035036605</v>
      </c>
      <c r="E23" s="4376" t="str">
        <f>IF(SUM(Table5.D!I11:J11)=0,"IE",SUM(Table5.D!I11:J11))</f>
        <v>IE</v>
      </c>
      <c r="F23" s="4377" t="s">
        <v>2147</v>
      </c>
      <c r="G23" s="4377" t="s">
        <v>2147</v>
      </c>
      <c r="H23" s="4377">
        <v>250.4670602348763</v>
      </c>
      <c r="I23" s="4378"/>
      <c r="J23" s="4379">
        <f t="shared" si="4"/>
        <v>1542.7013009810248</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-264169.75243978453</v>
      </c>
      <c r="D28" s="4404"/>
      <c r="E28" s="4404"/>
      <c r="F28" s="4404"/>
      <c r="G28" s="4404"/>
      <c r="H28" s="4404"/>
      <c r="I28" s="4405"/>
      <c r="J28" s="4406"/>
      <c r="K28"/>
      <c r="L28"/>
    </row>
    <row r="29" spans="2:12" ht="18" customHeight="1" x14ac:dyDescent="0.2">
      <c r="B29" s="2487" t="s">
        <v>2081</v>
      </c>
      <c r="C29" s="4407">
        <v>-5503.0873599637589</v>
      </c>
      <c r="D29" s="4408"/>
      <c r="E29" s="4408"/>
      <c r="F29" s="4408"/>
      <c r="G29" s="4408"/>
      <c r="H29" s="4408"/>
      <c r="I29" s="4406"/>
      <c r="J29" s="4406"/>
      <c r="K29"/>
      <c r="L29"/>
    </row>
    <row r="30" spans="2:12" ht="29.25" customHeight="1" thickBot="1" x14ac:dyDescent="0.25">
      <c r="B30" s="2488" t="s">
        <v>2082</v>
      </c>
      <c r="C30" s="4409">
        <v>-2746.5592209805504</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21366.908456783018</v>
      </c>
      <c r="D10" s="3752"/>
      <c r="E10" s="3751">
        <f>IF(SUM(C10)=0,"NA",(F10-SUM(G10:H10))/C10)</f>
        <v>3.0637755721847706E-2</v>
      </c>
      <c r="F10" s="3753">
        <f>F11</f>
        <v>439.03412183</v>
      </c>
      <c r="G10" s="3753" t="str">
        <f>G11</f>
        <v>IE</v>
      </c>
      <c r="H10" s="3754">
        <f>H11</f>
        <v>-215.6</v>
      </c>
      <c r="I10" s="44"/>
    </row>
    <row r="11" spans="1:13" ht="18" customHeight="1" x14ac:dyDescent="0.2">
      <c r="B11" s="1750" t="s">
        <v>1395</v>
      </c>
      <c r="C11" s="3755">
        <f>IF(SUM(C13:C16)=0,"NO",SUM(C13:C16))</f>
        <v>21366.908456783018</v>
      </c>
      <c r="D11" s="3755">
        <v>1</v>
      </c>
      <c r="E11" s="3755">
        <f>IF(SUM(C11)=0,"NA",(F11-SUM(G11:H11))/C11)</f>
        <v>3.0637755721847706E-2</v>
      </c>
      <c r="F11" s="3755">
        <f>IF(SUM(F13:F16)=0,"NO",SUM(F13:F16))</f>
        <v>439.03412183</v>
      </c>
      <c r="G11" s="3756" t="s">
        <v>2153</v>
      </c>
      <c r="H11" s="3757">
        <v>-215.6</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12816.373949601506</v>
      </c>
      <c r="D13" s="3762">
        <v>1</v>
      </c>
      <c r="E13" s="3755" t="s">
        <v>2153</v>
      </c>
      <c r="F13" s="3762">
        <v>16.262184229999999</v>
      </c>
      <c r="G13" s="3763"/>
      <c r="H13" s="3764"/>
      <c r="I13" s="44"/>
    </row>
    <row r="14" spans="1:13" ht="18" customHeight="1" x14ac:dyDescent="0.2">
      <c r="B14" s="1751" t="s">
        <v>1398</v>
      </c>
      <c r="C14" s="3762">
        <v>2876.0837983674132</v>
      </c>
      <c r="D14" s="3762">
        <v>1</v>
      </c>
      <c r="E14" s="3755" t="s">
        <v>2153</v>
      </c>
      <c r="F14" s="3762">
        <v>191.04191839999999</v>
      </c>
      <c r="G14" s="3763"/>
      <c r="H14" s="3764"/>
      <c r="I14" s="44"/>
    </row>
    <row r="15" spans="1:13" ht="18" customHeight="1" x14ac:dyDescent="0.2">
      <c r="B15" s="1751" t="s">
        <v>1399</v>
      </c>
      <c r="C15" s="3762">
        <v>5674.4507088140972</v>
      </c>
      <c r="D15" s="3762">
        <v>1</v>
      </c>
      <c r="E15" s="3755" t="s">
        <v>2153</v>
      </c>
      <c r="F15" s="3762">
        <v>231.73001919999999</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3551.3690000000001</v>
      </c>
      <c r="D10" s="1913">
        <f>IF(SUM($C10)=0,"NA",F10*1000/$C10)</f>
        <v>0.74999999999999989</v>
      </c>
      <c r="E10" s="1913">
        <f>IF(SUM($C10)=0,"NA",G10*1000/$C10)</f>
        <v>9.6000000000000016E-2</v>
      </c>
      <c r="F10" s="1909">
        <f>IF(SUM(F11:F12)=0,"NO",SUM(F11:F12))</f>
        <v>2.6635267499999995</v>
      </c>
      <c r="G10" s="1909">
        <f>IF(SUM(G11:G12)=0,"NO",SUM(G11:G12))</f>
        <v>0.34093142400000004</v>
      </c>
      <c r="H10" s="1910"/>
      <c r="I10" s="1911"/>
    </row>
    <row r="11" spans="1:9" ht="18" customHeight="1" x14ac:dyDescent="0.2">
      <c r="B11" s="1526" t="s">
        <v>1411</v>
      </c>
      <c r="C11" s="1912">
        <v>3551.3690000000001</v>
      </c>
      <c r="D11" s="1913">
        <f>IF(SUM($C11)=0,"NA",F11*1000/$C11)</f>
        <v>0.74999999999999989</v>
      </c>
      <c r="E11" s="1913">
        <f>IF(SUM($C11)=0,"NA",G11*1000/$C11)</f>
        <v>9.6000000000000016E-2</v>
      </c>
      <c r="F11" s="1912">
        <v>2.6635267499999995</v>
      </c>
      <c r="G11" s="1912">
        <v>0.34093142400000004</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14.150605507842638</v>
      </c>
      <c r="D10" s="2887">
        <f>IF(SUM(G10)=0,"NA",G10*1000/$C10)</f>
        <v>2096.7676049705456</v>
      </c>
      <c r="E10" s="2887" t="str">
        <f t="shared" ref="E10:E20" si="0">IF(SUM(H10)=0,"NA",H10*1000/$C10)</f>
        <v>NA</v>
      </c>
      <c r="F10" s="2887" t="str">
        <f t="shared" ref="F10:F20" si="1">IF(SUM(I10)=0,"NA",I10*1000/$C10)</f>
        <v>NA</v>
      </c>
      <c r="G10" s="2887">
        <f>IF(SUM(G11,G21)=0,"NO",SUM(G11,G21))</f>
        <v>29.670531219562221</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14.150605507842638</v>
      </c>
      <c r="D21" s="116">
        <f>IF(SUM(G21)=0,"NA",G21*1000/$C21)</f>
        <v>2096.7676049705456</v>
      </c>
      <c r="E21" s="116" t="str">
        <f t="shared" ref="E21:F21" si="3">IF(SUM(H21)=0,"NA",H21*1000/$C21)</f>
        <v>NA</v>
      </c>
      <c r="F21" s="116" t="str">
        <f t="shared" si="3"/>
        <v>NA</v>
      </c>
      <c r="G21" s="2889">
        <f>IF(SUM(G22:G23)=0,"NO",SUM(G22:G23))</f>
        <v>29.670531219562221</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14.150605507842638</v>
      </c>
      <c r="D23" s="116">
        <f t="shared" si="4"/>
        <v>2096.7676049705456</v>
      </c>
      <c r="E23" s="151" t="str">
        <f t="shared" si="5"/>
        <v>NA</v>
      </c>
      <c r="F23" s="151" t="str">
        <f t="shared" si="6"/>
        <v>NA</v>
      </c>
      <c r="G23" s="151">
        <f>IF(SUM(G25:G30)=0,"NO",SUM(G25:G30))</f>
        <v>29.670531219562221</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14.150605507842638</v>
      </c>
      <c r="D27" s="116">
        <f t="shared" si="4"/>
        <v>879.99999999999989</v>
      </c>
      <c r="E27" s="116" t="str">
        <f t="shared" si="5"/>
        <v>NA</v>
      </c>
      <c r="F27" s="116" t="str">
        <f t="shared" si="6"/>
        <v>NA</v>
      </c>
      <c r="G27" s="2897">
        <v>12.452532846901521</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20853.517</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35.255416038214449</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2430.9725254999598</v>
      </c>
      <c r="D10" s="3435">
        <v>1867.2225155098099</v>
      </c>
      <c r="E10" s="3435">
        <v>118.875424583963</v>
      </c>
      <c r="F10" s="3436">
        <f>(SUM(H10)-SUM(K10:L10))/C10</f>
        <v>4.6030655850442304E-2</v>
      </c>
      <c r="G10" s="3437">
        <f>SUM(I10:J10)/E10/(44/28)</f>
        <v>3.3788892829013486E-3</v>
      </c>
      <c r="H10" s="3434">
        <v>59.826498501401552</v>
      </c>
      <c r="I10" s="3223">
        <v>0.63119083991401437</v>
      </c>
      <c r="J10" s="3223" t="s">
        <v>2153</v>
      </c>
      <c r="K10" s="3438">
        <v>-16.341706529159861</v>
      </c>
      <c r="L10" s="2911">
        <v>-35.731054672607819</v>
      </c>
      <c r="M10"/>
      <c r="N10" s="1770" t="s">
        <v>1468</v>
      </c>
      <c r="O10" s="3440">
        <v>1</v>
      </c>
    </row>
    <row r="11" spans="1:15" ht="18" customHeight="1" x14ac:dyDescent="0.2">
      <c r="A11"/>
      <c r="B11" s="1749" t="s">
        <v>1383</v>
      </c>
      <c r="C11" s="3435">
        <v>834.89020078292106</v>
      </c>
      <c r="D11" s="3435">
        <v>123.717063314619</v>
      </c>
      <c r="E11" s="691" t="s">
        <v>2153</v>
      </c>
      <c r="F11" s="3162">
        <f>(SUM(H11)-SUM(K11:L11))/C11</f>
        <v>6.9030035648033602E-2</v>
      </c>
      <c r="G11" s="3162" t="s">
        <v>2147</v>
      </c>
      <c r="H11" s="691">
        <v>55.096475035036605</v>
      </c>
      <c r="I11" s="691" t="s">
        <v>2153</v>
      </c>
      <c r="J11" s="691" t="s">
        <v>2153</v>
      </c>
      <c r="K11" s="3147" t="s">
        <v>2153</v>
      </c>
      <c r="L11" s="2911">
        <v>-2.5360252872023623</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468786.29567253089</v>
      </c>
      <c r="D10" s="4213">
        <f t="shared" si="0"/>
        <v>5214.8460160861678</v>
      </c>
      <c r="E10" s="4213">
        <f t="shared" si="0"/>
        <v>80.415681336648689</v>
      </c>
      <c r="F10" s="4213">
        <f t="shared" si="0"/>
        <v>4706.3765189513433</v>
      </c>
      <c r="G10" s="4213">
        <f t="shared" si="0"/>
        <v>524.05752254650565</v>
      </c>
      <c r="H10" s="4213" t="str">
        <f>IF(SUM(H11,H22,H31,H42,H51)=0,"NO",SUM(H11,H22,H31,H42,H51))</f>
        <v>NO</v>
      </c>
      <c r="I10" s="4213">
        <f t="shared" ref="I10:N10" si="1">IF(SUM(I11,I22,I31,I42,I51)=0,"NO",SUM(I11,I22,I31,I42,I51))</f>
        <v>7.6810372273039083E-3</v>
      </c>
      <c r="J10" s="3834" t="str">
        <f t="shared" si="1"/>
        <v>NO</v>
      </c>
      <c r="K10" s="4213">
        <f t="shared" si="1"/>
        <v>3217.3759359622313</v>
      </c>
      <c r="L10" s="4213">
        <f t="shared" si="1"/>
        <v>30086.033996192706</v>
      </c>
      <c r="M10" s="4213">
        <f t="shared" si="1"/>
        <v>2029.3482754798729</v>
      </c>
      <c r="N10" s="4214">
        <f t="shared" si="1"/>
        <v>2444.7372189176185</v>
      </c>
      <c r="O10" s="3818">
        <f>IF(SUM(C10:J10)=0,"NO",SUM(C10,F10:H10)+28*SUM(D10)+265*SUM(E10)+23500*SUM(I10)+16100*SUM(J10))</f>
        <v>641523.07809349499</v>
      </c>
    </row>
    <row r="11" spans="1:15" ht="18" customHeight="1" x14ac:dyDescent="0.25">
      <c r="B11" s="1120" t="s">
        <v>1476</v>
      </c>
      <c r="C11" s="2552">
        <f>Table1!C10</f>
        <v>373139.75137787632</v>
      </c>
      <c r="D11" s="3810">
        <f>Table1!D10</f>
        <v>1479.0584567626638</v>
      </c>
      <c r="E11" s="3810">
        <f>Table1!E10</f>
        <v>12.701051157755419</v>
      </c>
      <c r="F11" s="4215"/>
      <c r="G11" s="4215"/>
      <c r="H11" s="4216"/>
      <c r="I11" s="4215"/>
      <c r="J11" s="98"/>
      <c r="K11" s="3810">
        <f>Table1!F10</f>
        <v>2161.9662525902831</v>
      </c>
      <c r="L11" s="3810">
        <f>Table1!G10</f>
        <v>3170.6589295798867</v>
      </c>
      <c r="M11" s="3810">
        <f>Table1!H10</f>
        <v>694.42539292281162</v>
      </c>
      <c r="N11" s="4217">
        <f>Table1!I10</f>
        <v>763.31070092963182</v>
      </c>
      <c r="O11" s="3781">
        <f t="shared" ref="O11:O58" si="2">IF(SUM(C11:J11)=0,"NO",SUM(C11,F11:H11)+28*SUM(D11)+265*SUM(E11)+23500*SUM(I11)+16100*SUM(J11))</f>
        <v>417919.16672403604</v>
      </c>
    </row>
    <row r="12" spans="1:15" ht="18" customHeight="1" x14ac:dyDescent="0.25">
      <c r="B12" s="1370" t="s">
        <v>1477</v>
      </c>
      <c r="C12" s="4218">
        <f>Table1!C11</f>
        <v>365635.60767060501</v>
      </c>
      <c r="D12" s="4219">
        <f>Table1!D11</f>
        <v>82.703649507558552</v>
      </c>
      <c r="E12" s="4219">
        <f>Table1!E11</f>
        <v>12.610587956384448</v>
      </c>
      <c r="F12" s="69"/>
      <c r="G12" s="69"/>
      <c r="H12" s="69"/>
      <c r="I12" s="69"/>
      <c r="J12" s="69"/>
      <c r="K12" s="4219">
        <f>Table1!F11</f>
        <v>2159.1425659768724</v>
      </c>
      <c r="L12" s="4219">
        <f>Table1!G11</f>
        <v>3154.2833398133598</v>
      </c>
      <c r="M12" s="4219">
        <f>Table1!H11</f>
        <v>494.83112149014619</v>
      </c>
      <c r="N12" s="4220">
        <f>Table1!I11</f>
        <v>763.31070092963182</v>
      </c>
      <c r="O12" s="3782">
        <f t="shared" si="2"/>
        <v>371293.11566525855</v>
      </c>
    </row>
    <row r="13" spans="1:15" ht="18" customHeight="1" x14ac:dyDescent="0.25">
      <c r="B13" s="1371" t="s">
        <v>1478</v>
      </c>
      <c r="C13" s="4218">
        <f>Table1!C12</f>
        <v>222727.89215060015</v>
      </c>
      <c r="D13" s="4219">
        <f>Table1!D12</f>
        <v>12.976423252243976</v>
      </c>
      <c r="E13" s="4219">
        <f>Table1!E12</f>
        <v>3.7612196537347935</v>
      </c>
      <c r="F13" s="69"/>
      <c r="G13" s="69"/>
      <c r="H13" s="69"/>
      <c r="I13" s="69"/>
      <c r="J13" s="69"/>
      <c r="K13" s="4219">
        <f>Table1!F12</f>
        <v>925.89908171321531</v>
      </c>
      <c r="L13" s="4219">
        <f>Table1!G12</f>
        <v>169.17300665691886</v>
      </c>
      <c r="M13" s="4219">
        <f>Table1!H12</f>
        <v>36.912890057789738</v>
      </c>
      <c r="N13" s="4220">
        <f>Table1!I12</f>
        <v>630.58180481275531</v>
      </c>
      <c r="O13" s="3783">
        <f t="shared" si="2"/>
        <v>224087.95520990269</v>
      </c>
    </row>
    <row r="14" spans="1:15" ht="18" customHeight="1" x14ac:dyDescent="0.25">
      <c r="B14" s="1371" t="s">
        <v>1479</v>
      </c>
      <c r="C14" s="4218">
        <f>Table1!C16</f>
        <v>40457.906147434798</v>
      </c>
      <c r="D14" s="4221">
        <f>Table1!D16</f>
        <v>2.3972548946445911</v>
      </c>
      <c r="E14" s="4221">
        <f>Table1!E16</f>
        <v>1.3715263252857557</v>
      </c>
      <c r="F14" s="3784"/>
      <c r="G14" s="3784"/>
      <c r="H14" s="3784"/>
      <c r="I14" s="3784"/>
      <c r="J14" s="69"/>
      <c r="K14" s="4221">
        <f>Table1!F16</f>
        <v>553.98226275236061</v>
      </c>
      <c r="L14" s="4221">
        <f>Table1!G16</f>
        <v>175.60836775353175</v>
      </c>
      <c r="M14" s="4221">
        <f>Table1!H16</f>
        <v>70.106821987791108</v>
      </c>
      <c r="N14" s="4222">
        <f>Table1!I16</f>
        <v>95.518215015732068</v>
      </c>
      <c r="O14" s="3785">
        <f t="shared" si="2"/>
        <v>40888.483760685573</v>
      </c>
    </row>
    <row r="15" spans="1:15" ht="18" customHeight="1" x14ac:dyDescent="0.25">
      <c r="B15" s="1371" t="s">
        <v>1480</v>
      </c>
      <c r="C15" s="4218">
        <f>Table1!C24</f>
        <v>82931.239783305908</v>
      </c>
      <c r="D15" s="4219">
        <f>Table1!D24</f>
        <v>19.897530862982169</v>
      </c>
      <c r="E15" s="4219">
        <f>Table1!E24</f>
        <v>6.8052834178180861</v>
      </c>
      <c r="F15" s="69"/>
      <c r="G15" s="69"/>
      <c r="H15" s="69"/>
      <c r="I15" s="69"/>
      <c r="J15" s="69"/>
      <c r="K15" s="4219">
        <f>Table1!F24</f>
        <v>323.66304987362292</v>
      </c>
      <c r="L15" s="4219">
        <f>Table1!G24</f>
        <v>2045.163763993505</v>
      </c>
      <c r="M15" s="4219">
        <f>Table1!H24</f>
        <v>264.32990496035268</v>
      </c>
      <c r="N15" s="4220">
        <f>Table1!I24</f>
        <v>29.410428475095838</v>
      </c>
      <c r="O15" s="3783">
        <f t="shared" si="2"/>
        <v>85291.770753191202</v>
      </c>
    </row>
    <row r="16" spans="1:15" ht="18" customHeight="1" x14ac:dyDescent="0.25">
      <c r="B16" s="1371" t="s">
        <v>1481</v>
      </c>
      <c r="C16" s="4218">
        <f>Table1!C30</f>
        <v>18698.626608088591</v>
      </c>
      <c r="D16" s="4219">
        <f>Table1!D30</f>
        <v>47.397092365394315</v>
      </c>
      <c r="E16" s="4219">
        <f>Table1!E30</f>
        <v>0.64962709765742377</v>
      </c>
      <c r="F16" s="69"/>
      <c r="G16" s="69"/>
      <c r="H16" s="69"/>
      <c r="I16" s="69"/>
      <c r="J16" s="69"/>
      <c r="K16" s="4219">
        <f>Table1!F30</f>
        <v>347.87739942452464</v>
      </c>
      <c r="L16" s="4219">
        <f>Table1!G30</f>
        <v>759.65871100988045</v>
      </c>
      <c r="M16" s="4219">
        <f>Table1!H30</f>
        <v>122.94474391498711</v>
      </c>
      <c r="N16" s="4220">
        <f>Table1!I30</f>
        <v>7.5078126078304406</v>
      </c>
      <c r="O16" s="3783">
        <f t="shared" si="2"/>
        <v>20197.896375198849</v>
      </c>
    </row>
    <row r="17" spans="2:15" ht="18" customHeight="1" x14ac:dyDescent="0.25">
      <c r="B17" s="1371" t="s">
        <v>1482</v>
      </c>
      <c r="C17" s="4218">
        <f>Table1!C34</f>
        <v>819.9429811755258</v>
      </c>
      <c r="D17" s="4219">
        <f>Table1!D34</f>
        <v>3.5348132293496093E-2</v>
      </c>
      <c r="E17" s="4219">
        <f>Table1!E34</f>
        <v>2.2931461888388016E-2</v>
      </c>
      <c r="F17" s="69"/>
      <c r="G17" s="69"/>
      <c r="H17" s="69"/>
      <c r="I17" s="69"/>
      <c r="J17" s="69"/>
      <c r="K17" s="4219">
        <f>Table1!F34</f>
        <v>7.7207722131489245</v>
      </c>
      <c r="L17" s="4219">
        <f>Table1!G34</f>
        <v>4.6794903995235924</v>
      </c>
      <c r="M17" s="4219">
        <f>Table1!H34</f>
        <v>0.5367605692255859</v>
      </c>
      <c r="N17" s="4220">
        <f>Table1!I34</f>
        <v>0.29244001821810839</v>
      </c>
      <c r="O17" s="3783">
        <f t="shared" si="2"/>
        <v>827.0095662801665</v>
      </c>
    </row>
    <row r="18" spans="2:15" ht="18" customHeight="1" x14ac:dyDescent="0.25">
      <c r="B18" s="1370" t="s">
        <v>99</v>
      </c>
      <c r="C18" s="4223">
        <f>Table1!C37</f>
        <v>7504.1437072713143</v>
      </c>
      <c r="D18" s="4224">
        <f>Table1!D37</f>
        <v>1396.3548072551052</v>
      </c>
      <c r="E18" s="4224">
        <f>Table1!E37</f>
        <v>9.0463201370971594E-2</v>
      </c>
      <c r="F18" s="69"/>
      <c r="G18" s="69"/>
      <c r="H18" s="69"/>
      <c r="I18" s="69"/>
      <c r="J18" s="69"/>
      <c r="K18" s="4224">
        <f>Table1!F37</f>
        <v>2.8236866134105467</v>
      </c>
      <c r="L18" s="4219">
        <f>Table1!G37</f>
        <v>16.375589766527067</v>
      </c>
      <c r="M18" s="4219">
        <f>Table1!H37</f>
        <v>199.59427143266541</v>
      </c>
      <c r="N18" s="4220" t="str">
        <f>Table1!I37</f>
        <v>NO</v>
      </c>
      <c r="O18" s="3783">
        <f t="shared" si="2"/>
        <v>46626.051058777572</v>
      </c>
    </row>
    <row r="19" spans="2:15" ht="18" customHeight="1" x14ac:dyDescent="0.25">
      <c r="B19" s="1371" t="s">
        <v>1483</v>
      </c>
      <c r="C19" s="4225">
        <f>Table1!C38</f>
        <v>1284.9645005780499</v>
      </c>
      <c r="D19" s="4226">
        <f>Table1!D38</f>
        <v>1192.8147241358829</v>
      </c>
      <c r="E19" s="4224">
        <f>Table1!E38</f>
        <v>1.2741952051547868E-4</v>
      </c>
      <c r="F19" s="69"/>
      <c r="G19" s="69"/>
      <c r="H19" s="69"/>
      <c r="I19" s="69"/>
      <c r="J19" s="69"/>
      <c r="K19" s="4224" t="str">
        <f>Table1!F38</f>
        <v>NO</v>
      </c>
      <c r="L19" s="4219" t="str">
        <f>Table1!G38</f>
        <v>NO</v>
      </c>
      <c r="M19" s="4219" t="str">
        <f>Table1!H38</f>
        <v>NO</v>
      </c>
      <c r="N19" s="4220" t="str">
        <f>Table1!I38</f>
        <v>NO</v>
      </c>
      <c r="O19" s="3783">
        <f t="shared" si="2"/>
        <v>34683.810542555708</v>
      </c>
    </row>
    <row r="20" spans="2:15" ht="18" customHeight="1" x14ac:dyDescent="0.25">
      <c r="B20" s="1372" t="s">
        <v>1484</v>
      </c>
      <c r="C20" s="4225">
        <f>Table1!C42</f>
        <v>6219.1792066932649</v>
      </c>
      <c r="D20" s="4227">
        <f>Table1!D42</f>
        <v>203.54008311922229</v>
      </c>
      <c r="E20" s="4224">
        <f>Table1!E42</f>
        <v>9.0335781850456112E-2</v>
      </c>
      <c r="F20" s="3784"/>
      <c r="G20" s="3784"/>
      <c r="H20" s="3784"/>
      <c r="I20" s="3784"/>
      <c r="J20" s="69"/>
      <c r="K20" s="4224">
        <f>Table1!F42</f>
        <v>2.8236866134105467</v>
      </c>
      <c r="L20" s="4221">
        <f>Table1!G42</f>
        <v>16.375589766527067</v>
      </c>
      <c r="M20" s="4221">
        <f>Table1!H42</f>
        <v>199.59427143266541</v>
      </c>
      <c r="N20" s="4222" t="str">
        <f>Table1!I42</f>
        <v>NO</v>
      </c>
      <c r="O20" s="3785">
        <f t="shared" si="2"/>
        <v>11942.24051622186</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24691.051147405644</v>
      </c>
      <c r="D22" s="4230">
        <f>'Table2(I)'!D10</f>
        <v>3.5721409116313096</v>
      </c>
      <c r="E22" s="4231">
        <f>'Table2(I)'!E10</f>
        <v>9.2731974041721443</v>
      </c>
      <c r="F22" s="3810">
        <f>'Table2(I)'!F10</f>
        <v>4706.3765189513433</v>
      </c>
      <c r="G22" s="3810">
        <f>'Table2(I)'!G10</f>
        <v>524.05752254650565</v>
      </c>
      <c r="H22" s="3810" t="str">
        <f>'Table2(I)'!H10</f>
        <v>NO</v>
      </c>
      <c r="I22" s="3810">
        <f>'Table2(I)'!I10</f>
        <v>7.6810372273039083E-3</v>
      </c>
      <c r="J22" s="3810" t="str">
        <f>'Table2(I)'!J10</f>
        <v>NO</v>
      </c>
      <c r="K22" s="3810">
        <f>'Table2(I)'!K10</f>
        <v>40.261420616691069</v>
      </c>
      <c r="L22" s="3810">
        <f>'Table2(I)'!L10</f>
        <v>10.825383446352522</v>
      </c>
      <c r="M22" s="3810">
        <f>'Table2(I)'!M10</f>
        <v>236.03000100994959</v>
      </c>
      <c r="N22" s="4217">
        <f>'Table2(I)'!N10</f>
        <v>1681.4265179879865</v>
      </c>
      <c r="O22" s="3781">
        <f t="shared" si="2"/>
        <v>32659.406821376433</v>
      </c>
    </row>
    <row r="23" spans="2:15" ht="18" customHeight="1" x14ac:dyDescent="0.25">
      <c r="B23" s="1133" t="s">
        <v>1487</v>
      </c>
      <c r="C23" s="4232">
        <f>'Table2(I)'!C11</f>
        <v>6985.4738057376535</v>
      </c>
      <c r="D23" s="3789"/>
      <c r="E23" s="98"/>
      <c r="F23" s="98"/>
      <c r="G23" s="98"/>
      <c r="H23" s="98"/>
      <c r="I23" s="98"/>
      <c r="J23" s="69"/>
      <c r="K23" s="4233" t="str">
        <f>'Table2(I)'!K11</f>
        <v>NO</v>
      </c>
      <c r="L23" s="4233" t="str">
        <f>'Table2(I)'!L11</f>
        <v>NO</v>
      </c>
      <c r="M23" s="4233" t="str">
        <f>'Table2(I)'!M11</f>
        <v>NO</v>
      </c>
      <c r="N23" s="4234" t="str">
        <f>'Table2(I)'!N11</f>
        <v>NO</v>
      </c>
      <c r="O23" s="3782">
        <f t="shared" si="2"/>
        <v>6985.4738057376535</v>
      </c>
    </row>
    <row r="24" spans="2:15" ht="18" customHeight="1" x14ac:dyDescent="0.25">
      <c r="B24" s="1133" t="s">
        <v>621</v>
      </c>
      <c r="C24" s="4232">
        <f>'Table2(I)'!C16</f>
        <v>4015.7436099825827</v>
      </c>
      <c r="D24" s="4235">
        <f>'Table2(I)'!D16</f>
        <v>0.57348379999999999</v>
      </c>
      <c r="E24" s="4236">
        <f>'Table2(I)'!E16</f>
        <v>9.1940933223425496</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2.8425606806999988</v>
      </c>
      <c r="N24" s="4220" t="str">
        <f>'Table2(I)'!N16</f>
        <v>NO</v>
      </c>
      <c r="O24" s="3783">
        <f t="shared" si="2"/>
        <v>6468.2358868033589</v>
      </c>
    </row>
    <row r="25" spans="2:15" ht="18" customHeight="1" x14ac:dyDescent="0.25">
      <c r="B25" s="1133" t="s">
        <v>459</v>
      </c>
      <c r="C25" s="4232">
        <f>'Table2(I)'!C27</f>
        <v>13315.672838033808</v>
      </c>
      <c r="D25" s="4235">
        <f>'Table2(I)'!D27</f>
        <v>2.9986571116313097</v>
      </c>
      <c r="E25" s="4236">
        <f>'Table2(I)'!E27</f>
        <v>7.9104081829594983E-2</v>
      </c>
      <c r="F25" s="4219" t="str">
        <f>'Table2(I)'!F27</f>
        <v>NO</v>
      </c>
      <c r="G25" s="4219">
        <f>'Table2(I)'!G27</f>
        <v>524.05752254650565</v>
      </c>
      <c r="H25" s="4219" t="str">
        <f>'Table2(I)'!H27</f>
        <v>NO</v>
      </c>
      <c r="I25" s="4219" t="str">
        <f>'Table2(I)'!I27</f>
        <v>NO</v>
      </c>
      <c r="J25" s="4219" t="str">
        <f>'Table2(I)'!J27</f>
        <v>NO</v>
      </c>
      <c r="K25" s="4219">
        <f>'Table2(I)'!K27</f>
        <v>40.261420616691069</v>
      </c>
      <c r="L25" s="4219">
        <f>'Table2(I)'!L27</f>
        <v>10.825383446352522</v>
      </c>
      <c r="M25" s="4219">
        <f>'Table2(I)'!M27</f>
        <v>9.8379954112451873E-2</v>
      </c>
      <c r="N25" s="4220">
        <f>'Table2(I)'!N27</f>
        <v>1681.4265179879865</v>
      </c>
      <c r="O25" s="3783">
        <f t="shared" si="2"/>
        <v>13944.655341390831</v>
      </c>
    </row>
    <row r="26" spans="2:15" ht="18" customHeight="1" x14ac:dyDescent="0.25">
      <c r="B26" s="1133" t="s">
        <v>1488</v>
      </c>
      <c r="C26" s="4232">
        <f>'Table2(I)'!C35</f>
        <v>225.87504949999993</v>
      </c>
      <c r="D26" s="3790" t="str">
        <f>'Table2(I)'!D35</f>
        <v>NO</v>
      </c>
      <c r="E26" s="616" t="str">
        <f>'Table2(I)'!E35</f>
        <v>NO</v>
      </c>
      <c r="F26" s="69"/>
      <c r="G26" s="69"/>
      <c r="H26" s="69"/>
      <c r="I26" s="69"/>
      <c r="J26" s="69"/>
      <c r="K26" s="616" t="str">
        <f>'Table2(I)'!K35</f>
        <v>NO</v>
      </c>
      <c r="L26" s="4236" t="str">
        <f>'Table2(I)'!L35</f>
        <v>NO</v>
      </c>
      <c r="M26" s="4236">
        <f>'Table2(I)'!M35</f>
        <v>178.59678089194659</v>
      </c>
      <c r="N26" s="4237" t="str">
        <f>'Table2(I)'!N35</f>
        <v>NO</v>
      </c>
      <c r="O26" s="3783">
        <f t="shared" si="2"/>
        <v>225.87504949999993</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4706.3765189513433</v>
      </c>
      <c r="G28" s="4221" t="str">
        <f>'Table2(I)'!G45</f>
        <v>NO</v>
      </c>
      <c r="H28" s="4221" t="str">
        <f>'Table2(I)'!H45</f>
        <v>NO</v>
      </c>
      <c r="I28" s="4221" t="str">
        <f>'Table2(I)'!I45</f>
        <v>NO</v>
      </c>
      <c r="J28" s="4221" t="str">
        <f>'Table2(I)'!J45</f>
        <v>NO</v>
      </c>
      <c r="K28" s="3784"/>
      <c r="L28" s="3784"/>
      <c r="M28" s="3784"/>
      <c r="N28" s="3793"/>
      <c r="O28" s="3785">
        <f t="shared" si="2"/>
        <v>4706.3765189513433</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7.6810372273039083E-3</v>
      </c>
      <c r="J29" s="616" t="str">
        <f>'Table2(I)'!J52</f>
        <v>NO</v>
      </c>
      <c r="K29" s="3796" t="str">
        <f>'Table2(I)'!K52</f>
        <v>NO</v>
      </c>
      <c r="L29" s="3796" t="str">
        <f>'Table2(I)'!L52</f>
        <v>NO</v>
      </c>
      <c r="M29" s="3796" t="str">
        <f>'Table2(I)'!M52</f>
        <v>NO</v>
      </c>
      <c r="N29" s="3797" t="str">
        <f>'Table2(I)'!N52</f>
        <v>NO</v>
      </c>
      <c r="O29" s="3785">
        <f t="shared" si="2"/>
        <v>180.50437484164183</v>
      </c>
    </row>
    <row r="30" spans="2:15" ht="18" customHeight="1" thickBot="1" x14ac:dyDescent="0.3">
      <c r="B30" s="1375" t="s">
        <v>2040</v>
      </c>
      <c r="C30" s="4239">
        <f>'Table2(I)'!C57</f>
        <v>148.28584415160208</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54.492279483190543</v>
      </c>
      <c r="N30" s="4242" t="str">
        <f>'Table2(I)'!N57</f>
        <v>NA</v>
      </c>
      <c r="O30" s="3798">
        <f t="shared" si="2"/>
        <v>148.28584415160208</v>
      </c>
    </row>
    <row r="31" spans="2:15" ht="18" customHeight="1" x14ac:dyDescent="0.25">
      <c r="B31" s="1134" t="s">
        <v>1491</v>
      </c>
      <c r="C31" s="3817">
        <f>Table3!C10</f>
        <v>1815.7872546355406</v>
      </c>
      <c r="D31" s="3799">
        <f>Table3!D10</f>
        <v>2427.3665121629169</v>
      </c>
      <c r="E31" s="3800">
        <f>Table3!E10</f>
        <v>39.646160078923195</v>
      </c>
      <c r="F31" s="3801"/>
      <c r="G31" s="3801"/>
      <c r="H31" s="3801"/>
      <c r="I31" s="3801"/>
      <c r="J31" s="3801"/>
      <c r="K31" s="4243">
        <f>Table3!F10</f>
        <v>11.532718650733093</v>
      </c>
      <c r="L31" s="4243">
        <f>Table3!G10</f>
        <v>199.73085384221017</v>
      </c>
      <c r="M31" s="4243">
        <f>Table3!H10</f>
        <v>11.650966474128927</v>
      </c>
      <c r="N31" s="4244" t="str">
        <f>Table3!I10</f>
        <v>NO</v>
      </c>
      <c r="O31" s="3782">
        <f t="shared" si="2"/>
        <v>80288.282016111858</v>
      </c>
    </row>
    <row r="32" spans="2:15" ht="18" customHeight="1" x14ac:dyDescent="0.25">
      <c r="B32" s="4245" t="s">
        <v>1492</v>
      </c>
      <c r="C32" s="3791"/>
      <c r="D32" s="4246">
        <f>Table3!D11</f>
        <v>2170.8874174141565</v>
      </c>
      <c r="E32" s="98"/>
      <c r="F32" s="3802"/>
      <c r="G32" s="3802"/>
      <c r="H32" s="3789"/>
      <c r="I32" s="3802"/>
      <c r="J32" s="3789"/>
      <c r="K32" s="98"/>
      <c r="L32" s="98"/>
      <c r="M32" s="98"/>
      <c r="N32" s="3803"/>
      <c r="O32" s="3782">
        <f t="shared" si="2"/>
        <v>60784.847687596382</v>
      </c>
    </row>
    <row r="33" spans="2:15" ht="18" customHeight="1" x14ac:dyDescent="0.25">
      <c r="B33" s="4245" t="s">
        <v>1493</v>
      </c>
      <c r="C33" s="3791"/>
      <c r="D33" s="4226">
        <f>Table3!D20</f>
        <v>248.19808337208875</v>
      </c>
      <c r="E33" s="4226">
        <f>Table3!E20</f>
        <v>1.7792742428177359</v>
      </c>
      <c r="F33" s="3802"/>
      <c r="G33" s="3802"/>
      <c r="H33" s="3802"/>
      <c r="I33" s="3802"/>
      <c r="J33" s="3802"/>
      <c r="K33" s="69"/>
      <c r="L33" s="69"/>
      <c r="M33" s="4247" t="str">
        <f>Table3!H20</f>
        <v>NE</v>
      </c>
      <c r="N33" s="3804"/>
      <c r="O33" s="3783">
        <f t="shared" si="2"/>
        <v>7421.0540087651843</v>
      </c>
    </row>
    <row r="34" spans="2:15" ht="18" customHeight="1" x14ac:dyDescent="0.25">
      <c r="B34" s="4245" t="s">
        <v>1494</v>
      </c>
      <c r="C34" s="3791"/>
      <c r="D34" s="4226">
        <f>Table3!D31</f>
        <v>3.1597074319999998</v>
      </c>
      <c r="E34" s="69"/>
      <c r="F34" s="3802"/>
      <c r="G34" s="3802"/>
      <c r="H34" s="3802"/>
      <c r="I34" s="3802"/>
      <c r="J34" s="3802"/>
      <c r="K34" s="69"/>
      <c r="L34" s="69"/>
      <c r="M34" s="4247" t="str">
        <f>Table3!H31</f>
        <v>NE</v>
      </c>
      <c r="N34" s="3804"/>
      <c r="O34" s="3783">
        <f t="shared" si="2"/>
        <v>88.47180809599999</v>
      </c>
    </row>
    <row r="35" spans="2:15" ht="18" customHeight="1" x14ac:dyDescent="0.25">
      <c r="B35" s="4245" t="s">
        <v>1495</v>
      </c>
      <c r="C35" s="4248"/>
      <c r="D35" s="4226" t="str">
        <f>Table3!D32</f>
        <v>NE</v>
      </c>
      <c r="E35" s="4226">
        <f>Table3!E32</f>
        <v>37.667271906664197</v>
      </c>
      <c r="F35" s="3802"/>
      <c r="G35" s="3802"/>
      <c r="H35" s="3802"/>
      <c r="I35" s="3802"/>
      <c r="J35" s="3802"/>
      <c r="K35" s="4247" t="str">
        <f>Table3!F32</f>
        <v>NO</v>
      </c>
      <c r="L35" s="4247" t="str">
        <f>Table3!G32</f>
        <v>NO</v>
      </c>
      <c r="M35" s="4247" t="str">
        <f>Table3!H32</f>
        <v>NO</v>
      </c>
      <c r="N35" s="3804"/>
      <c r="O35" s="3783">
        <f t="shared" si="2"/>
        <v>9981.8270552660124</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5.1213039446720545</v>
      </c>
      <c r="E37" s="4226">
        <f>Table3!E43</f>
        <v>0.19961392944126019</v>
      </c>
      <c r="F37" s="3802"/>
      <c r="G37" s="3802"/>
      <c r="H37" s="3802"/>
      <c r="I37" s="3802"/>
      <c r="J37" s="3802"/>
      <c r="K37" s="4247">
        <f>Table3!F43</f>
        <v>11.532718650733093</v>
      </c>
      <c r="L37" s="4247">
        <f>Table3!G43</f>
        <v>199.73085384221017</v>
      </c>
      <c r="M37" s="4247">
        <f>Table3!H43</f>
        <v>11.650966474128927</v>
      </c>
      <c r="N37" s="4247" t="str">
        <f>Table3!I43</f>
        <v>NO</v>
      </c>
      <c r="O37" s="3783">
        <f t="shared" si="2"/>
        <v>196.29420175275146</v>
      </c>
    </row>
    <row r="38" spans="2:15" ht="18" customHeight="1" x14ac:dyDescent="0.25">
      <c r="B38" s="4249" t="s">
        <v>721</v>
      </c>
      <c r="C38" s="3794">
        <f>Table3!C44</f>
        <v>1069.5072182802071</v>
      </c>
      <c r="D38" s="4250"/>
      <c r="E38" s="4250"/>
      <c r="F38" s="3792"/>
      <c r="G38" s="3792"/>
      <c r="H38" s="3792"/>
      <c r="I38" s="3792"/>
      <c r="J38" s="3792"/>
      <c r="K38" s="3805"/>
      <c r="L38" s="3805"/>
      <c r="M38" s="3805"/>
      <c r="N38" s="3793"/>
      <c r="O38" s="3785">
        <f t="shared" si="2"/>
        <v>1069.5072182802071</v>
      </c>
    </row>
    <row r="39" spans="2:15" ht="18" customHeight="1" x14ac:dyDescent="0.25">
      <c r="B39" s="4249" t="s">
        <v>722</v>
      </c>
      <c r="C39" s="3806">
        <f>Table3!C45</f>
        <v>746.28003635533344</v>
      </c>
      <c r="D39" s="4250"/>
      <c r="E39" s="4250"/>
      <c r="F39" s="3792"/>
      <c r="G39" s="3792"/>
      <c r="H39" s="3792"/>
      <c r="I39" s="3792"/>
      <c r="J39" s="3792"/>
      <c r="K39" s="3805"/>
      <c r="L39" s="3805"/>
      <c r="M39" s="3805"/>
      <c r="N39" s="3793"/>
      <c r="O39" s="3785">
        <f t="shared" si="2"/>
        <v>746.28003635533344</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69110.035361393791</v>
      </c>
      <c r="D42" s="3809">
        <f>Table4!D10</f>
        <v>748.22828413251693</v>
      </c>
      <c r="E42" s="3810">
        <f>Table4!E10</f>
        <v>17.82315043188391</v>
      </c>
      <c r="F42" s="3801"/>
      <c r="G42" s="3801"/>
      <c r="H42" s="3801"/>
      <c r="I42" s="3801"/>
      <c r="J42" s="3801"/>
      <c r="K42" s="4253">
        <f>Table4!F10</f>
        <v>1003.6155441045245</v>
      </c>
      <c r="L42" s="4253">
        <f>Table4!G10</f>
        <v>26704.818829324257</v>
      </c>
      <c r="M42" s="4253">
        <f>Table4!H10</f>
        <v>826.99831038869991</v>
      </c>
      <c r="N42" s="4254" t="str">
        <f>N50</f>
        <v>NO</v>
      </c>
      <c r="O42" s="3781">
        <f t="shared" si="2"/>
        <v>94783.562181553512</v>
      </c>
    </row>
    <row r="43" spans="2:15" ht="18" customHeight="1" x14ac:dyDescent="0.25">
      <c r="B43" s="4245" t="s">
        <v>2042</v>
      </c>
      <c r="C43" s="4255">
        <f>Table4!C11</f>
        <v>-37521.021091248396</v>
      </c>
      <c r="D43" s="4256">
        <f>Table4!D11</f>
        <v>272.2154760203336</v>
      </c>
      <c r="E43" s="4257">
        <f>Table4!E11</f>
        <v>4.9450298453544983</v>
      </c>
      <c r="F43" s="3792"/>
      <c r="G43" s="3792"/>
      <c r="H43" s="3792"/>
      <c r="I43" s="3792"/>
      <c r="J43" s="3792"/>
      <c r="K43" s="4247">
        <f>Table4!F11</f>
        <v>266.23984468188371</v>
      </c>
      <c r="L43" s="4247">
        <f>Table4!G11</f>
        <v>7299.6329010626605</v>
      </c>
      <c r="M43" s="4247">
        <f>Table4!H11</f>
        <v>288.56433319002434</v>
      </c>
      <c r="N43" s="3811"/>
      <c r="O43" s="3812">
        <f t="shared" si="2"/>
        <v>-28588.554853660113</v>
      </c>
    </row>
    <row r="44" spans="2:15" ht="18" customHeight="1" x14ac:dyDescent="0.25">
      <c r="B44" s="4245" t="s">
        <v>2043</v>
      </c>
      <c r="C44" s="4255">
        <f>Table4!C14</f>
        <v>10366.324591842265</v>
      </c>
      <c r="D44" s="4258">
        <f>Table4!D14</f>
        <v>3.5510472000000006</v>
      </c>
      <c r="E44" s="4258">
        <f>Table4!E14</f>
        <v>0.20992904669944568</v>
      </c>
      <c r="F44" s="3802"/>
      <c r="G44" s="3802"/>
      <c r="H44" s="3802"/>
      <c r="I44" s="3802"/>
      <c r="J44" s="3802"/>
      <c r="K44" s="4247">
        <f>Table4!F14</f>
        <v>2.6738539928571425</v>
      </c>
      <c r="L44" s="4247">
        <f>Table4!G14</f>
        <v>104.72301233333333</v>
      </c>
      <c r="M44" s="4247">
        <f>Table4!H14</f>
        <v>12.658825666666665</v>
      </c>
      <c r="N44" s="4259"/>
      <c r="O44" s="3783">
        <f t="shared" si="2"/>
        <v>10521.385110817619</v>
      </c>
    </row>
    <row r="45" spans="2:15" ht="18" customHeight="1" x14ac:dyDescent="0.25">
      <c r="B45" s="4245" t="s">
        <v>2044</v>
      </c>
      <c r="C45" s="4255">
        <f>Table4!C17</f>
        <v>95844.326427410371</v>
      </c>
      <c r="D45" s="4258">
        <f>Table4!D17</f>
        <v>388.16729497345409</v>
      </c>
      <c r="E45" s="4258">
        <f>Table4!E17</f>
        <v>12.11728189237113</v>
      </c>
      <c r="F45" s="3802"/>
      <c r="G45" s="3802"/>
      <c r="H45" s="3802"/>
      <c r="I45" s="3802"/>
      <c r="J45" s="3802"/>
      <c r="K45" s="4247">
        <f>Table4!F17</f>
        <v>706.5819858625639</v>
      </c>
      <c r="L45" s="4247">
        <f>Table4!G17</f>
        <v>18578.472824661596</v>
      </c>
      <c r="M45" s="4247">
        <f>Table4!H17</f>
        <v>510.51883467892401</v>
      </c>
      <c r="N45" s="4259"/>
      <c r="O45" s="3783">
        <f t="shared" si="2"/>
        <v>109924.09038814543</v>
      </c>
    </row>
    <row r="46" spans="2:15" ht="18" customHeight="1" x14ac:dyDescent="0.25">
      <c r="B46" s="4245" t="s">
        <v>2045</v>
      </c>
      <c r="C46" s="4255">
        <f>Table4!C20</f>
        <v>1048.2472841848185</v>
      </c>
      <c r="D46" s="4258">
        <f>Table4!D20</f>
        <v>80.12258433872924</v>
      </c>
      <c r="E46" s="4258">
        <f>Table4!E20</f>
        <v>0.33803494271444195</v>
      </c>
      <c r="F46" s="3802"/>
      <c r="G46" s="3802"/>
      <c r="H46" s="3802"/>
      <c r="I46" s="3802"/>
      <c r="J46" s="3802"/>
      <c r="K46" s="4247">
        <f>Table4!F20</f>
        <v>24.978532052934025</v>
      </c>
      <c r="L46" s="4247">
        <f>Table4!G20</f>
        <v>598.95821259999923</v>
      </c>
      <c r="M46" s="4247">
        <f>Table4!H20</f>
        <v>0.38433151975166607</v>
      </c>
      <c r="N46" s="4259"/>
      <c r="O46" s="3783">
        <f t="shared" si="2"/>
        <v>3381.2589054885643</v>
      </c>
    </row>
    <row r="47" spans="2:15" ht="18" customHeight="1" x14ac:dyDescent="0.25">
      <c r="B47" s="4245" t="s">
        <v>2046</v>
      </c>
      <c r="C47" s="4255">
        <f>Table4!C23</f>
        <v>5748.0897985584879</v>
      </c>
      <c r="D47" s="4258">
        <f>Table4!D23</f>
        <v>4.1718816000000007</v>
      </c>
      <c r="E47" s="4260">
        <f>Table4!E23</f>
        <v>0.10928771560620945</v>
      </c>
      <c r="F47" s="3802"/>
      <c r="G47" s="3802"/>
      <c r="H47" s="3802"/>
      <c r="I47" s="3802"/>
      <c r="J47" s="3802"/>
      <c r="K47" s="4247">
        <f>Table4!F23</f>
        <v>3.141327514285714</v>
      </c>
      <c r="L47" s="4247">
        <f>Table4!G23</f>
        <v>123.03187866666667</v>
      </c>
      <c r="M47" s="4247">
        <f>Table4!H23</f>
        <v>14.871985333333333</v>
      </c>
      <c r="N47" s="1838"/>
      <c r="O47" s="3783">
        <f t="shared" si="2"/>
        <v>5893.863727994134</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-6376.588571722652</v>
      </c>
      <c r="D49" s="3792"/>
      <c r="E49" s="3792"/>
      <c r="F49" s="3792"/>
      <c r="G49" s="3792"/>
      <c r="H49" s="3792"/>
      <c r="I49" s="3792"/>
      <c r="J49" s="3792"/>
      <c r="K49" s="3792"/>
      <c r="L49" s="3792"/>
      <c r="M49" s="3792"/>
      <c r="N49" s="3814"/>
      <c r="O49" s="3785">
        <f t="shared" si="2"/>
        <v>-6376.588571722652</v>
      </c>
    </row>
    <row r="50" spans="2:15" ht="18" customHeight="1" thickBot="1" x14ac:dyDescent="0.3">
      <c r="B50" s="4251" t="s">
        <v>2049</v>
      </c>
      <c r="C50" s="4264">
        <f>Table4!C30</f>
        <v>0.65692236888666677</v>
      </c>
      <c r="D50" s="4265" t="str">
        <f>Table4!D30</f>
        <v>NO</v>
      </c>
      <c r="E50" s="4265">
        <f>Table4!E30</f>
        <v>0.1035869891381873</v>
      </c>
      <c r="F50" s="3807"/>
      <c r="G50" s="3807"/>
      <c r="H50" s="3807"/>
      <c r="I50" s="3807"/>
      <c r="J50" s="3807"/>
      <c r="K50" s="4266" t="str">
        <f>Table4!F30</f>
        <v>NO</v>
      </c>
      <c r="L50" s="4266" t="str">
        <f>Table4!G30</f>
        <v>NO</v>
      </c>
      <c r="M50" s="4266" t="str">
        <f>Table4!H30</f>
        <v>NO</v>
      </c>
      <c r="N50" s="4266" t="s">
        <v>2146</v>
      </c>
      <c r="O50" s="3798">
        <f t="shared" si="2"/>
        <v>28.107474490506299</v>
      </c>
    </row>
    <row r="51" spans="2:15" ht="18" customHeight="1" x14ac:dyDescent="0.25">
      <c r="B51" s="1377" t="s">
        <v>1500</v>
      </c>
      <c r="C51" s="3815">
        <f>Table5!C10</f>
        <v>29.670531219562221</v>
      </c>
      <c r="D51" s="3799">
        <f>Table5!D10</f>
        <v>556.6206221164382</v>
      </c>
      <c r="E51" s="3800">
        <f>Table5!E10</f>
        <v>0.97212226391401435</v>
      </c>
      <c r="F51" s="3801"/>
      <c r="G51" s="3801"/>
      <c r="H51" s="3801"/>
      <c r="I51" s="3801"/>
      <c r="J51" s="3801"/>
      <c r="K51" s="4243" t="str">
        <f>Table5!F10</f>
        <v>NO</v>
      </c>
      <c r="L51" s="4243" t="str">
        <f>Table5!G10</f>
        <v>NO</v>
      </c>
      <c r="M51" s="4243">
        <f>Table5!H10</f>
        <v>260.24360468428273</v>
      </c>
      <c r="N51" s="4244" t="str">
        <f>Table5!I10</f>
        <v>NO</v>
      </c>
      <c r="O51" s="4267">
        <f t="shared" si="2"/>
        <v>15872.660350417045</v>
      </c>
    </row>
    <row r="52" spans="2:15" ht="18" customHeight="1" x14ac:dyDescent="0.25">
      <c r="B52" s="4245" t="s">
        <v>2050</v>
      </c>
      <c r="C52" s="4248"/>
      <c r="D52" s="4246">
        <f>Table5!D11</f>
        <v>439.03412183</v>
      </c>
      <c r="E52" s="3816"/>
      <c r="F52" s="3801"/>
      <c r="G52" s="3801"/>
      <c r="H52" s="3801"/>
      <c r="I52" s="3801"/>
      <c r="J52" s="3801"/>
      <c r="K52" s="4247" t="str">
        <f>Table5!F11</f>
        <v>NO</v>
      </c>
      <c r="L52" s="4247" t="str">
        <f>Table5!G11</f>
        <v>NO</v>
      </c>
      <c r="M52" s="4247">
        <f>Table5!H11</f>
        <v>2.9094849859015626</v>
      </c>
      <c r="N52" s="3803"/>
      <c r="O52" s="4267">
        <f t="shared" si="2"/>
        <v>12292.95541124</v>
      </c>
    </row>
    <row r="53" spans="2:15" ht="18" customHeight="1" x14ac:dyDescent="0.25">
      <c r="B53" s="4245" t="s">
        <v>1501</v>
      </c>
      <c r="C53" s="4248"/>
      <c r="D53" s="4246">
        <f>Table5!D15</f>
        <v>2.6635267499999995</v>
      </c>
      <c r="E53" s="4246">
        <f>Table5!E15</f>
        <v>0.34093142400000004</v>
      </c>
      <c r="F53" s="3802"/>
      <c r="G53" s="3802"/>
      <c r="H53" s="3802"/>
      <c r="I53" s="3802"/>
      <c r="J53" s="3802"/>
      <c r="K53" s="4247" t="str">
        <f>Table5!F15</f>
        <v>NA,NE</v>
      </c>
      <c r="L53" s="4247" t="str">
        <f>Table5!G15</f>
        <v>NA,NE</v>
      </c>
      <c r="M53" s="4247" t="str">
        <f>Table5!H15</f>
        <v>NA,NE</v>
      </c>
      <c r="N53" s="3803"/>
      <c r="O53" s="3782">
        <f t="shared" si="2"/>
        <v>164.92557635999998</v>
      </c>
    </row>
    <row r="54" spans="2:15" ht="18" customHeight="1" x14ac:dyDescent="0.25">
      <c r="B54" s="4245" t="s">
        <v>2051</v>
      </c>
      <c r="C54" s="4268">
        <f>Table5!C18</f>
        <v>29.670531219562221</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29.670531219562221</v>
      </c>
    </row>
    <row r="55" spans="2:15" ht="18" customHeight="1" x14ac:dyDescent="0.25">
      <c r="B55" s="4245" t="s">
        <v>1502</v>
      </c>
      <c r="C55" s="3791"/>
      <c r="D55" s="4226">
        <f>Table5!D21</f>
        <v>114.92297353643815</v>
      </c>
      <c r="E55" s="4226">
        <f>Table5!E21</f>
        <v>0.63119083991401437</v>
      </c>
      <c r="F55" s="3802"/>
      <c r="G55" s="3802"/>
      <c r="H55" s="3802"/>
      <c r="I55" s="3802"/>
      <c r="J55" s="3802"/>
      <c r="K55" s="4247" t="str">
        <f>Table5!F21</f>
        <v>NO</v>
      </c>
      <c r="L55" s="4247" t="str">
        <f>Table5!G21</f>
        <v>NO</v>
      </c>
      <c r="M55" s="4247">
        <f>Table5!H21</f>
        <v>257.33411969838119</v>
      </c>
      <c r="N55" s="3803"/>
      <c r="O55" s="4270">
        <f t="shared" si="2"/>
        <v>3385.1088315974821</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11925.5122242</v>
      </c>
      <c r="D61" s="3820">
        <f>Table1!D52</f>
        <v>0.26045438394285719</v>
      </c>
      <c r="E61" s="3820">
        <f>Table1!E52</f>
        <v>0.11710566363157895</v>
      </c>
      <c r="F61" s="628"/>
      <c r="G61" s="628"/>
      <c r="H61" s="628"/>
      <c r="I61" s="628"/>
      <c r="J61" s="628"/>
      <c r="K61" s="3820">
        <f>Table1!F52</f>
        <v>116.19614407196994</v>
      </c>
      <c r="L61" s="3820">
        <f>Table1!G52</f>
        <v>16.689147179160905</v>
      </c>
      <c r="M61" s="3820">
        <f>Table1!H52</f>
        <v>9.3452233958406019</v>
      </c>
      <c r="N61" s="3821">
        <f>Table1!I52</f>
        <v>42.001984112777123</v>
      </c>
      <c r="O61" s="4267">
        <f t="shared" ref="O61:O67" si="4">IF(SUM(C61:J61)=0,"NO",SUM(C61,F61:H61)+28*SUM(D61)+265*SUM(E61)+23500*SUM(I61)+16100*SUM(J61))</f>
        <v>11963.837947812768</v>
      </c>
    </row>
    <row r="62" spans="2:15" ht="18" customHeight="1" x14ac:dyDescent="0.25">
      <c r="B62" s="1371" t="s">
        <v>111</v>
      </c>
      <c r="C62" s="4279">
        <f>Table1!C53</f>
        <v>9357.8260147199999</v>
      </c>
      <c r="D62" s="4233">
        <f>Table1!D53</f>
        <v>1.5084557142857139E-2</v>
      </c>
      <c r="E62" s="4233">
        <f>Table1!E53</f>
        <v>4.6999998831578953E-2</v>
      </c>
      <c r="F62" s="628"/>
      <c r="G62" s="628"/>
      <c r="H62" s="628"/>
      <c r="I62" s="628"/>
      <c r="J62" s="2135"/>
      <c r="K62" s="4233">
        <f>Table1!F53</f>
        <v>47.475600127969919</v>
      </c>
      <c r="L62" s="4233">
        <f>Table1!G53</f>
        <v>14.754371644360903</v>
      </c>
      <c r="M62" s="4233">
        <f>Table1!H53</f>
        <v>7.1929593702406018</v>
      </c>
      <c r="N62" s="4234">
        <f>Table1!I53</f>
        <v>1.1025024902400002</v>
      </c>
      <c r="O62" s="3782">
        <f t="shared" si="4"/>
        <v>9370.7033820103679</v>
      </c>
    </row>
    <row r="63" spans="2:15" ht="18" customHeight="1" x14ac:dyDescent="0.25">
      <c r="B63" s="1380" t="s">
        <v>1503</v>
      </c>
      <c r="C63" s="4279">
        <f>Table1!C54</f>
        <v>2567.6862094799999</v>
      </c>
      <c r="D63" s="4219">
        <f>Table1!D54</f>
        <v>0.24536982680000005</v>
      </c>
      <c r="E63" s="4219">
        <f>Table1!E54</f>
        <v>7.0105664800000009E-2</v>
      </c>
      <c r="F63" s="628"/>
      <c r="G63" s="628"/>
      <c r="H63" s="628"/>
      <c r="I63" s="628"/>
      <c r="J63" s="628"/>
      <c r="K63" s="4219">
        <f>Table1!F54</f>
        <v>68.720543944000013</v>
      </c>
      <c r="L63" s="4219">
        <f>Table1!G54</f>
        <v>1.9347755348</v>
      </c>
      <c r="M63" s="4219">
        <f>Table1!H54</f>
        <v>2.1522640256000001</v>
      </c>
      <c r="N63" s="4220">
        <f>Table1!I54</f>
        <v>40.899481622537124</v>
      </c>
      <c r="O63" s="3783">
        <f t="shared" si="4"/>
        <v>2593.1345658023997</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19274.567221454996</v>
      </c>
      <c r="D65" s="3823"/>
      <c r="E65" s="3823"/>
      <c r="F65" s="3824"/>
      <c r="G65" s="3824"/>
      <c r="H65" s="3824"/>
      <c r="I65" s="3824"/>
      <c r="J65" s="3823"/>
      <c r="K65" s="3823"/>
      <c r="L65" s="3823"/>
      <c r="M65" s="3823"/>
      <c r="N65" s="3825"/>
      <c r="O65" s="3812">
        <f t="shared" si="4"/>
        <v>19274.567221454996</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-264169.75243978453</v>
      </c>
      <c r="D67" s="3824"/>
      <c r="E67" s="3824"/>
      <c r="F67" s="3828"/>
      <c r="G67" s="3824"/>
      <c r="H67" s="3824"/>
      <c r="I67" s="3824"/>
      <c r="J67" s="3824"/>
      <c r="K67" s="3824"/>
      <c r="L67" s="3824"/>
      <c r="M67" s="3824"/>
      <c r="N67" s="3829"/>
      <c r="O67" s="3785">
        <f t="shared" si="4"/>
        <v>-264169.75243978453</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468786.29567253089</v>
      </c>
      <c r="D10" s="4213">
        <f>IFERROR(Summary1!D10*28,Summary1!D10)</f>
        <v>146015.68845041271</v>
      </c>
      <c r="E10" s="4213">
        <f>IFERROR(Summary1!E10*265,Summary1!E10)</f>
        <v>21310.155554211902</v>
      </c>
      <c r="F10" s="4213">
        <f>Summary1!F10</f>
        <v>4706.3765189513433</v>
      </c>
      <c r="G10" s="4213">
        <f>Summary1!G10</f>
        <v>524.05752254650565</v>
      </c>
      <c r="H10" s="4213" t="str">
        <f>Summary1!H10</f>
        <v>NO</v>
      </c>
      <c r="I10" s="4288">
        <f>IFERROR(Summary1!I10*23500,Summary1!I10)</f>
        <v>180.50437484164183</v>
      </c>
      <c r="J10" s="4289" t="str">
        <f>IFERROR(Summary1!J10*16100,Summary1!J10)</f>
        <v>NO</v>
      </c>
      <c r="K10" s="4214">
        <f>IF(SUM(C10:J10)=0,"NO",SUM(C10:J10))</f>
        <v>641523.0780934951</v>
      </c>
    </row>
    <row r="11" spans="2:12" ht="18" customHeight="1" x14ac:dyDescent="0.2">
      <c r="B11" s="1550" t="s">
        <v>1476</v>
      </c>
      <c r="C11" s="4253">
        <f>Summary1!C11</f>
        <v>373139.75137787632</v>
      </c>
      <c r="D11" s="4253">
        <f>IFERROR(Summary1!D11*28,Summary1!D11)</f>
        <v>41413.636789354583</v>
      </c>
      <c r="E11" s="4253">
        <f>IFERROR(Summary1!E11*265,Summary1!E11)</f>
        <v>3365.7785568051859</v>
      </c>
      <c r="F11" s="1929"/>
      <c r="G11" s="1929"/>
      <c r="H11" s="1930"/>
      <c r="I11" s="1930"/>
      <c r="J11" s="627"/>
      <c r="K11" s="4290">
        <f t="shared" ref="K11:K55" si="0">IF(SUM(C11:J11)=0,"NO",SUM(C11:J11))</f>
        <v>417919.16672403604</v>
      </c>
      <c r="L11" s="19"/>
    </row>
    <row r="12" spans="2:12" ht="18" customHeight="1" x14ac:dyDescent="0.2">
      <c r="B12" s="620" t="s">
        <v>131</v>
      </c>
      <c r="C12" s="4247">
        <f>Summary1!C12</f>
        <v>365635.60767060501</v>
      </c>
      <c r="D12" s="4247">
        <f>IFERROR(Summary1!D12*28,Summary1!D12)</f>
        <v>2315.7021862116394</v>
      </c>
      <c r="E12" s="4247">
        <f>IFERROR(Summary1!E12*265,Summary1!E12)</f>
        <v>3341.8058084418785</v>
      </c>
      <c r="F12" s="628"/>
      <c r="G12" s="628"/>
      <c r="H12" s="628"/>
      <c r="I12" s="69"/>
      <c r="J12" s="69"/>
      <c r="K12" s="4291">
        <f t="shared" si="0"/>
        <v>371293.11566525855</v>
      </c>
      <c r="L12" s="19"/>
    </row>
    <row r="13" spans="2:12" ht="18" customHeight="1" x14ac:dyDescent="0.2">
      <c r="B13" s="1392" t="s">
        <v>1478</v>
      </c>
      <c r="C13" s="4247">
        <f>Summary1!C13</f>
        <v>222727.89215060015</v>
      </c>
      <c r="D13" s="4247">
        <f>IFERROR(Summary1!D13*28,Summary1!D13)</f>
        <v>363.33985106283131</v>
      </c>
      <c r="E13" s="4247">
        <f>IFERROR(Summary1!E13*265,Summary1!E13)</f>
        <v>996.72320823972029</v>
      </c>
      <c r="F13" s="628"/>
      <c r="G13" s="628"/>
      <c r="H13" s="628"/>
      <c r="I13" s="69"/>
      <c r="J13" s="69"/>
      <c r="K13" s="4291">
        <f t="shared" si="0"/>
        <v>224087.95520990269</v>
      </c>
      <c r="L13" s="19"/>
    </row>
    <row r="14" spans="2:12" ht="18" customHeight="1" x14ac:dyDescent="0.2">
      <c r="B14" s="1392" t="s">
        <v>1517</v>
      </c>
      <c r="C14" s="4247">
        <f>Summary1!C14</f>
        <v>40457.906147434798</v>
      </c>
      <c r="D14" s="4247">
        <f>IFERROR(Summary1!D14*28,Summary1!D14)</f>
        <v>67.123137050048555</v>
      </c>
      <c r="E14" s="4247">
        <f>IFERROR(Summary1!E14*265,Summary1!E14)</f>
        <v>363.45447620072525</v>
      </c>
      <c r="F14" s="628"/>
      <c r="G14" s="628"/>
      <c r="H14" s="628"/>
      <c r="I14" s="69"/>
      <c r="J14" s="69"/>
      <c r="K14" s="4291">
        <f t="shared" si="0"/>
        <v>40888.483760685573</v>
      </c>
      <c r="L14" s="19"/>
    </row>
    <row r="15" spans="2:12" ht="18" customHeight="1" x14ac:dyDescent="0.2">
      <c r="B15" s="1392" t="s">
        <v>1480</v>
      </c>
      <c r="C15" s="4247">
        <f>Summary1!C15</f>
        <v>82931.239783305908</v>
      </c>
      <c r="D15" s="4247">
        <f>IFERROR(Summary1!D15*28,Summary1!D15)</f>
        <v>557.13086416350075</v>
      </c>
      <c r="E15" s="4247">
        <f>IFERROR(Summary1!E15*265,Summary1!E15)</f>
        <v>1803.4001057217929</v>
      </c>
      <c r="F15" s="628"/>
      <c r="G15" s="628"/>
      <c r="H15" s="628"/>
      <c r="I15" s="69"/>
      <c r="J15" s="69"/>
      <c r="K15" s="4291">
        <f t="shared" si="0"/>
        <v>85291.770753191202</v>
      </c>
      <c r="L15" s="19"/>
    </row>
    <row r="16" spans="2:12" ht="18" customHeight="1" x14ac:dyDescent="0.2">
      <c r="B16" s="1392" t="s">
        <v>1481</v>
      </c>
      <c r="C16" s="4247">
        <f>Summary1!C16</f>
        <v>18698.626608088591</v>
      </c>
      <c r="D16" s="4247">
        <f>IFERROR(Summary1!D16*28,Summary1!D16)</f>
        <v>1327.1185862310408</v>
      </c>
      <c r="E16" s="4247">
        <f>IFERROR(Summary1!E16*265,Summary1!E16)</f>
        <v>172.15118087921729</v>
      </c>
      <c r="F16" s="628"/>
      <c r="G16" s="628"/>
      <c r="H16" s="628"/>
      <c r="I16" s="69"/>
      <c r="J16" s="69"/>
      <c r="K16" s="4291">
        <f t="shared" si="0"/>
        <v>20197.896375198849</v>
      </c>
      <c r="L16" s="19"/>
    </row>
    <row r="17" spans="2:12" ht="18" customHeight="1" x14ac:dyDescent="0.2">
      <c r="B17" s="1392" t="s">
        <v>1482</v>
      </c>
      <c r="C17" s="4247">
        <f>Summary1!C17</f>
        <v>819.9429811755258</v>
      </c>
      <c r="D17" s="4247">
        <f>IFERROR(Summary1!D17*28,Summary1!D17)</f>
        <v>0.9897477042178906</v>
      </c>
      <c r="E17" s="4247">
        <f>IFERROR(Summary1!E17*265,Summary1!E17)</f>
        <v>6.0768374004228241</v>
      </c>
      <c r="F17" s="628"/>
      <c r="G17" s="628"/>
      <c r="H17" s="628"/>
      <c r="I17" s="69"/>
      <c r="J17" s="69"/>
      <c r="K17" s="4291">
        <f t="shared" si="0"/>
        <v>827.0095662801665</v>
      </c>
      <c r="L17" s="19"/>
    </row>
    <row r="18" spans="2:12" ht="18" customHeight="1" x14ac:dyDescent="0.2">
      <c r="B18" s="620" t="s">
        <v>99</v>
      </c>
      <c r="C18" s="4247">
        <f>Summary1!C18</f>
        <v>7504.1437072713143</v>
      </c>
      <c r="D18" s="4247">
        <f>IFERROR(Summary1!D18*28,Summary1!D18)</f>
        <v>39097.934603142945</v>
      </c>
      <c r="E18" s="4247">
        <f>IFERROR(Summary1!E18*265,Summary1!E18)</f>
        <v>23.972748363307474</v>
      </c>
      <c r="F18" s="628"/>
      <c r="G18" s="628"/>
      <c r="H18" s="628"/>
      <c r="I18" s="69"/>
      <c r="J18" s="69"/>
      <c r="K18" s="4291">
        <f t="shared" si="0"/>
        <v>46626.051058777572</v>
      </c>
      <c r="L18" s="19"/>
    </row>
    <row r="19" spans="2:12" ht="18" customHeight="1" x14ac:dyDescent="0.2">
      <c r="B19" s="1392" t="s">
        <v>1483</v>
      </c>
      <c r="C19" s="4247">
        <f>Summary1!C19</f>
        <v>1284.9645005780499</v>
      </c>
      <c r="D19" s="4247">
        <f>IFERROR(Summary1!D19*28,Summary1!D19)</f>
        <v>33398.812275804725</v>
      </c>
      <c r="E19" s="4247">
        <f>IFERROR(Summary1!E19*265,Summary1!E19)</f>
        <v>3.3766172936601849E-2</v>
      </c>
      <c r="F19" s="628"/>
      <c r="G19" s="628"/>
      <c r="H19" s="628"/>
      <c r="I19" s="69"/>
      <c r="J19" s="69"/>
      <c r="K19" s="4291">
        <f t="shared" si="0"/>
        <v>34683.810542555708</v>
      </c>
      <c r="L19" s="19"/>
    </row>
    <row r="20" spans="2:12" ht="18" customHeight="1" x14ac:dyDescent="0.2">
      <c r="B20" s="1393" t="s">
        <v>1484</v>
      </c>
      <c r="C20" s="4247">
        <f>Summary1!C20</f>
        <v>6219.1792066932649</v>
      </c>
      <c r="D20" s="4247">
        <f>IFERROR(Summary1!D20*28,Summary1!D20)</f>
        <v>5699.1223273382238</v>
      </c>
      <c r="E20" s="4247">
        <f>IFERROR(Summary1!E20*265,Summary1!E20)</f>
        <v>23.938982190370869</v>
      </c>
      <c r="F20" s="628"/>
      <c r="G20" s="628"/>
      <c r="H20" s="628"/>
      <c r="I20" s="69"/>
      <c r="J20" s="69"/>
      <c r="K20" s="4291">
        <f t="shared" si="0"/>
        <v>11942.24051622186</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24691.051147405644</v>
      </c>
      <c r="D22" s="4253">
        <f>IFERROR(Summary1!D22*28,Summary1!D22)</f>
        <v>100.01994552567668</v>
      </c>
      <c r="E22" s="4253">
        <f>IFERROR(Summary1!E22*265,Summary1!E22)</f>
        <v>2457.3973121056183</v>
      </c>
      <c r="F22" s="4253">
        <f>Summary1!F22</f>
        <v>4706.3765189513433</v>
      </c>
      <c r="G22" s="4253">
        <f>Summary1!G22</f>
        <v>524.05752254650565</v>
      </c>
      <c r="H22" s="4253" t="str">
        <f>Summary1!H22</f>
        <v>NO</v>
      </c>
      <c r="I22" s="4253">
        <f>IFERROR(Summary1!I22*23500,Summary1!I22)</f>
        <v>180.50437484164183</v>
      </c>
      <c r="J22" s="4293" t="str">
        <f>IFERROR(Summary1!J22*16100,Summary1!J22)</f>
        <v>NO</v>
      </c>
      <c r="K22" s="4290">
        <f t="shared" si="0"/>
        <v>32659.406821376433</v>
      </c>
      <c r="L22" s="19"/>
    </row>
    <row r="23" spans="2:12" ht="18" customHeight="1" x14ac:dyDescent="0.2">
      <c r="B23" s="1394" t="s">
        <v>1487</v>
      </c>
      <c r="C23" s="4247">
        <f>Summary1!C23</f>
        <v>6985.4738057376535</v>
      </c>
      <c r="D23" s="628"/>
      <c r="E23" s="628"/>
      <c r="F23" s="628"/>
      <c r="G23" s="628"/>
      <c r="H23" s="628"/>
      <c r="I23" s="69"/>
      <c r="J23" s="69"/>
      <c r="K23" s="4291">
        <f t="shared" si="0"/>
        <v>6985.4738057376535</v>
      </c>
      <c r="L23" s="19"/>
    </row>
    <row r="24" spans="2:12" ht="18" customHeight="1" x14ac:dyDescent="0.2">
      <c r="B24" s="1394" t="s">
        <v>621</v>
      </c>
      <c r="C24" s="4247">
        <f>Summary1!C24</f>
        <v>4015.7436099825827</v>
      </c>
      <c r="D24" s="4247">
        <f>IFERROR(Summary1!D24*28,Summary1!D24)</f>
        <v>16.0575464</v>
      </c>
      <c r="E24" s="4247">
        <f>IFERROR(Summary1!E24*265,Summary1!E24)</f>
        <v>2436.4347304207758</v>
      </c>
      <c r="F24" s="1924" t="str">
        <f>Summary1!F24</f>
        <v>NO</v>
      </c>
      <c r="G24" s="1924" t="str">
        <f>Summary1!G24</f>
        <v>NO</v>
      </c>
      <c r="H24" s="1924" t="str">
        <f>Summary1!H24</f>
        <v>NO</v>
      </c>
      <c r="I24" s="616" t="str">
        <f>IFERROR(Summary1!I24*23500,Summary1!I24)</f>
        <v>NO</v>
      </c>
      <c r="J24" s="616" t="str">
        <f>IFERROR(Summary1!J24*16100,Summary1!J24)</f>
        <v>NO</v>
      </c>
      <c r="K24" s="4291">
        <f t="shared" si="0"/>
        <v>6468.2358868033589</v>
      </c>
      <c r="L24" s="19"/>
    </row>
    <row r="25" spans="2:12" ht="18" customHeight="1" x14ac:dyDescent="0.2">
      <c r="B25" s="1394" t="s">
        <v>459</v>
      </c>
      <c r="C25" s="4247">
        <f>Summary1!C25</f>
        <v>13315.672838033808</v>
      </c>
      <c r="D25" s="4247">
        <f>IFERROR(Summary1!D25*28,Summary1!D25)</f>
        <v>83.962399125676669</v>
      </c>
      <c r="E25" s="4247">
        <f>IFERROR(Summary1!E25*265,Summary1!E25)</f>
        <v>20.962581684842672</v>
      </c>
      <c r="F25" s="1924" t="str">
        <f>Summary1!F25</f>
        <v>NO</v>
      </c>
      <c r="G25" s="4247">
        <f>Summary1!G25</f>
        <v>524.05752254650565</v>
      </c>
      <c r="H25" s="4247" t="str">
        <f>Summary1!H25</f>
        <v>NO</v>
      </c>
      <c r="I25" s="4247" t="str">
        <f>IFERROR(Summary1!I25*23500,Summary1!I25)</f>
        <v>NO</v>
      </c>
      <c r="J25" s="4247" t="str">
        <f>IFERROR(Summary1!J25*16100,Summary1!J25)</f>
        <v>NO</v>
      </c>
      <c r="K25" s="4291">
        <f t="shared" si="0"/>
        <v>13944.655341390831</v>
      </c>
      <c r="L25" s="19"/>
    </row>
    <row r="26" spans="2:12" ht="18" customHeight="1" x14ac:dyDescent="0.2">
      <c r="B26" s="1395" t="s">
        <v>1519</v>
      </c>
      <c r="C26" s="4247">
        <f>Summary1!C26</f>
        <v>225.87504949999993</v>
      </c>
      <c r="D26" s="4247" t="str">
        <f>IFERROR(Summary1!D26*28,Summary1!D26)</f>
        <v>NO</v>
      </c>
      <c r="E26" s="4247" t="str">
        <f>IFERROR(Summary1!E26*265,Summary1!E26)</f>
        <v>NO</v>
      </c>
      <c r="F26" s="628"/>
      <c r="G26" s="628"/>
      <c r="H26" s="628"/>
      <c r="I26" s="69"/>
      <c r="J26" s="69"/>
      <c r="K26" s="4291">
        <f t="shared" si="0"/>
        <v>225.87504949999993</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4706.3765189513433</v>
      </c>
      <c r="G28" s="4247" t="str">
        <f>Summary1!G28</f>
        <v>NO</v>
      </c>
      <c r="H28" s="4247" t="str">
        <f>Summary1!H28</f>
        <v>NO</v>
      </c>
      <c r="I28" s="4247" t="str">
        <f>IFERROR(Summary1!I28*23500,Summary1!I28)</f>
        <v>NO</v>
      </c>
      <c r="J28" s="4247" t="str">
        <f>IFERROR(Summary1!J28*16100,Summary1!J28)</f>
        <v>NO</v>
      </c>
      <c r="K28" s="4291">
        <f t="shared" si="0"/>
        <v>4706.3765189513433</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180.50437484164183</v>
      </c>
      <c r="J29" s="4247" t="str">
        <f>IFERROR(Summary1!J29*16100,Summary1!J29)</f>
        <v>NO</v>
      </c>
      <c r="K29" s="4291">
        <f t="shared" si="0"/>
        <v>180.50437484164183</v>
      </c>
      <c r="L29" s="19"/>
    </row>
    <row r="30" spans="2:12" ht="18" customHeight="1" thickBot="1" x14ac:dyDescent="0.25">
      <c r="B30" s="1407" t="s">
        <v>1523</v>
      </c>
      <c r="C30" s="4266">
        <f>Summary1!C30</f>
        <v>148.28584415160208</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148.28584415160208</v>
      </c>
      <c r="L30" s="19"/>
    </row>
    <row r="31" spans="2:12" ht="18" customHeight="1" x14ac:dyDescent="0.2">
      <c r="B31" s="772" t="s">
        <v>1491</v>
      </c>
      <c r="C31" s="4253">
        <f>Summary1!C31</f>
        <v>1815.7872546355406</v>
      </c>
      <c r="D31" s="4253">
        <f>IFERROR(Summary1!D31*28,Summary1!D31)</f>
        <v>67966.262340561676</v>
      </c>
      <c r="E31" s="4253">
        <f>IFERROR(Summary1!E31*265,Summary1!E31)</f>
        <v>10506.232420914646</v>
      </c>
      <c r="F31" s="1929"/>
      <c r="G31" s="1929"/>
      <c r="H31" s="1929"/>
      <c r="I31" s="4215"/>
      <c r="J31" s="627"/>
      <c r="K31" s="4290">
        <f t="shared" si="0"/>
        <v>80288.282016111858</v>
      </c>
      <c r="L31" s="19"/>
    </row>
    <row r="32" spans="2:12" ht="18" customHeight="1" x14ac:dyDescent="0.2">
      <c r="B32" s="620" t="s">
        <v>1492</v>
      </c>
      <c r="C32" s="628"/>
      <c r="D32" s="4247">
        <f>IFERROR(Summary1!D32*28,Summary1!D32)</f>
        <v>60784.847687596382</v>
      </c>
      <c r="E32" s="628"/>
      <c r="F32" s="628"/>
      <c r="G32" s="628"/>
      <c r="H32" s="628"/>
      <c r="I32" s="69"/>
      <c r="J32" s="69"/>
      <c r="K32" s="4291">
        <f t="shared" si="0"/>
        <v>60784.847687596382</v>
      </c>
      <c r="L32" s="19"/>
    </row>
    <row r="33" spans="2:12" ht="18" customHeight="1" x14ac:dyDescent="0.2">
      <c r="B33" s="620" t="s">
        <v>1493</v>
      </c>
      <c r="C33" s="628"/>
      <c r="D33" s="4247">
        <f>IFERROR(Summary1!D33*28,Summary1!D33)</f>
        <v>6949.5463344184845</v>
      </c>
      <c r="E33" s="4247">
        <f>IFERROR(Summary1!E33*265,Summary1!E33)</f>
        <v>471.50767434670001</v>
      </c>
      <c r="F33" s="628"/>
      <c r="G33" s="628"/>
      <c r="H33" s="628"/>
      <c r="I33" s="69"/>
      <c r="J33" s="69"/>
      <c r="K33" s="4291">
        <f t="shared" si="0"/>
        <v>7421.0540087651843</v>
      </c>
      <c r="L33" s="19"/>
    </row>
    <row r="34" spans="2:12" ht="18" customHeight="1" x14ac:dyDescent="0.2">
      <c r="B34" s="620" t="s">
        <v>1494</v>
      </c>
      <c r="C34" s="628"/>
      <c r="D34" s="4247">
        <f>IFERROR(Summary1!D34*28,Summary1!D34)</f>
        <v>88.47180809599999</v>
      </c>
      <c r="E34" s="628"/>
      <c r="F34" s="628"/>
      <c r="G34" s="628"/>
      <c r="H34" s="628"/>
      <c r="I34" s="69"/>
      <c r="J34" s="69"/>
      <c r="K34" s="4291">
        <f t="shared" si="0"/>
        <v>88.47180809599999</v>
      </c>
      <c r="L34" s="19"/>
    </row>
    <row r="35" spans="2:12" ht="18" customHeight="1" x14ac:dyDescent="0.2">
      <c r="B35" s="620" t="s">
        <v>1495</v>
      </c>
      <c r="C35" s="4294"/>
      <c r="D35" s="4247" t="str">
        <f>IFERROR(Summary1!D35*28,Summary1!D35)</f>
        <v>NE</v>
      </c>
      <c r="E35" s="4247">
        <f>IFERROR(Summary1!E35*265,Summary1!E35)</f>
        <v>9981.8270552660124</v>
      </c>
      <c r="F35" s="628"/>
      <c r="G35" s="628"/>
      <c r="H35" s="628"/>
      <c r="I35" s="69"/>
      <c r="J35" s="69"/>
      <c r="K35" s="4291">
        <f t="shared" si="0"/>
        <v>9981.8270552660124</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143.39651045081752</v>
      </c>
      <c r="E37" s="4247">
        <f>IFERROR(Summary1!E37*265,Summary1!E37)</f>
        <v>52.897691301933953</v>
      </c>
      <c r="F37" s="628"/>
      <c r="G37" s="628"/>
      <c r="H37" s="628"/>
      <c r="I37" s="69"/>
      <c r="J37" s="69"/>
      <c r="K37" s="4291">
        <f t="shared" si="0"/>
        <v>196.29420175275146</v>
      </c>
      <c r="L37" s="19"/>
    </row>
    <row r="38" spans="2:12" ht="18" customHeight="1" x14ac:dyDescent="0.2">
      <c r="B38" s="620" t="s">
        <v>721</v>
      </c>
      <c r="C38" s="1924">
        <f>Summary1!C38</f>
        <v>1069.5072182802071</v>
      </c>
      <c r="D38" s="4295"/>
      <c r="E38" s="4295"/>
      <c r="F38" s="628"/>
      <c r="G38" s="628"/>
      <c r="H38" s="628"/>
      <c r="I38" s="69"/>
      <c r="J38" s="69"/>
      <c r="K38" s="4291">
        <f t="shared" si="0"/>
        <v>1069.5072182802071</v>
      </c>
      <c r="L38" s="19"/>
    </row>
    <row r="39" spans="2:12" ht="18" customHeight="1" x14ac:dyDescent="0.2">
      <c r="B39" s="620" t="s">
        <v>722</v>
      </c>
      <c r="C39" s="1924">
        <f>Summary1!C39</f>
        <v>746.28003635533344</v>
      </c>
      <c r="D39" s="4295"/>
      <c r="E39" s="4295"/>
      <c r="F39" s="628"/>
      <c r="G39" s="628"/>
      <c r="H39" s="628"/>
      <c r="I39" s="69"/>
      <c r="J39" s="69"/>
      <c r="K39" s="4291">
        <f t="shared" si="0"/>
        <v>746.28003635533344</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69110.035361393791</v>
      </c>
      <c r="D42" s="1927">
        <f>IFERROR(Summary1!D42*28,Summary1!D42)</f>
        <v>20950.391955710475</v>
      </c>
      <c r="E42" s="1927">
        <f>IFERROR(Summary1!E42*265,Summary1!E42)</f>
        <v>4723.1348644492364</v>
      </c>
      <c r="F42" s="1929"/>
      <c r="G42" s="1929"/>
      <c r="H42" s="1929"/>
      <c r="I42" s="4215"/>
      <c r="J42" s="627"/>
      <c r="K42" s="4290">
        <f t="shared" si="0"/>
        <v>94783.562181553512</v>
      </c>
      <c r="L42" s="19"/>
    </row>
    <row r="43" spans="2:12" ht="18" customHeight="1" x14ac:dyDescent="0.2">
      <c r="B43" s="620" t="s">
        <v>981</v>
      </c>
      <c r="C43" s="1924">
        <f>Summary1!C43</f>
        <v>-37521.021091248396</v>
      </c>
      <c r="D43" s="1924">
        <f>IFERROR(Summary1!D43*28,Summary1!D43)</f>
        <v>7622.0333285693405</v>
      </c>
      <c r="E43" s="1924">
        <f>IFERROR(Summary1!E43*265,Summary1!E43)</f>
        <v>1310.4329090189422</v>
      </c>
      <c r="F43" s="1931"/>
      <c r="G43" s="1931"/>
      <c r="H43" s="1931"/>
      <c r="I43" s="3352"/>
      <c r="J43" s="69"/>
      <c r="K43" s="4291">
        <f t="shared" si="0"/>
        <v>-28588.554853660113</v>
      </c>
      <c r="L43" s="19"/>
    </row>
    <row r="44" spans="2:12" ht="18" customHeight="1" x14ac:dyDescent="0.2">
      <c r="B44" s="620" t="s">
        <v>984</v>
      </c>
      <c r="C44" s="1924">
        <f>Summary1!C44</f>
        <v>10366.324591842265</v>
      </c>
      <c r="D44" s="1924">
        <f>IFERROR(Summary1!D44*28,Summary1!D44)</f>
        <v>99.429321600000023</v>
      </c>
      <c r="E44" s="1924">
        <f>IFERROR(Summary1!E44*265,Summary1!E44)</f>
        <v>55.631197375353103</v>
      </c>
      <c r="F44" s="1931"/>
      <c r="G44" s="1931"/>
      <c r="H44" s="1931"/>
      <c r="I44" s="3352"/>
      <c r="J44" s="69"/>
      <c r="K44" s="4291">
        <f t="shared" si="0"/>
        <v>10521.385110817619</v>
      </c>
      <c r="L44" s="19"/>
    </row>
    <row r="45" spans="2:12" ht="18" customHeight="1" x14ac:dyDescent="0.2">
      <c r="B45" s="620" t="s">
        <v>987</v>
      </c>
      <c r="C45" s="1924">
        <f>Summary1!C45</f>
        <v>95844.326427410371</v>
      </c>
      <c r="D45" s="1924">
        <f>IFERROR(Summary1!D45*28,Summary1!D45)</f>
        <v>10868.684259256715</v>
      </c>
      <c r="E45" s="1924">
        <f>IFERROR(Summary1!E45*265,Summary1!E45)</f>
        <v>3211.0797014783493</v>
      </c>
      <c r="F45" s="1931"/>
      <c r="G45" s="1931"/>
      <c r="H45" s="1931"/>
      <c r="I45" s="3352"/>
      <c r="J45" s="69"/>
      <c r="K45" s="4291">
        <f t="shared" si="0"/>
        <v>109924.09038814543</v>
      </c>
      <c r="L45" s="19"/>
    </row>
    <row r="46" spans="2:12" ht="18" customHeight="1" x14ac:dyDescent="0.2">
      <c r="B46" s="620" t="s">
        <v>1525</v>
      </c>
      <c r="C46" s="1924">
        <f>Summary1!C46</f>
        <v>1048.2472841848185</v>
      </c>
      <c r="D46" s="1924">
        <f>IFERROR(Summary1!D46*28,Summary1!D46)</f>
        <v>2243.4323614844188</v>
      </c>
      <c r="E46" s="1924">
        <f>IFERROR(Summary1!E46*265,Summary1!E46)</f>
        <v>89.57925981932712</v>
      </c>
      <c r="F46" s="1931"/>
      <c r="G46" s="1931"/>
      <c r="H46" s="1931"/>
      <c r="I46" s="3352"/>
      <c r="J46" s="69"/>
      <c r="K46" s="4291">
        <f t="shared" si="0"/>
        <v>3381.2589054885643</v>
      </c>
      <c r="L46" s="19"/>
    </row>
    <row r="47" spans="2:12" ht="18" customHeight="1" x14ac:dyDescent="0.2">
      <c r="B47" s="620" t="s">
        <v>1526</v>
      </c>
      <c r="C47" s="1924">
        <f>Summary1!C47</f>
        <v>5748.0897985584879</v>
      </c>
      <c r="D47" s="1924">
        <f>IFERROR(Summary1!D47*28,Summary1!D47)</f>
        <v>116.81268480000003</v>
      </c>
      <c r="E47" s="1924">
        <f>IFERROR(Summary1!E47*265,Summary1!E47)</f>
        <v>28.961244635645503</v>
      </c>
      <c r="F47" s="1931"/>
      <c r="G47" s="1931"/>
      <c r="H47" s="1931"/>
      <c r="I47" s="3352"/>
      <c r="J47" s="69"/>
      <c r="K47" s="4291">
        <f t="shared" si="0"/>
        <v>5893.863727994134</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-6376.588571722652</v>
      </c>
      <c r="D49" s="3835"/>
      <c r="E49" s="3835"/>
      <c r="F49" s="1931"/>
      <c r="G49" s="1931"/>
      <c r="H49" s="1931"/>
      <c r="I49" s="3352"/>
      <c r="J49" s="69"/>
      <c r="K49" s="4291">
        <f t="shared" si="0"/>
        <v>-6376.588571722652</v>
      </c>
      <c r="L49" s="19"/>
    </row>
    <row r="50" spans="2:12" ht="18" customHeight="1" thickBot="1" x14ac:dyDescent="0.25">
      <c r="B50" s="1552" t="s">
        <v>1529</v>
      </c>
      <c r="C50" s="1926">
        <f>Summary1!C50</f>
        <v>0.65692236888666677</v>
      </c>
      <c r="D50" s="1926" t="str">
        <f>IFERROR(Summary1!D50*28,Summary1!D50)</f>
        <v>NO</v>
      </c>
      <c r="E50" s="1926">
        <f>IFERROR(Summary1!E50*265,Summary1!E50)</f>
        <v>27.450552121619634</v>
      </c>
      <c r="F50" s="3024"/>
      <c r="G50" s="3024"/>
      <c r="H50" s="3024"/>
      <c r="I50" s="3828"/>
      <c r="J50" s="87"/>
      <c r="K50" s="4292">
        <f t="shared" si="0"/>
        <v>28.107474490506299</v>
      </c>
      <c r="L50" s="19"/>
    </row>
    <row r="51" spans="2:12" ht="18" customHeight="1" x14ac:dyDescent="0.2">
      <c r="B51" s="1550" t="s">
        <v>1500</v>
      </c>
      <c r="C51" s="1927">
        <f>Summary1!C51</f>
        <v>29.670531219562221</v>
      </c>
      <c r="D51" s="1927">
        <f>IFERROR(Summary1!D51*28,Summary1!D51)</f>
        <v>15585.377419260269</v>
      </c>
      <c r="E51" s="1927">
        <f>IFERROR(Summary1!E51*265,Summary1!E51)</f>
        <v>257.61239993721381</v>
      </c>
      <c r="F51" s="1929"/>
      <c r="G51" s="1929"/>
      <c r="H51" s="1929"/>
      <c r="I51" s="4215"/>
      <c r="J51" s="627"/>
      <c r="K51" s="4290">
        <f t="shared" si="0"/>
        <v>15872.660350417045</v>
      </c>
      <c r="L51" s="19"/>
    </row>
    <row r="52" spans="2:12" ht="18" customHeight="1" x14ac:dyDescent="0.2">
      <c r="B52" s="620" t="s">
        <v>1530</v>
      </c>
      <c r="C52" s="628"/>
      <c r="D52" s="1924">
        <f>IFERROR(Summary1!D52*28,Summary1!D52)</f>
        <v>12292.95541124</v>
      </c>
      <c r="E52" s="1931"/>
      <c r="F52" s="628"/>
      <c r="G52" s="628"/>
      <c r="H52" s="628"/>
      <c r="I52" s="69"/>
      <c r="J52" s="69"/>
      <c r="K52" s="4291">
        <f t="shared" si="0"/>
        <v>12292.95541124</v>
      </c>
      <c r="L52" s="19"/>
    </row>
    <row r="53" spans="2:12" ht="18" customHeight="1" x14ac:dyDescent="0.2">
      <c r="B53" s="1396" t="s">
        <v>1531</v>
      </c>
      <c r="C53" s="628"/>
      <c r="D53" s="1924">
        <f>IFERROR(Summary1!D53*28,Summary1!D53)</f>
        <v>74.578748999999988</v>
      </c>
      <c r="E53" s="1924">
        <f>IFERROR(Summary1!E53*265,Summary1!E53)</f>
        <v>90.346827360000006</v>
      </c>
      <c r="F53" s="628"/>
      <c r="G53" s="628"/>
      <c r="H53" s="628"/>
      <c r="I53" s="69"/>
      <c r="J53" s="69"/>
      <c r="K53" s="4291">
        <f t="shared" si="0"/>
        <v>164.92557635999998</v>
      </c>
      <c r="L53" s="19"/>
    </row>
    <row r="54" spans="2:12" ht="18" customHeight="1" x14ac:dyDescent="0.2">
      <c r="B54" s="1397" t="s">
        <v>1532</v>
      </c>
      <c r="C54" s="1924">
        <f>Summary1!C54</f>
        <v>29.670531219562221</v>
      </c>
      <c r="D54" s="1924" t="str">
        <f>IFERROR(Summary1!D54*28,Summary1!D54)</f>
        <v>NO,NE</v>
      </c>
      <c r="E54" s="1924" t="str">
        <f>IFERROR(Summary1!E54*265,Summary1!E54)</f>
        <v>NO,NE</v>
      </c>
      <c r="F54" s="628"/>
      <c r="G54" s="628"/>
      <c r="H54" s="628"/>
      <c r="I54" s="69"/>
      <c r="J54" s="69"/>
      <c r="K54" s="4291">
        <f t="shared" si="0"/>
        <v>29.670531219562221</v>
      </c>
      <c r="L54" s="19"/>
    </row>
    <row r="55" spans="2:12" ht="18" customHeight="1" x14ac:dyDescent="0.2">
      <c r="B55" s="620" t="s">
        <v>1533</v>
      </c>
      <c r="C55" s="628"/>
      <c r="D55" s="1924">
        <f>IFERROR(Summary1!D55*28,Summary1!D55)</f>
        <v>3217.8432590202683</v>
      </c>
      <c r="E55" s="1924">
        <f>IFERROR(Summary1!E55*265,Summary1!E55)</f>
        <v>167.26557257721382</v>
      </c>
      <c r="F55" s="628"/>
      <c r="G55" s="628"/>
      <c r="H55" s="628"/>
      <c r="I55" s="69"/>
      <c r="J55" s="69"/>
      <c r="K55" s="4291">
        <f t="shared" si="0"/>
        <v>3385.1088315974821</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11925.5122242</v>
      </c>
      <c r="D60" s="4219">
        <f>IFERROR(Summary1!D61*28,Summary1!D61)</f>
        <v>7.2927227504000012</v>
      </c>
      <c r="E60" s="4219">
        <f>IFERROR(Summary1!E61*265,Summary1!E61)</f>
        <v>31.033000862368421</v>
      </c>
      <c r="F60" s="1931"/>
      <c r="G60" s="1931"/>
      <c r="H60" s="1932"/>
      <c r="I60" s="630"/>
      <c r="J60" s="630"/>
      <c r="K60" s="4220">
        <f t="shared" ref="K60:K66" si="2">IF(SUM(C60:J60)=0,"NO",SUM(C60:J60))</f>
        <v>11963.837947812768</v>
      </c>
    </row>
    <row r="61" spans="2:12" ht="18" customHeight="1" x14ac:dyDescent="0.2">
      <c r="B61" s="1386" t="s">
        <v>111</v>
      </c>
      <c r="C61" s="4219">
        <f>Summary1!C62</f>
        <v>9357.8260147199999</v>
      </c>
      <c r="D61" s="4219">
        <f>IFERROR(Summary1!D62*28,Summary1!D62)</f>
        <v>0.4223675999999999</v>
      </c>
      <c r="E61" s="4219">
        <f>IFERROR(Summary1!E62*265,Summary1!E62)</f>
        <v>12.454999690368423</v>
      </c>
      <c r="F61" s="628"/>
      <c r="G61" s="628"/>
      <c r="H61" s="628"/>
      <c r="I61" s="631"/>
      <c r="J61" s="631"/>
      <c r="K61" s="4234">
        <f t="shared" si="2"/>
        <v>9370.7033820103679</v>
      </c>
    </row>
    <row r="62" spans="2:12" ht="18" customHeight="1" x14ac:dyDescent="0.2">
      <c r="B62" s="1387" t="s">
        <v>1503</v>
      </c>
      <c r="C62" s="4219">
        <f>Summary1!C63</f>
        <v>2567.6862094799999</v>
      </c>
      <c r="D62" s="4219">
        <f>IFERROR(Summary1!D63*28,Summary1!D63)</f>
        <v>6.8703551504000018</v>
      </c>
      <c r="E62" s="4219">
        <f>IFERROR(Summary1!E63*265,Summary1!E63)</f>
        <v>18.578001172000004</v>
      </c>
      <c r="F62" s="628"/>
      <c r="G62" s="628"/>
      <c r="H62" s="628"/>
      <c r="I62" s="632"/>
      <c r="J62" s="632"/>
      <c r="K62" s="4220">
        <f t="shared" si="2"/>
        <v>2593.1345658023997</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19274.567221454996</v>
      </c>
      <c r="D64" s="1931"/>
      <c r="E64" s="1931"/>
      <c r="F64" s="1931"/>
      <c r="G64" s="1931"/>
      <c r="H64" s="1931"/>
      <c r="I64" s="3352"/>
      <c r="J64" s="3352"/>
      <c r="K64" s="3821">
        <f t="shared" si="2"/>
        <v>19274.567221454996</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-264169.75243978453</v>
      </c>
      <c r="D66" s="4301"/>
      <c r="E66" s="4301"/>
      <c r="F66" s="4301"/>
      <c r="G66" s="4301"/>
      <c r="H66" s="4301"/>
      <c r="I66" s="3824"/>
      <c r="J66" s="3824"/>
      <c r="K66" s="4302">
        <f t="shared" si="2"/>
        <v>-264169.75243978453</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546739.51591194165</v>
      </c>
      <c r="N71" s="1126"/>
    </row>
    <row r="72" spans="2:14" s="634" customFormat="1" ht="18" customHeight="1" x14ac:dyDescent="0.25">
      <c r="B72" s="637"/>
      <c r="C72" s="638"/>
      <c r="D72" s="638"/>
      <c r="E72" s="638"/>
      <c r="F72" s="638"/>
      <c r="G72" s="638"/>
      <c r="H72" s="638"/>
      <c r="I72" s="638"/>
      <c r="J72" s="2553" t="s">
        <v>2122</v>
      </c>
      <c r="K72" s="3821">
        <f>K10</f>
        <v>641523.0780934951</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778613.36687170365</v>
      </c>
      <c r="D10" s="3076" t="s">
        <v>1814</v>
      </c>
      <c r="E10" s="628"/>
      <c r="F10" s="628"/>
      <c r="G10" s="628"/>
      <c r="H10" s="1913">
        <f>IF(SUM(H11:H15)=0,"NO",SUM(H11:H15))</f>
        <v>40457.906147434798</v>
      </c>
      <c r="I10" s="1913">
        <f t="shared" ref="I10:K10" si="0">IF(SUM(I11:I16)=0,"NO",SUM(I11:I16))</f>
        <v>2.3972548946445906</v>
      </c>
      <c r="J10" s="1847">
        <f t="shared" si="0"/>
        <v>1.3715263252857555</v>
      </c>
      <c r="K10" s="3065" t="str">
        <f t="shared" si="0"/>
        <v>NO</v>
      </c>
    </row>
    <row r="11" spans="2:11" ht="18" customHeight="1" x14ac:dyDescent="0.2">
      <c r="B11" s="282" t="s">
        <v>132</v>
      </c>
      <c r="C11" s="1913">
        <f>IF(SUM(C18,C25,C32,C39,C46,C53,C62,C69,C76,C83,C90,C97,C114,C104:C107)=0,"NO",SUM(C18,C25,C32,C39,C46,C53,C62,C69,C76,C83,C90,C97,C114,C104:C107))</f>
        <v>186296.2250958393</v>
      </c>
      <c r="D11" s="3077" t="s">
        <v>1814</v>
      </c>
      <c r="E11" s="1913">
        <f>IFERROR(H11*1000/$C11,"NA")</f>
        <v>68.919673620273684</v>
      </c>
      <c r="F11" s="1913">
        <f t="shared" ref="F11:G16" si="1">IFERROR(I11*1000000/$C11,"NA")</f>
        <v>4.209712030944349</v>
      </c>
      <c r="G11" s="1913">
        <f t="shared" si="1"/>
        <v>1.926316996644162</v>
      </c>
      <c r="H11" s="1913">
        <f>IF(SUM(H18,H25,H32,H39,H46,H53,H62,H69,H76,H83,H90,H97,H114,H104:H107)=0,"NO",SUM(H18,H25,H32,H39,H46,H53,H62,H69,H76,H83,H90,H97,H114,H104:H107))</f>
        <v>12839.475030294285</v>
      </c>
      <c r="I11" s="1913">
        <f>IF(SUM(I18,I25,I32,I39,I46,I53,I62,I69,I76,I83,I90,I97,I114,I104:I107)=0,"NO",SUM(I18,I25,I32,I39,I46,I53,I62,I69,I76,I83,I90,I97,I114,I104:I107))</f>
        <v>0.78425346010547126</v>
      </c>
      <c r="J11" s="1913">
        <f>IF(SUM(J18,J25,J32,J39,J46,J53,J62,J69,J76,J83,J90,J97,J114,J104:J107)=0,"NO",SUM(J18,J25,J32,J39,J46,J53,J62,J69,J76,J83,J90,J97,J114,J104:J107))</f>
        <v>0.35886558481276193</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127712.98205561712</v>
      </c>
      <c r="D12" s="3077" t="s">
        <v>1814</v>
      </c>
      <c r="E12" s="1913">
        <f t="shared" ref="E12:E16" si="2">IFERROR(H12*1000/$C12,"NA")</f>
        <v>80.320324840760748</v>
      </c>
      <c r="F12" s="1913">
        <f t="shared" si="1"/>
        <v>0.95021137691344726</v>
      </c>
      <c r="G12" s="1913">
        <f t="shared" si="1"/>
        <v>0.69791505894908812</v>
      </c>
      <c r="H12" s="1913">
        <f>IF(SUM(H19,H26,H33,H40,H47,H54,H63,H70,H77,H84,H91,H98,H115)=0,"NO",SUM(H19,H26,H33,H40,H47,H54,H63,H70,H77,H84,H91,H98,H115))</f>
        <v>10257.948205089415</v>
      </c>
      <c r="I12" s="1913">
        <f>IF(SUM(I19,I26,I33,I40,I47,I54,I63,I70,I77,I84,I91,I98,I115)=0,"NO",SUM(I19,I26,I33,I40,I47,I54,I63,I70,I77,I84,I91,I98,I115))</f>
        <v>0.12135432852879033</v>
      </c>
      <c r="J12" s="1913">
        <f>IF(SUM(J19,J26,J33,J40,J47,J54,J63,J70,J77,J84,J91,J98,J115)=0,"NO",SUM(J19,J26,J33,J40,J47,J54,J63,J70,J77,J84,J91,J98,J115))</f>
        <v>8.9132813399909847E-2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337005.7279855886</v>
      </c>
      <c r="D13" s="3077" t="s">
        <v>1814</v>
      </c>
      <c r="E13" s="1913">
        <f t="shared" si="2"/>
        <v>51.513910507756968</v>
      </c>
      <c r="F13" s="1913">
        <f t="shared" si="1"/>
        <v>0.96351477585565148</v>
      </c>
      <c r="G13" s="1913">
        <f t="shared" si="1"/>
        <v>0.53747192823760304</v>
      </c>
      <c r="H13" s="1913">
        <f t="shared" ref="H13:K14" si="3">IF(SUM(H20,H27,H34,H41,H48,H55,H64,H71,H78,H85,H92,H99,H116,H109)=0,"NO",SUM(H20,H27,H34,H41,H48,H55,H64,H71,H78,H85,H92,H99,H116,H109))</f>
        <v>17360.482912051099</v>
      </c>
      <c r="I13" s="1913">
        <f t="shared" si="3"/>
        <v>0.32470999846210508</v>
      </c>
      <c r="J13" s="1913">
        <f t="shared" si="3"/>
        <v>0.18113111844753146</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127598.43173465868</v>
      </c>
      <c r="D16" s="3092" t="s">
        <v>1814</v>
      </c>
      <c r="E16" s="1913">
        <f t="shared" si="2"/>
        <v>94.644826562679242</v>
      </c>
      <c r="F16" s="1913">
        <f t="shared" si="1"/>
        <v>9.1453875387345942</v>
      </c>
      <c r="G16" s="1913">
        <f t="shared" si="1"/>
        <v>5.8182283162332959</v>
      </c>
      <c r="H16" s="1913">
        <f>IF(SUM(H23,H30,H37,H44,H51,H58,H67,H74,H81,H88,H95,H102,H119,H111)=0,"NO",SUM(H23,H30,H37,H44,H51,H58,H67,H74,H81,H88,H95,H102,H119,H111))</f>
        <v>12076.531441196637</v>
      </c>
      <c r="I16" s="1913">
        <f>IF(SUM(I23,I30,I37,I44,I51,I58,I67,I74,I81,I88,I95,I102,I119,I111)=0,"NO",SUM(I23,I30,I37,I44,I51,I58,I67,I74,I81,I88,I95,I102,I119,I111))</f>
        <v>1.1669371075482242</v>
      </c>
      <c r="J16" s="1913">
        <f>IF(SUM(J23,J30,J37,J44,J51,J58,J67,J74,J81,J88,J95,J102,J119,J111)=0,"NO",SUM(J23,J30,J37,J44,J51,J58,J67,J74,J81,J88,J95,J102,J119,J111))</f>
        <v>0.74239680862555235</v>
      </c>
      <c r="K16" s="3065" t="str">
        <f>IF(SUM(K23,K30,K37,K44,K51,K58,K67,K74,K81,K88,K95,K102,K119,K111)=0,"NO",SUM(K23,K30,K37,K44,K51,K58,K67,K74,K81,K88,K95,K102,K119,K111))</f>
        <v>NO</v>
      </c>
    </row>
    <row r="17" spans="2:11" ht="18" customHeight="1" x14ac:dyDescent="0.2">
      <c r="B17" s="1241" t="s">
        <v>151</v>
      </c>
      <c r="C17" s="1913">
        <f>IF(SUM(C18:C23)=0,"NO",SUM(C18:C23))</f>
        <v>53144.293255537268</v>
      </c>
      <c r="D17" s="3076" t="s">
        <v>1814</v>
      </c>
      <c r="E17" s="628"/>
      <c r="F17" s="628"/>
      <c r="G17" s="628"/>
      <c r="H17" s="1913">
        <f>IF(SUM(H18:H22)=0,"NO",SUM(H18:H22))</f>
        <v>2468.3691529140874</v>
      </c>
      <c r="I17" s="1913">
        <f t="shared" ref="I17:K17" si="4">IF(SUM(I18:I23)=0,"NO",SUM(I18:I23))</f>
        <v>5.5951362752233585E-2</v>
      </c>
      <c r="J17" s="1913">
        <f t="shared" si="4"/>
        <v>3.1074065043802002E-2</v>
      </c>
      <c r="K17" s="3065" t="str">
        <f t="shared" si="4"/>
        <v>NO</v>
      </c>
    </row>
    <row r="18" spans="2:11" ht="18" customHeight="1" x14ac:dyDescent="0.2">
      <c r="B18" s="282" t="s">
        <v>132</v>
      </c>
      <c r="C18" s="691">
        <v>1826.7106365691207</v>
      </c>
      <c r="D18" s="3077" t="s">
        <v>1814</v>
      </c>
      <c r="E18" s="1913">
        <f>IFERROR(H18*1000/$C18,"NA")</f>
        <v>71.339178638533696</v>
      </c>
      <c r="F18" s="1913">
        <f t="shared" ref="F18:G23" si="5">IFERROR(I18*1000000/$C18,"NA")</f>
        <v>3.8061885865930134</v>
      </c>
      <c r="G18" s="1913">
        <f t="shared" si="5"/>
        <v>1.1724339104305694</v>
      </c>
      <c r="H18" s="691">
        <v>130.3160364231141</v>
      </c>
      <c r="I18" s="691">
        <v>6.9528051759174449E-3</v>
      </c>
      <c r="J18" s="691">
        <v>2.1416974948578488E-3</v>
      </c>
      <c r="K18" s="3093" t="s">
        <v>2146</v>
      </c>
    </row>
    <row r="19" spans="2:11" ht="18" customHeight="1" x14ac:dyDescent="0.2">
      <c r="B19" s="282" t="s">
        <v>133</v>
      </c>
      <c r="C19" s="691">
        <v>25462.088745857058</v>
      </c>
      <c r="D19" s="3077" t="s">
        <v>1814</v>
      </c>
      <c r="E19" s="1913">
        <f t="shared" ref="E19:E23" si="6">IFERROR(H19*1000/$C19,"NA")</f>
        <v>39.618610512829846</v>
      </c>
      <c r="F19" s="1913">
        <f t="shared" si="5"/>
        <v>0.95499136369039905</v>
      </c>
      <c r="G19" s="1913">
        <f t="shared" si="5"/>
        <v>0.57047938859195857</v>
      </c>
      <c r="H19" s="691">
        <v>1008.772576865219</v>
      </c>
      <c r="I19" s="691">
        <v>2.4316074853811993E-2</v>
      </c>
      <c r="J19" s="691">
        <v>1.4525596820010724E-2</v>
      </c>
      <c r="K19" s="3093" t="s">
        <v>2146</v>
      </c>
    </row>
    <row r="20" spans="2:11" ht="18" customHeight="1" x14ac:dyDescent="0.2">
      <c r="B20" s="282" t="s">
        <v>134</v>
      </c>
      <c r="C20" s="691">
        <v>25855.493873111092</v>
      </c>
      <c r="D20" s="3077" t="s">
        <v>1814</v>
      </c>
      <c r="E20" s="1913">
        <f t="shared" si="6"/>
        <v>51.411918339265014</v>
      </c>
      <c r="F20" s="1913">
        <f t="shared" si="5"/>
        <v>0.95463203463203461</v>
      </c>
      <c r="G20" s="1913">
        <f t="shared" si="5"/>
        <v>0.55720346320346326</v>
      </c>
      <c r="H20" s="691">
        <v>1329.2805396257543</v>
      </c>
      <c r="I20" s="691">
        <v>2.4682482722504149E-2</v>
      </c>
      <c r="J20" s="691">
        <v>1.4406770728933425E-2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227642.73552084845</v>
      </c>
      <c r="D24" s="3077" t="s">
        <v>1814</v>
      </c>
      <c r="E24" s="628"/>
      <c r="F24" s="628"/>
      <c r="G24" s="628"/>
      <c r="H24" s="1913">
        <f>IF(SUM(H25:H29)=0,"NO",SUM(H25:H29))</f>
        <v>14142.186150274869</v>
      </c>
      <c r="I24" s="1913">
        <f t="shared" ref="I24:K24" si="7">IF(SUM(I25:I30)=0,"NO",SUM(I25:I30))</f>
        <v>0.27264937347377993</v>
      </c>
      <c r="J24" s="1913">
        <f t="shared" si="7"/>
        <v>0.16202614903776924</v>
      </c>
      <c r="K24" s="3065" t="str">
        <f t="shared" si="7"/>
        <v>NO</v>
      </c>
    </row>
    <row r="25" spans="2:11" ht="18" customHeight="1" x14ac:dyDescent="0.2">
      <c r="B25" s="282" t="s">
        <v>132</v>
      </c>
      <c r="C25" s="691">
        <v>34369.184317179665</v>
      </c>
      <c r="D25" s="3077" t="s">
        <v>1814</v>
      </c>
      <c r="E25" s="1913">
        <f>IFERROR(H25*1000/$C25,"NA")</f>
        <v>72.933009174806571</v>
      </c>
      <c r="F25" s="1913">
        <f t="shared" ref="F25:G30" si="8">IFERROR(I25*1000000/$C25,"NA")</f>
        <v>1.996780490655655</v>
      </c>
      <c r="G25" s="1913">
        <f t="shared" si="8"/>
        <v>0.96755282458826397</v>
      </c>
      <c r="H25" s="691">
        <v>2506.6480351354826</v>
      </c>
      <c r="I25" s="691">
        <v>6.8627716724292659E-2</v>
      </c>
      <c r="J25" s="691">
        <v>3.3254001364881852E-2</v>
      </c>
      <c r="K25" s="3093" t="s">
        <v>2146</v>
      </c>
    </row>
    <row r="26" spans="2:11" ht="18" customHeight="1" x14ac:dyDescent="0.2">
      <c r="B26" s="282" t="s">
        <v>133</v>
      </c>
      <c r="C26" s="691">
        <v>45831.069810085406</v>
      </c>
      <c r="D26" s="3077" t="s">
        <v>1814</v>
      </c>
      <c r="E26" s="1913">
        <f t="shared" ref="E26:E30" si="9">IFERROR(H26*1000/$C26,"NA")</f>
        <v>91.109999862869358</v>
      </c>
      <c r="F26" s="1913">
        <f t="shared" si="8"/>
        <v>0.95238095238095244</v>
      </c>
      <c r="G26" s="1913">
        <f t="shared" si="8"/>
        <v>0.70609523809523844</v>
      </c>
      <c r="H26" s="691">
        <v>4175.668764112037</v>
      </c>
      <c r="I26" s="691">
        <v>4.3648637914367058E-2</v>
      </c>
      <c r="J26" s="691">
        <v>3.2361100149711747E-2</v>
      </c>
      <c r="K26" s="3093" t="s">
        <v>2146</v>
      </c>
    </row>
    <row r="27" spans="2:11" ht="18" customHeight="1" x14ac:dyDescent="0.2">
      <c r="B27" s="282" t="s">
        <v>134</v>
      </c>
      <c r="C27" s="691">
        <v>145100.00000000003</v>
      </c>
      <c r="D27" s="3077" t="s">
        <v>1814</v>
      </c>
      <c r="E27" s="1913">
        <f t="shared" si="9"/>
        <v>51.411918339264986</v>
      </c>
      <c r="F27" s="1913">
        <f t="shared" si="8"/>
        <v>0.95727272727272694</v>
      </c>
      <c r="G27" s="1913">
        <f t="shared" si="8"/>
        <v>0.57027272727272704</v>
      </c>
      <c r="H27" s="691">
        <v>7459.8693510273506</v>
      </c>
      <c r="I27" s="691">
        <v>0.13890027272727271</v>
      </c>
      <c r="J27" s="691">
        <v>8.2746572727272705E-2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2342.4813935833599</v>
      </c>
      <c r="D30" s="3077" t="s">
        <v>1814</v>
      </c>
      <c r="E30" s="1913">
        <f t="shared" si="9"/>
        <v>94</v>
      </c>
      <c r="F30" s="1913">
        <f t="shared" si="8"/>
        <v>9.1666666666666661</v>
      </c>
      <c r="G30" s="1913">
        <f t="shared" si="8"/>
        <v>5.8333333333333348</v>
      </c>
      <c r="H30" s="691">
        <v>220.19325099683584</v>
      </c>
      <c r="I30" s="691">
        <v>2.1472746107847468E-2</v>
      </c>
      <c r="J30" s="691">
        <v>1.3664474795902935E-2</v>
      </c>
      <c r="K30" s="3093" t="s">
        <v>2146</v>
      </c>
    </row>
    <row r="31" spans="2:11" ht="18" customHeight="1" x14ac:dyDescent="0.2">
      <c r="B31" s="1241" t="s">
        <v>153</v>
      </c>
      <c r="C31" s="1913">
        <f>IF(SUM(C32:C37)=0,"NO",SUM(C32:C37))</f>
        <v>98791.772972982464</v>
      </c>
      <c r="D31" s="3077" t="s">
        <v>1814</v>
      </c>
      <c r="E31" s="628"/>
      <c r="F31" s="628"/>
      <c r="G31" s="628"/>
      <c r="H31" s="1913">
        <f>IF(SUM(H32:H36)=0,"NO",SUM(H32:H36))</f>
        <v>6194.2634957450955</v>
      </c>
      <c r="I31" s="1913">
        <f t="shared" ref="I31:K31" si="10">IF(SUM(I32:I37)=0,"NO",SUM(I32:I37))</f>
        <v>0.24324921594536092</v>
      </c>
      <c r="J31" s="1913">
        <f t="shared" si="10"/>
        <v>7.2232683187622646E-2</v>
      </c>
      <c r="K31" s="3065" t="str">
        <f t="shared" si="10"/>
        <v>NO</v>
      </c>
    </row>
    <row r="32" spans="2:11" ht="18" customHeight="1" x14ac:dyDescent="0.2">
      <c r="B32" s="282" t="s">
        <v>132</v>
      </c>
      <c r="C32" s="691">
        <v>64699.908052557672</v>
      </c>
      <c r="D32" s="3077" t="s">
        <v>1814</v>
      </c>
      <c r="E32" s="1913">
        <f>IFERROR(H32*1000/$C32,"NA")</f>
        <v>66.641061748572781</v>
      </c>
      <c r="F32" s="1913">
        <f t="shared" ref="F32:G37" si="11">IFERROR(I32*1000000/$C32,"NA")</f>
        <v>3.2233360798506885</v>
      </c>
      <c r="G32" s="1913">
        <f t="shared" si="11"/>
        <v>0.82828609783868357</v>
      </c>
      <c r="H32" s="691">
        <v>4311.6705676574775</v>
      </c>
      <c r="I32" s="691">
        <v>0.20854954798883124</v>
      </c>
      <c r="J32" s="691">
        <v>5.3590034371374613E-2</v>
      </c>
      <c r="K32" s="3093" t="s">
        <v>2146</v>
      </c>
    </row>
    <row r="33" spans="2:11" ht="18" customHeight="1" x14ac:dyDescent="0.2">
      <c r="B33" s="282" t="s">
        <v>133</v>
      </c>
      <c r="C33" s="691">
        <v>2943.4980728028045</v>
      </c>
      <c r="D33" s="3077" t="s">
        <v>1814</v>
      </c>
      <c r="E33" s="1913">
        <f t="shared" ref="E33:E37" si="12">IFERROR(H33*1000/$C33,"NA")</f>
        <v>91.094085266077954</v>
      </c>
      <c r="F33" s="1913">
        <f t="shared" si="11"/>
        <v>0.95238095238095244</v>
      </c>
      <c r="G33" s="1913">
        <f t="shared" si="11"/>
        <v>0.66666666666666674</v>
      </c>
      <c r="H33" s="691">
        <v>268.13526442443481</v>
      </c>
      <c r="I33" s="691">
        <v>2.8033314979074332E-3</v>
      </c>
      <c r="J33" s="691">
        <v>1.962332048535203E-3</v>
      </c>
      <c r="K33" s="3093" t="s">
        <v>2146</v>
      </c>
    </row>
    <row r="34" spans="2:11" ht="18" customHeight="1" x14ac:dyDescent="0.2">
      <c r="B34" s="282" t="s">
        <v>134</v>
      </c>
      <c r="C34" s="691">
        <v>30733.840901341195</v>
      </c>
      <c r="D34" s="3077" t="s">
        <v>1814</v>
      </c>
      <c r="E34" s="1913">
        <f t="shared" si="12"/>
        <v>52.5302928731153</v>
      </c>
      <c r="F34" s="1913">
        <f t="shared" si="11"/>
        <v>0.9552473490225285</v>
      </c>
      <c r="G34" s="1913">
        <f t="shared" si="11"/>
        <v>0.4982985936994983</v>
      </c>
      <c r="H34" s="691">
        <v>1614.457663663183</v>
      </c>
      <c r="I34" s="691">
        <v>2.9358420046286332E-2</v>
      </c>
      <c r="J34" s="691">
        <v>1.5314629700122439E-2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v>414.52594628080197</v>
      </c>
      <c r="D37" s="3077" t="s">
        <v>1814</v>
      </c>
      <c r="E37" s="1913">
        <f t="shared" si="12"/>
        <v>81.098515670772429</v>
      </c>
      <c r="F37" s="1913">
        <f t="shared" si="11"/>
        <v>6.1224549032612936</v>
      </c>
      <c r="G37" s="1913">
        <f t="shared" si="11"/>
        <v>3.2945755985688514</v>
      </c>
      <c r="H37" s="691">
        <v>33.617438950395389</v>
      </c>
      <c r="I37" s="691">
        <v>2.5379164123359235E-3</v>
      </c>
      <c r="J37" s="691">
        <v>1.3656870675903927E-3</v>
      </c>
      <c r="K37" s="3093" t="s">
        <v>2146</v>
      </c>
    </row>
    <row r="38" spans="2:11" ht="18" customHeight="1" x14ac:dyDescent="0.2">
      <c r="B38" s="1241" t="s">
        <v>154</v>
      </c>
      <c r="C38" s="1913">
        <f>IF(SUM(C39:C44)=0,"NO",SUM(C39:C44))</f>
        <v>54323.832533108922</v>
      </c>
      <c r="D38" s="3077" t="s">
        <v>1814</v>
      </c>
      <c r="E38" s="628"/>
      <c r="F38" s="628"/>
      <c r="G38" s="628"/>
      <c r="H38" s="1913">
        <f>IF(SUM(H39:H43)=0,"NO",SUM(H39:H43))</f>
        <v>1707.8179514715935</v>
      </c>
      <c r="I38" s="1913">
        <f t="shared" ref="I38:K38" si="13">IF(SUM(I39:I44)=0,"NO",SUM(I39:I44))</f>
        <v>0.26075530406167141</v>
      </c>
      <c r="J38" s="1913">
        <f t="shared" si="13"/>
        <v>0.17301398954984779</v>
      </c>
      <c r="K38" s="3065" t="str">
        <f t="shared" si="13"/>
        <v>NO</v>
      </c>
    </row>
    <row r="39" spans="2:11" ht="18" customHeight="1" x14ac:dyDescent="0.2">
      <c r="B39" s="282" t="s">
        <v>132</v>
      </c>
      <c r="C39" s="691">
        <v>602.45557181742186</v>
      </c>
      <c r="D39" s="3077" t="s">
        <v>1814</v>
      </c>
      <c r="E39" s="1913">
        <f>IFERROR(H39*1000/$C39,"NA")</f>
        <v>68.250197426131521</v>
      </c>
      <c r="F39" s="1913">
        <f t="shared" ref="F39:G44" si="14">IFERROR(I39*1000000/$C39,"NA")</f>
        <v>0.55641063360002008</v>
      </c>
      <c r="G39" s="1913">
        <f t="shared" si="14"/>
        <v>0.83130910885452503</v>
      </c>
      <c r="H39" s="691">
        <v>41.117711717012</v>
      </c>
      <c r="I39" s="691">
        <v>3.3521268643079408E-4</v>
      </c>
      <c r="J39" s="691">
        <v>5.0082680453198422E-4</v>
      </c>
      <c r="K39" s="3093" t="s">
        <v>2146</v>
      </c>
    </row>
    <row r="40" spans="2:11" ht="18" customHeight="1" x14ac:dyDescent="0.2">
      <c r="B40" s="282" t="s">
        <v>133</v>
      </c>
      <c r="C40" s="691">
        <v>5699.3999999999987</v>
      </c>
      <c r="D40" s="3077" t="s">
        <v>1814</v>
      </c>
      <c r="E40" s="1913">
        <f t="shared" ref="E40:E44" si="15">IFERROR(H40*1000/$C40,"NA")</f>
        <v>90</v>
      </c>
      <c r="F40" s="1913">
        <f t="shared" si="14"/>
        <v>0.95238095238095244</v>
      </c>
      <c r="G40" s="1913">
        <f t="shared" si="14"/>
        <v>0.66666666666666652</v>
      </c>
      <c r="H40" s="691">
        <v>512.94599999999991</v>
      </c>
      <c r="I40" s="691">
        <v>5.4279999999999988E-3</v>
      </c>
      <c r="J40" s="691">
        <v>3.7995999999999985E-3</v>
      </c>
      <c r="K40" s="3093" t="s">
        <v>2146</v>
      </c>
    </row>
    <row r="41" spans="2:11" ht="18" customHeight="1" x14ac:dyDescent="0.2">
      <c r="B41" s="282" t="s">
        <v>134</v>
      </c>
      <c r="C41" s="691">
        <v>22441.376961291498</v>
      </c>
      <c r="D41" s="3077" t="s">
        <v>1814</v>
      </c>
      <c r="E41" s="1913">
        <f t="shared" si="15"/>
        <v>51.411918339265007</v>
      </c>
      <c r="F41" s="1913">
        <f t="shared" si="14"/>
        <v>0.91363636363636369</v>
      </c>
      <c r="G41" s="1913">
        <f t="shared" si="14"/>
        <v>0.86863636363636365</v>
      </c>
      <c r="H41" s="691">
        <v>1153.7542397545815</v>
      </c>
      <c r="I41" s="691">
        <v>2.0503258041907231E-2</v>
      </c>
      <c r="J41" s="691">
        <v>1.9493396078649115E-2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25580.600000000002</v>
      </c>
      <c r="D44" s="3076" t="s">
        <v>1814</v>
      </c>
      <c r="E44" s="1913">
        <f t="shared" si="15"/>
        <v>93.999999999999986</v>
      </c>
      <c r="F44" s="1913">
        <f t="shared" si="14"/>
        <v>9.1666666666666679</v>
      </c>
      <c r="G44" s="1913">
        <f t="shared" si="14"/>
        <v>5.8333333333333339</v>
      </c>
      <c r="H44" s="691">
        <v>2404.5763999999999</v>
      </c>
      <c r="I44" s="691">
        <v>0.23448883333333337</v>
      </c>
      <c r="J44" s="691">
        <v>0.14922016666666668</v>
      </c>
      <c r="K44" s="3093" t="s">
        <v>2146</v>
      </c>
    </row>
    <row r="45" spans="2:11" ht="18" customHeight="1" x14ac:dyDescent="0.2">
      <c r="B45" s="1241" t="s">
        <v>155</v>
      </c>
      <c r="C45" s="1913">
        <f>IF(SUM(C46:C51)=0,"NO",SUM(C46:C51))</f>
        <v>144800.13823711892</v>
      </c>
      <c r="D45" s="3076" t="s">
        <v>1814</v>
      </c>
      <c r="E45" s="628"/>
      <c r="F45" s="628"/>
      <c r="G45" s="628"/>
      <c r="H45" s="1913">
        <f>IF(SUM(H46:H50)=0,"NO",SUM(H46:H50))</f>
        <v>2999.0193553957861</v>
      </c>
      <c r="I45" s="1913">
        <f t="shared" ref="I45:K45" si="16">IF(SUM(I46:I51)=0,"NO",SUM(I46:I51))</f>
        <v>0.94548216687347364</v>
      </c>
      <c r="J45" s="1913">
        <f t="shared" si="16"/>
        <v>0.61400549502935953</v>
      </c>
      <c r="K45" s="3065" t="str">
        <f t="shared" si="16"/>
        <v>NO</v>
      </c>
    </row>
    <row r="46" spans="2:11" ht="18" customHeight="1" x14ac:dyDescent="0.2">
      <c r="B46" s="282" t="s">
        <v>132</v>
      </c>
      <c r="C46" s="691">
        <v>2966.5290894928553</v>
      </c>
      <c r="D46" s="3076" t="s">
        <v>1814</v>
      </c>
      <c r="E46" s="1913">
        <f>IFERROR(H46*1000/$C46,"NA")</f>
        <v>67.928736234468687</v>
      </c>
      <c r="F46" s="1913">
        <f t="shared" ref="F46:G51" si="17">IFERROR(I46*1000000/$C46,"NA")</f>
        <v>2.1412604010287213</v>
      </c>
      <c r="G46" s="1913">
        <f t="shared" si="17"/>
        <v>2.3513210339984632</v>
      </c>
      <c r="H46" s="691">
        <v>201.51257205203871</v>
      </c>
      <c r="I46" s="691">
        <v>6.3521112678308379E-3</v>
      </c>
      <c r="J46" s="691">
        <v>6.9752622460928599E-3</v>
      </c>
      <c r="K46" s="3093" t="s">
        <v>2146</v>
      </c>
    </row>
    <row r="47" spans="2:11" ht="18" customHeight="1" x14ac:dyDescent="0.2">
      <c r="B47" s="282" t="s">
        <v>133</v>
      </c>
      <c r="C47" s="691">
        <v>13998.54507968104</v>
      </c>
      <c r="D47" s="3076" t="s">
        <v>1814</v>
      </c>
      <c r="E47" s="1913">
        <f t="shared" ref="E47:E51" si="18">IFERROR(H47*1000/$C47,"NA")</f>
        <v>91.001152545322327</v>
      </c>
      <c r="F47" s="1913">
        <f t="shared" si="17"/>
        <v>0.95238095238095211</v>
      </c>
      <c r="G47" s="1913">
        <f t="shared" si="17"/>
        <v>0.67523809523809497</v>
      </c>
      <c r="H47" s="691">
        <v>1273.8837362086256</v>
      </c>
      <c r="I47" s="691">
        <v>1.333194769493432E-2</v>
      </c>
      <c r="J47" s="691">
        <v>9.4523509157084327E-3</v>
      </c>
      <c r="K47" s="3093" t="s">
        <v>2146</v>
      </c>
    </row>
    <row r="48" spans="2:11" ht="18" customHeight="1" x14ac:dyDescent="0.2">
      <c r="B48" s="282" t="s">
        <v>134</v>
      </c>
      <c r="C48" s="691">
        <v>29635.599999999999</v>
      </c>
      <c r="D48" s="3076" t="s">
        <v>1814</v>
      </c>
      <c r="E48" s="1913">
        <f t="shared" si="18"/>
        <v>51.411918339265014</v>
      </c>
      <c r="F48" s="1913">
        <f t="shared" si="17"/>
        <v>0.91409090909090929</v>
      </c>
      <c r="G48" s="1913">
        <f t="shared" si="17"/>
        <v>0.86459090909090885</v>
      </c>
      <c r="H48" s="691">
        <v>1523.6230471351221</v>
      </c>
      <c r="I48" s="691">
        <v>2.7089632545454552E-2</v>
      </c>
      <c r="J48" s="691">
        <v>2.562267034545454E-2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98199.464067945039</v>
      </c>
      <c r="D51" s="3076" t="s">
        <v>1814</v>
      </c>
      <c r="E51" s="1913">
        <f t="shared" si="18"/>
        <v>94.892335400915115</v>
      </c>
      <c r="F51" s="1913">
        <f t="shared" si="17"/>
        <v>9.1518674149120596</v>
      </c>
      <c r="G51" s="1913">
        <f t="shared" si="17"/>
        <v>5.8244229431472574</v>
      </c>
      <c r="H51" s="691">
        <v>9318.3764805255541</v>
      </c>
      <c r="I51" s="691">
        <v>0.89870847536525389</v>
      </c>
      <c r="J51" s="691">
        <v>0.57195521152210371</v>
      </c>
      <c r="K51" s="3093" t="s">
        <v>2146</v>
      </c>
    </row>
    <row r="52" spans="2:11" ht="18" customHeight="1" x14ac:dyDescent="0.2">
      <c r="B52" s="1241" t="s">
        <v>156</v>
      </c>
      <c r="C52" s="3094">
        <f>IF(SUM(C53:C58)=0,"NO",SUM(C53:C58))</f>
        <v>106733.52063038696</v>
      </c>
      <c r="D52" s="3076" t="s">
        <v>1814</v>
      </c>
      <c r="E52" s="628"/>
      <c r="F52" s="628"/>
      <c r="G52" s="628"/>
      <c r="H52" s="1913">
        <f>IF(SUM(H53:H57)=0,"NO",SUM(H53:H57))</f>
        <v>6773.021815868271</v>
      </c>
      <c r="I52" s="1913">
        <f t="shared" ref="I52:K52" si="19">IF(SUM(I53:I58)=0,"NO",SUM(I53:I58))</f>
        <v>0.29387967260961428</v>
      </c>
      <c r="J52" s="1913">
        <f t="shared" si="19"/>
        <v>5.4842683789692419E-2</v>
      </c>
      <c r="K52" s="3065" t="str">
        <f t="shared" si="19"/>
        <v>NO</v>
      </c>
    </row>
    <row r="53" spans="2:11" ht="18" customHeight="1" x14ac:dyDescent="0.2">
      <c r="B53" s="282" t="s">
        <v>132</v>
      </c>
      <c r="C53" s="2147">
        <v>9241.8773061383399</v>
      </c>
      <c r="D53" s="3076" t="s">
        <v>1814</v>
      </c>
      <c r="E53" s="1913">
        <f>IFERROR(H53*1000/$C53,"NA")</f>
        <v>65.283690464116248</v>
      </c>
      <c r="F53" s="1913">
        <f t="shared" ref="F53:G58" si="20">IFERROR(I53*1000000/$C53,"NA")</f>
        <v>20.525210740110801</v>
      </c>
      <c r="G53" s="1913">
        <f t="shared" si="20"/>
        <v>1.6710696671076106</v>
      </c>
      <c r="H53" s="691">
        <v>603.34385736127592</v>
      </c>
      <c r="I53" s="691">
        <v>0.18969147934273692</v>
      </c>
      <c r="J53" s="691">
        <v>1.5443820833417976E-2</v>
      </c>
      <c r="K53" s="3093" t="s">
        <v>2146</v>
      </c>
    </row>
    <row r="54" spans="2:11" ht="18" customHeight="1" x14ac:dyDescent="0.2">
      <c r="B54" s="282" t="s">
        <v>133</v>
      </c>
      <c r="C54" s="691">
        <v>32117.420253520471</v>
      </c>
      <c r="D54" s="3076" t="s">
        <v>1814</v>
      </c>
      <c r="E54" s="1913">
        <f t="shared" ref="E54:E58" si="21">IFERROR(H54*1000/$C54,"NA")</f>
        <v>89.148826037499106</v>
      </c>
      <c r="F54" s="1913">
        <f t="shared" si="20"/>
        <v>0.94168428140108307</v>
      </c>
      <c r="G54" s="1913">
        <f t="shared" si="20"/>
        <v>0.80646748402722934</v>
      </c>
      <c r="H54" s="691">
        <v>2863.2303109543468</v>
      </c>
      <c r="I54" s="691">
        <v>3.0244469811893018E-2</v>
      </c>
      <c r="J54" s="691">
        <v>2.5901655105301832E-2</v>
      </c>
      <c r="K54" s="3093" t="s">
        <v>2146</v>
      </c>
    </row>
    <row r="55" spans="2:11" ht="18" customHeight="1" x14ac:dyDescent="0.2">
      <c r="B55" s="282" t="s">
        <v>134</v>
      </c>
      <c r="C55" s="691">
        <v>64312.862743878679</v>
      </c>
      <c r="D55" s="3076" t="s">
        <v>1814</v>
      </c>
      <c r="E55" s="1913">
        <f t="shared" si="21"/>
        <v>51.411918339264993</v>
      </c>
      <c r="F55" s="1913">
        <f t="shared" si="20"/>
        <v>0.99847191348425501</v>
      </c>
      <c r="G55" s="1913">
        <f t="shared" si="20"/>
        <v>0.11359996999013015</v>
      </c>
      <c r="H55" s="691">
        <v>3306.4476475526485</v>
      </c>
      <c r="I55" s="691">
        <v>6.4214587125530798E-2</v>
      </c>
      <c r="J55" s="691">
        <v>7.3059392776839774E-3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1061.3603268494801</v>
      </c>
      <c r="D58" s="3076" t="s">
        <v>1814</v>
      </c>
      <c r="E58" s="3095">
        <f t="shared" si="21"/>
        <v>94.000000000000014</v>
      </c>
      <c r="F58" s="3095">
        <f t="shared" si="20"/>
        <v>9.1666666666666679</v>
      </c>
      <c r="G58" s="3095">
        <f t="shared" si="20"/>
        <v>5.833333333333333</v>
      </c>
      <c r="H58" s="2190">
        <v>99.767870723851146</v>
      </c>
      <c r="I58" s="691">
        <v>9.7291363294535697E-3</v>
      </c>
      <c r="J58" s="691">
        <v>6.1912685732886342E-3</v>
      </c>
      <c r="K58" s="3093" t="s">
        <v>2146</v>
      </c>
    </row>
    <row r="59" spans="2:11" ht="18" customHeight="1" x14ac:dyDescent="0.2">
      <c r="B59" s="1241" t="s">
        <v>157</v>
      </c>
      <c r="C59" s="3094">
        <f>IF(SUM(C61,C68,C75,C82,C89,C96,C103,C112)=0,"NO",SUM(C61,C68,C75,C82,C89,C96,C103,C112))</f>
        <v>93177.073721720619</v>
      </c>
      <c r="D59" s="3076" t="s">
        <v>1814</v>
      </c>
      <c r="E59" s="1914"/>
      <c r="F59" s="1914"/>
      <c r="G59" s="1914"/>
      <c r="H59" s="1913">
        <f>IF(SUM(H61,H68,H75,H82,H89,H96,H103,H112)=0,"NO",SUM(H61,H68,H75,H82,H89,H96,H103,H112))</f>
        <v>6173.2282257650922</v>
      </c>
      <c r="I59" s="1913">
        <f>IF(SUM(I61,I68,I75,I82,I89,I96,I103,I112)=0,"NO",SUM(I61,I68,I75,I82,I89,I96,I103,I112))</f>
        <v>0.32528779892845711</v>
      </c>
      <c r="J59" s="1913">
        <f>IF(SUM(J61,J68,J75,J82,J89,J96,J103,J112)=0,"NO",SUM(J61,J68,J75,J82,J89,J96,J103,J112))</f>
        <v>0.26433125964766196</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6363.2382332874085</v>
      </c>
      <c r="D61" s="3076" t="s">
        <v>1814</v>
      </c>
      <c r="E61" s="628"/>
      <c r="F61" s="628"/>
      <c r="G61" s="628"/>
      <c r="H61" s="1913">
        <f>IF(SUM(H62:H66)=0,"NO",SUM(H62:H66))</f>
        <v>349.55411967237404</v>
      </c>
      <c r="I61" s="1913">
        <f t="shared" ref="I61:K61" si="22">IF(SUM(I62:I67)=0,"NO",SUM(I62:I67))</f>
        <v>3.9646268251781372E-2</v>
      </c>
      <c r="J61" s="1913">
        <f t="shared" si="22"/>
        <v>8.4890918729283969E-3</v>
      </c>
      <c r="K61" s="3065" t="str">
        <f t="shared" si="22"/>
        <v>NO</v>
      </c>
    </row>
    <row r="62" spans="2:11" ht="18" customHeight="1" x14ac:dyDescent="0.2">
      <c r="B62" s="158" t="s">
        <v>132</v>
      </c>
      <c r="C62" s="691">
        <v>1563.2382332874085</v>
      </c>
      <c r="D62" s="3076" t="s">
        <v>1814</v>
      </c>
      <c r="E62" s="1913">
        <f>IFERROR(H62*1000/$C62,"NA")</f>
        <v>65.746160409451818</v>
      </c>
      <c r="F62" s="1913">
        <f t="shared" ref="F62:G67" si="23">IFERROR(I62*1000000/$C62,"NA")</f>
        <v>22.506018278349615</v>
      </c>
      <c r="G62" s="1913">
        <f t="shared" si="23"/>
        <v>2.9340965281298317</v>
      </c>
      <c r="H62" s="691">
        <v>102.77691164390203</v>
      </c>
      <c r="I62" s="691">
        <v>3.5182268251781376E-2</v>
      </c>
      <c r="J62" s="691">
        <v>4.5866918729283966E-3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4800</v>
      </c>
      <c r="D64" s="3076" t="s">
        <v>1814</v>
      </c>
      <c r="E64" s="1913">
        <f t="shared" si="24"/>
        <v>51.411918339265007</v>
      </c>
      <c r="F64" s="1913">
        <f t="shared" si="23"/>
        <v>0.92999999999999983</v>
      </c>
      <c r="G64" s="1913">
        <f t="shared" si="23"/>
        <v>0.81300000000000006</v>
      </c>
      <c r="H64" s="691">
        <v>246.77720802847202</v>
      </c>
      <c r="I64" s="691">
        <v>4.4639999999999992E-3</v>
      </c>
      <c r="J64" s="691">
        <v>3.9023999999999999E-3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49243.499930285703</v>
      </c>
      <c r="D75" s="3077" t="s">
        <v>1814</v>
      </c>
      <c r="E75" s="628"/>
      <c r="F75" s="628"/>
      <c r="G75" s="628"/>
      <c r="H75" s="1913">
        <f>IF(SUM(H76:H80)=0,"NO",SUM(H76:H80))</f>
        <v>3391.8499958029838</v>
      </c>
      <c r="I75" s="1913">
        <f t="shared" ref="I75:K75" si="28">IF(SUM(I76:I81)=0,"NO",SUM(I76:I81))</f>
        <v>0.16385485438971764</v>
      </c>
      <c r="J75" s="1913">
        <f t="shared" si="28"/>
        <v>0.16050296582779022</v>
      </c>
      <c r="K75" s="3065" t="str">
        <f t="shared" si="28"/>
        <v>NO</v>
      </c>
    </row>
    <row r="76" spans="2:11" ht="18" customHeight="1" x14ac:dyDescent="0.2">
      <c r="B76" s="158" t="s">
        <v>132</v>
      </c>
      <c r="C76" s="691">
        <v>46556.186330649296</v>
      </c>
      <c r="D76" s="3077" t="s">
        <v>1814</v>
      </c>
      <c r="E76" s="1913">
        <f>IFERROR(H76*1000/$C76,"NA")</f>
        <v>69.580458554204867</v>
      </c>
      <c r="F76" s="1913">
        <f t="shared" ref="F76:G81" si="29">IFERROR(I76*1000000/$C76,"NA")</f>
        <v>3.4109099547998079</v>
      </c>
      <c r="G76" s="1913">
        <f t="shared" si="29"/>
        <v>3.3971040466048716</v>
      </c>
      <c r="H76" s="691">
        <v>3239.4007934215829</v>
      </c>
      <c r="I76" s="691">
        <v>0.15879895941272643</v>
      </c>
      <c r="J76" s="691">
        <v>0.15815620897833912</v>
      </c>
      <c r="K76" s="3093" t="s">
        <v>2146</v>
      </c>
    </row>
    <row r="77" spans="2:11" ht="18" customHeight="1" x14ac:dyDescent="0.2">
      <c r="B77" s="158" t="s">
        <v>133</v>
      </c>
      <c r="C77" s="691">
        <v>247.07009367032919</v>
      </c>
      <c r="D77" s="3077" t="s">
        <v>1814</v>
      </c>
      <c r="E77" s="1913">
        <f t="shared" ref="E77:E81" si="30">IFERROR(H77*1000/$C77,"NA")</f>
        <v>109.24674097046528</v>
      </c>
      <c r="F77" s="1913">
        <f t="shared" si="29"/>
        <v>0.95238095238095233</v>
      </c>
      <c r="G77" s="1913">
        <f t="shared" si="29"/>
        <v>0.75923809523809516</v>
      </c>
      <c r="H77" s="691">
        <v>26.991602524751048</v>
      </c>
      <c r="I77" s="691">
        <v>2.3530485111459922E-4</v>
      </c>
      <c r="J77" s="691">
        <v>1.875850273085585E-4</v>
      </c>
      <c r="K77" s="3093" t="s">
        <v>2146</v>
      </c>
    </row>
    <row r="78" spans="2:11" ht="18" customHeight="1" x14ac:dyDescent="0.2">
      <c r="B78" s="158" t="s">
        <v>134</v>
      </c>
      <c r="C78" s="691">
        <v>2440.2435059660816</v>
      </c>
      <c r="D78" s="3077" t="s">
        <v>1814</v>
      </c>
      <c r="E78" s="1913">
        <f t="shared" si="30"/>
        <v>51.411918339265</v>
      </c>
      <c r="F78" s="1913">
        <f t="shared" si="29"/>
        <v>1.9754545454545456</v>
      </c>
      <c r="G78" s="1913">
        <f t="shared" si="29"/>
        <v>0.88481818181818173</v>
      </c>
      <c r="H78" s="691">
        <v>125.45759985664991</v>
      </c>
      <c r="I78" s="691">
        <v>4.8205901258766325E-3</v>
      </c>
      <c r="J78" s="691">
        <v>2.1591718221425334E-3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26036.770502522118</v>
      </c>
      <c r="D89" s="3077" t="s">
        <v>1814</v>
      </c>
      <c r="E89" s="628"/>
      <c r="F89" s="628"/>
      <c r="G89" s="628"/>
      <c r="H89" s="1913">
        <f>IF(SUM(H90:H94)=0,"NO",SUM(H90:H94))</f>
        <v>1761.1848546897731</v>
      </c>
      <c r="I89" s="1913">
        <f t="shared" ref="I89:K89" si="36">IF(SUM(I90:I95)=0,"NO",SUM(I90:I95))</f>
        <v>8.7365344535685299E-2</v>
      </c>
      <c r="J89" s="1913">
        <f t="shared" si="36"/>
        <v>8.4976072991817031E-2</v>
      </c>
      <c r="K89" s="3065" t="str">
        <f t="shared" si="36"/>
        <v>NO</v>
      </c>
    </row>
    <row r="90" spans="2:11" ht="18" customHeight="1" x14ac:dyDescent="0.2">
      <c r="B90" s="158" t="s">
        <v>132</v>
      </c>
      <c r="C90" s="691">
        <v>22904.050502522117</v>
      </c>
      <c r="D90" s="3077" t="s">
        <v>1814</v>
      </c>
      <c r="E90" s="1913">
        <f>IFERROR(H90*1000/$C90,"NA")</f>
        <v>69.862128084890074</v>
      </c>
      <c r="F90" s="1913">
        <f t="shared" ref="F90:G95" si="37">IFERROR(I90*1000000/$C90,"NA")</f>
        <v>3.690064220459663</v>
      </c>
      <c r="G90" s="1913">
        <f t="shared" si="37"/>
        <v>3.5857476698301065</v>
      </c>
      <c r="H90" s="691">
        <v>1600.1257098699909</v>
      </c>
      <c r="I90" s="691">
        <v>8.4517417262958028E-2</v>
      </c>
      <c r="J90" s="691">
        <v>8.212814571908976E-2</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3132.7200000000003</v>
      </c>
      <c r="D92" s="3077" t="s">
        <v>1814</v>
      </c>
      <c r="E92" s="1913">
        <f t="shared" si="38"/>
        <v>51.411918339265007</v>
      </c>
      <c r="F92" s="1913">
        <f t="shared" si="37"/>
        <v>0.90909090909090906</v>
      </c>
      <c r="G92" s="1913">
        <f t="shared" si="37"/>
        <v>0.90909090909090917</v>
      </c>
      <c r="H92" s="691">
        <v>161.05914481978229</v>
      </c>
      <c r="I92" s="691">
        <v>2.8479272727272727E-3</v>
      </c>
      <c r="J92" s="691">
        <v>2.8479272727272732E-3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8105.7900000000009</v>
      </c>
      <c r="D96" s="3076" t="s">
        <v>1814</v>
      </c>
      <c r="E96" s="628"/>
      <c r="F96" s="628"/>
      <c r="G96" s="628"/>
      <c r="H96" s="1913">
        <f>IF(SUM(H97:H101)=0,"NO",SUM(H97:H101))</f>
        <v>463.31134012164335</v>
      </c>
      <c r="I96" s="1913">
        <f t="shared" ref="I96:K96" si="42">IF(SUM(I97:I102)=0,"NO",SUM(I97:I102))</f>
        <v>7.3306226424242425E-3</v>
      </c>
      <c r="J96" s="1913">
        <f t="shared" si="42"/>
        <v>6.9394567241558448E-3</v>
      </c>
      <c r="K96" s="3065" t="str">
        <f t="shared" si="42"/>
        <v>NO</v>
      </c>
    </row>
    <row r="97" spans="2:11" ht="18" customHeight="1" x14ac:dyDescent="0.2">
      <c r="B97" s="158" t="s">
        <v>132</v>
      </c>
      <c r="C97" s="691">
        <v>980.17000000000019</v>
      </c>
      <c r="D97" s="3076" t="s">
        <v>1814</v>
      </c>
      <c r="E97" s="1913">
        <f>IFERROR(H97*1000/$C97,"NA")</f>
        <v>67.927867614801514</v>
      </c>
      <c r="F97" s="1913">
        <f t="shared" ref="F97:G102" si="43">IFERROR(I97*1000000/$C97,"NA")</f>
        <v>0.78924879494576572</v>
      </c>
      <c r="G97" s="1913">
        <f t="shared" si="43"/>
        <v>1.0792563435082179</v>
      </c>
      <c r="H97" s="691">
        <v>66.580858000000006</v>
      </c>
      <c r="I97" s="691">
        <v>7.7359799134199135E-4</v>
      </c>
      <c r="J97" s="691">
        <v>1.0578546902164502E-3</v>
      </c>
      <c r="K97" s="3093" t="s">
        <v>2146</v>
      </c>
    </row>
    <row r="98" spans="2:11" ht="18" customHeight="1" x14ac:dyDescent="0.2">
      <c r="B98" s="158" t="s">
        <v>133</v>
      </c>
      <c r="C98" s="691">
        <v>759.79</v>
      </c>
      <c r="D98" s="3076" t="s">
        <v>1814</v>
      </c>
      <c r="E98" s="1913">
        <f t="shared" ref="E98:E102" si="44">IFERROR(H98*1000/$C98,"NA")</f>
        <v>91.408086444938746</v>
      </c>
      <c r="F98" s="1913">
        <f t="shared" si="43"/>
        <v>0.95238095238095244</v>
      </c>
      <c r="G98" s="1913">
        <f t="shared" si="43"/>
        <v>0.66666666666666685</v>
      </c>
      <c r="H98" s="691">
        <v>69.450950000000006</v>
      </c>
      <c r="I98" s="691">
        <v>7.2360952380952381E-4</v>
      </c>
      <c r="J98" s="691">
        <v>5.0652666666666673E-4</v>
      </c>
      <c r="K98" s="3093" t="s">
        <v>2146</v>
      </c>
    </row>
    <row r="99" spans="2:11" ht="18" customHeight="1" x14ac:dyDescent="0.2">
      <c r="B99" s="158" t="s">
        <v>134</v>
      </c>
      <c r="C99" s="691">
        <v>6365.8300000000008</v>
      </c>
      <c r="D99" s="3076" t="s">
        <v>1814</v>
      </c>
      <c r="E99" s="1913">
        <f t="shared" si="44"/>
        <v>51.411918339265</v>
      </c>
      <c r="F99" s="1913">
        <f t="shared" si="43"/>
        <v>0.91636363636363627</v>
      </c>
      <c r="G99" s="1913">
        <f t="shared" si="43"/>
        <v>0.84436363636363632</v>
      </c>
      <c r="H99" s="691">
        <v>327.27953212164334</v>
      </c>
      <c r="I99" s="691">
        <v>5.8334151272727277E-3</v>
      </c>
      <c r="J99" s="691">
        <v>5.3750753672727278E-3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3427.7750556253786</v>
      </c>
      <c r="D112" s="3076" t="s">
        <v>1814</v>
      </c>
      <c r="E112" s="628"/>
      <c r="F112" s="628"/>
      <c r="G112" s="628"/>
      <c r="H112" s="1913">
        <f>H113</f>
        <v>207.32791547831849</v>
      </c>
      <c r="I112" s="1913">
        <f>I113</f>
        <v>2.709070910884857E-2</v>
      </c>
      <c r="J112" s="1913">
        <f>J113</f>
        <v>3.4236722309704758E-3</v>
      </c>
      <c r="K112" s="3065" t="str">
        <f>K113</f>
        <v>NO</v>
      </c>
    </row>
    <row r="113" spans="2:11" ht="18" customHeight="1" x14ac:dyDescent="0.2">
      <c r="B113" s="3090" t="s">
        <v>2259</v>
      </c>
      <c r="C113" s="3099">
        <f>IF(SUM(C114:C119)=0,"NO",SUM(C114:C119))</f>
        <v>3427.7750556253786</v>
      </c>
      <c r="D113" s="3099" t="s">
        <v>1814</v>
      </c>
      <c r="E113" s="628"/>
      <c r="F113" s="628"/>
      <c r="G113" s="628"/>
      <c r="H113" s="3099">
        <f>IF(SUM(H114:H118)=0,"NO",SUM(H114:H118))</f>
        <v>207.32791547831849</v>
      </c>
      <c r="I113" s="3099">
        <f t="shared" ref="I113" si="51">IF(SUM(I114:I119)=0,"NO",SUM(I114:I119))</f>
        <v>2.709070910884857E-2</v>
      </c>
      <c r="J113" s="3099">
        <f t="shared" ref="J113" si="52">IF(SUM(J114:J119)=0,"NO",SUM(J114:J119))</f>
        <v>3.4236722309704758E-3</v>
      </c>
      <c r="K113" s="3100" t="str">
        <f t="shared" ref="K113" si="53">IF(SUM(K114:K119)=0,"NO",SUM(K114:K119))</f>
        <v>NO</v>
      </c>
    </row>
    <row r="114" spans="2:11" ht="18" customHeight="1" x14ac:dyDescent="0.2">
      <c r="B114" s="158" t="s">
        <v>132</v>
      </c>
      <c r="C114" s="691">
        <v>585.91505562537884</v>
      </c>
      <c r="D114" s="3076" t="s">
        <v>1814</v>
      </c>
      <c r="E114" s="1913">
        <f>IFERROR(H114*1000/$C114,"NA")</f>
        <v>61.411593142972933</v>
      </c>
      <c r="F114" s="1913">
        <f t="shared" ref="F114:G119" si="54">IFERROR(I114*1000000/$C114,"NA")</f>
        <v>41.767733676860047</v>
      </c>
      <c r="G114" s="1913">
        <f t="shared" si="54"/>
        <v>1.7597097516645943</v>
      </c>
      <c r="H114" s="691">
        <v>35.981977012408116</v>
      </c>
      <c r="I114" s="691">
        <v>2.4472344000623463E-2</v>
      </c>
      <c r="J114" s="691">
        <v>1.0310404370310823E-3</v>
      </c>
      <c r="K114" s="3093" t="s">
        <v>2146</v>
      </c>
    </row>
    <row r="115" spans="2:11" ht="18" customHeight="1" x14ac:dyDescent="0.2">
      <c r="B115" s="158" t="s">
        <v>133</v>
      </c>
      <c r="C115" s="691">
        <v>654.09999999999991</v>
      </c>
      <c r="D115" s="3076" t="s">
        <v>1814</v>
      </c>
      <c r="E115" s="1913">
        <f t="shared" ref="E115:E119" si="55">IFERROR(H115*1000/$C115,"NA")</f>
        <v>90</v>
      </c>
      <c r="F115" s="1913">
        <f t="shared" si="54"/>
        <v>0.95238095238095233</v>
      </c>
      <c r="G115" s="1913">
        <f t="shared" si="54"/>
        <v>0.66666666666666663</v>
      </c>
      <c r="H115" s="691">
        <v>58.868999999999993</v>
      </c>
      <c r="I115" s="691">
        <v>6.2295238095238083E-4</v>
      </c>
      <c r="J115" s="691">
        <v>4.3606666666666657E-4</v>
      </c>
      <c r="K115" s="3093" t="s">
        <v>2146</v>
      </c>
    </row>
    <row r="116" spans="2:11" ht="18" customHeight="1" x14ac:dyDescent="0.2">
      <c r="B116" s="158" t="s">
        <v>134</v>
      </c>
      <c r="C116" s="691">
        <v>2187.7599999999998</v>
      </c>
      <c r="D116" s="3076" t="s">
        <v>1814</v>
      </c>
      <c r="E116" s="1913">
        <f t="shared" si="55"/>
        <v>51.411918339265</v>
      </c>
      <c r="F116" s="1913">
        <f t="shared" si="54"/>
        <v>0.91208026806995623</v>
      </c>
      <c r="G116" s="1913">
        <f t="shared" si="54"/>
        <v>0.89432347573441662</v>
      </c>
      <c r="H116" s="691">
        <v>112.47693846591038</v>
      </c>
      <c r="I116" s="691">
        <v>1.9954127272727271E-3</v>
      </c>
      <c r="J116" s="691">
        <v>1.956565127272727E-3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5214.8460160861678</v>
      </c>
      <c r="D10" s="4413">
        <f t="shared" ref="D10:F10" si="0">SUM(D11:D16)</f>
        <v>30086.033996192706</v>
      </c>
      <c r="E10" s="4413">
        <f t="shared" si="0"/>
        <v>2029.3482754798729</v>
      </c>
      <c r="F10" s="4413">
        <f t="shared" si="0"/>
        <v>3217.3759359622313</v>
      </c>
      <c r="G10" s="4414" t="s">
        <v>2146</v>
      </c>
      <c r="H10" s="4415" t="s">
        <v>2312</v>
      </c>
      <c r="I10" s="4416" t="s">
        <v>2313</v>
      </c>
    </row>
    <row r="11" spans="2:9" ht="18" customHeight="1" x14ac:dyDescent="0.2">
      <c r="B11" s="1558" t="s">
        <v>1476</v>
      </c>
      <c r="C11" s="4417">
        <f>Table1!D10</f>
        <v>1479.0584567626638</v>
      </c>
      <c r="D11" s="4418">
        <f>Table1!G10</f>
        <v>3170.6589295798867</v>
      </c>
      <c r="E11" s="4418">
        <f>Table1!H10</f>
        <v>694.42539292281162</v>
      </c>
      <c r="F11" s="4418">
        <f>Table1!F10</f>
        <v>2161.9662525902831</v>
      </c>
      <c r="G11" s="4419" t="s">
        <v>2146</v>
      </c>
      <c r="H11" s="4420" t="s">
        <v>2154</v>
      </c>
      <c r="I11" s="4421" t="s">
        <v>2154</v>
      </c>
    </row>
    <row r="12" spans="2:9" ht="18" customHeight="1" x14ac:dyDescent="0.2">
      <c r="B12" s="2393" t="s">
        <v>1551</v>
      </c>
      <c r="C12" s="4422">
        <f>'Table2(I)'!D10</f>
        <v>3.5721409116313096</v>
      </c>
      <c r="D12" s="4388">
        <f>'Table2(I)'!L10</f>
        <v>10.825383446352522</v>
      </c>
      <c r="E12" s="4388">
        <f>'Table2(I)'!M10</f>
        <v>236.03000100994959</v>
      </c>
      <c r="F12" s="4388">
        <f>'Table2(I)'!K10</f>
        <v>40.261420616691069</v>
      </c>
      <c r="G12" s="4423" t="s">
        <v>2146</v>
      </c>
      <c r="H12" s="4424" t="s">
        <v>2146</v>
      </c>
      <c r="I12" s="4425" t="s">
        <v>2146</v>
      </c>
    </row>
    <row r="13" spans="2:9" ht="18" customHeight="1" x14ac:dyDescent="0.2">
      <c r="B13" s="2393" t="s">
        <v>1552</v>
      </c>
      <c r="C13" s="4422">
        <f>Table3!D10</f>
        <v>2427.3665121629169</v>
      </c>
      <c r="D13" s="4388">
        <f>Table3!G10</f>
        <v>199.73085384221017</v>
      </c>
      <c r="E13" s="4388">
        <f>Table3!H10</f>
        <v>11.650966474128927</v>
      </c>
      <c r="F13" s="4388">
        <f>Table3!F10</f>
        <v>11.532718650733093</v>
      </c>
      <c r="G13" s="4426"/>
      <c r="H13" s="4424" t="s">
        <v>2154</v>
      </c>
      <c r="I13" s="4425" t="s">
        <v>2153</v>
      </c>
    </row>
    <row r="14" spans="2:9" ht="18" customHeight="1" x14ac:dyDescent="0.2">
      <c r="B14" s="2393" t="s">
        <v>1553</v>
      </c>
      <c r="C14" s="4422">
        <f>Table4!D10</f>
        <v>748.22828413251693</v>
      </c>
      <c r="D14" s="4388">
        <f>Table4!G10</f>
        <v>26704.818829324257</v>
      </c>
      <c r="E14" s="4423">
        <f>Table4!H10</f>
        <v>826.99831038869991</v>
      </c>
      <c r="F14" s="4423">
        <f>Table4!F10</f>
        <v>1003.6155441045245</v>
      </c>
      <c r="G14" s="4426"/>
      <c r="H14" s="4427" t="s">
        <v>2154</v>
      </c>
      <c r="I14" s="4425" t="s">
        <v>2154</v>
      </c>
    </row>
    <row r="15" spans="2:9" ht="18" customHeight="1" x14ac:dyDescent="0.2">
      <c r="B15" s="2393" t="s">
        <v>1554</v>
      </c>
      <c r="C15" s="4422">
        <f>Table5!D10</f>
        <v>556.6206221164382</v>
      </c>
      <c r="D15" s="4388" t="str">
        <f>Table5!G10</f>
        <v>NO</v>
      </c>
      <c r="E15" s="4423">
        <f>Table5!H10</f>
        <v>260.24360468428273</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2007</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471952.70359766611</v>
      </c>
      <c r="D10" s="4193">
        <f>SUM(D11,D22,D30,D41,D50,D56)</f>
        <v>468786.29567253089</v>
      </c>
      <c r="E10" s="3840">
        <f>IF(D10="NO",IF(C10="NO","NA",-C10),IF(C10="NO",D10,D10-C10))</f>
        <v>-3166.4079251352232</v>
      </c>
      <c r="F10" s="3838">
        <f>IF(E10="NA","NA",E10/C10*100)</f>
        <v>-0.67091636534718258</v>
      </c>
      <c r="G10" s="3841">
        <f>IF(E10="NA","NA",E10/Table8s2!$G$35*100)</f>
        <v>-0.57914378474249661</v>
      </c>
      <c r="H10" s="3842">
        <f>IF(E10="NA","NA",E10/Table8s2!$G$34*100)</f>
        <v>-0.49357661996280566</v>
      </c>
      <c r="I10" s="4194">
        <f>SUM(I11,I22,I30,I41,I50,I56)</f>
        <v>147511.02445262115</v>
      </c>
      <c r="J10" s="4193">
        <f>SUM(J11,J22,J30,J41,J50,J56)</f>
        <v>146015.68845041268</v>
      </c>
      <c r="K10" s="3840">
        <f t="shared" ref="K10:K12" si="0">IF(J10="NO",IF(I10="NO","NA",-I10),IF(I10="NO",J10,J10-I10))</f>
        <v>-1495.3360022084671</v>
      </c>
      <c r="L10" s="3838">
        <f t="shared" ref="L10:L12" si="1">IF(K10="NA","NA",K10/I10*100)</f>
        <v>-1.01371135327499</v>
      </c>
      <c r="M10" s="3841">
        <f>IF(K10="NA","NA",K10/Table8s2!$G$35*100)</f>
        <v>-0.27350062665843733</v>
      </c>
      <c r="N10" s="3842">
        <f>IF(K10="NA","NA",K10/Table8s2!$G$34*100)</f>
        <v>-0.23309153688630635</v>
      </c>
      <c r="O10" s="4194">
        <f>SUM(O11,O22,O30,O41,O50,O56)</f>
        <v>21442.300074543909</v>
      </c>
      <c r="P10" s="4193">
        <f>SUM(P11,P22,P30,P41,P50,P56)</f>
        <v>21310.155554211902</v>
      </c>
      <c r="Q10" s="3840">
        <f t="shared" ref="Q10:Q12" si="2">IF(P10="NO",IF(O10="NO","NA",-O10),IF(O10="NO",P10,P10-O10))</f>
        <v>-132.14452033200723</v>
      </c>
      <c r="R10" s="3838">
        <f t="shared" ref="R10:R12" si="3">IF(Q10="NA","NA",Q10/O10*100)</f>
        <v>-0.6162795962774904</v>
      </c>
      <c r="S10" s="3841">
        <f>IF(Q10="NA","NA",Q10/Table8s2!$G$35*100)</f>
        <v>-2.4169557254626998E-2</v>
      </c>
      <c r="T10" s="3842">
        <f>IF(Q10="NA","NA",Q10/Table8s2!$G$34*100)</f>
        <v>-2.0598560651117932E-2</v>
      </c>
    </row>
    <row r="11" spans="2:20" ht="18" customHeight="1" x14ac:dyDescent="0.2">
      <c r="B11" s="1405" t="s">
        <v>1476</v>
      </c>
      <c r="C11" s="3839">
        <f>SUM(C12,C18,C21)</f>
        <v>373133.77742787631</v>
      </c>
      <c r="D11" s="3839">
        <f>Summary2!C11</f>
        <v>373139.75137787632</v>
      </c>
      <c r="E11" s="3843">
        <f t="shared" ref="E11:E38" si="4">IF(D11="NO",IF(C11="NO","NA",-C11),IF(C11="NO",D11,D11-C11))</f>
        <v>5.9739500000141561</v>
      </c>
      <c r="F11" s="3839">
        <f t="shared" ref="F11:F38" si="5">IF(E11="NA","NA",E11/C11*100)</f>
        <v>1.6010209639005066E-3</v>
      </c>
      <c r="G11" s="3844">
        <f>IF(E11="NA","NA",E11/Table8s2!$G$35*100)</f>
        <v>1.0926501242643537E-3</v>
      </c>
      <c r="H11" s="3845">
        <f>IF(E11="NA","NA",E11/Table8s2!$G$34*100)</f>
        <v>9.3121357656653417E-4</v>
      </c>
      <c r="I11" s="3846">
        <f>SUM(I12,I18,I21)</f>
        <v>41413.209873060761</v>
      </c>
      <c r="J11" s="3839">
        <f>Summary2!D11</f>
        <v>41413.636789354583</v>
      </c>
      <c r="K11" s="3843">
        <f t="shared" si="0"/>
        <v>0.42691629382170504</v>
      </c>
      <c r="L11" s="3839">
        <f t="shared" si="1"/>
        <v>1.0308698483654935E-3</v>
      </c>
      <c r="M11" s="3844">
        <f>IF(K11="NA","NA",K11/Table8s2!$G$35*100)</f>
        <v>7.8084038449209982E-5</v>
      </c>
      <c r="N11" s="3845">
        <f>IF(K11="NA","NA",K11/Table8s2!$G$34*100)</f>
        <v>6.654730100909738E-5</v>
      </c>
      <c r="O11" s="3846">
        <f>SUM(O12,O18,O21)</f>
        <v>3365.7789337507952</v>
      </c>
      <c r="P11" s="3839">
        <f>Summary2!E11</f>
        <v>3365.7785568051859</v>
      </c>
      <c r="Q11" s="3843">
        <f t="shared" si="2"/>
        <v>-3.7694560933232424E-4</v>
      </c>
      <c r="R11" s="3839">
        <f t="shared" si="3"/>
        <v>-1.1199357318225868E-5</v>
      </c>
      <c r="S11" s="3844">
        <f>IF(Q11="NA","NA",Q11/Table8s2!$G$35*100)</f>
        <v>-6.8944277551183156E-8</v>
      </c>
      <c r="T11" s="3845">
        <f>IF(Q11="NA","NA",Q11/Table8s2!$G$34*100)</f>
        <v>-5.8757918803567732E-8</v>
      </c>
    </row>
    <row r="12" spans="2:20" ht="18" customHeight="1" x14ac:dyDescent="0.2">
      <c r="B12" s="620" t="s">
        <v>131</v>
      </c>
      <c r="C12" s="3839">
        <f>SUM(C13:C17)</f>
        <v>365629.63372060499</v>
      </c>
      <c r="D12" s="3839">
        <f>Summary2!C12</f>
        <v>365635.60767060501</v>
      </c>
      <c r="E12" s="3839">
        <f t="shared" si="4"/>
        <v>5.9739500000141561</v>
      </c>
      <c r="F12" s="3847">
        <f t="shared" si="5"/>
        <v>1.6338801478490486E-3</v>
      </c>
      <c r="G12" s="3844">
        <f>IF(E12="NA","NA",E12/Table8s2!$G$35*100)</f>
        <v>1.0926501242643537E-3</v>
      </c>
      <c r="H12" s="3845">
        <f>IF(E12="NA","NA",E12/Table8s2!$G$34*100)</f>
        <v>9.3121357656653417E-4</v>
      </c>
      <c r="I12" s="3846">
        <f>SUM(I13:I17)</f>
        <v>2315.5454155110174</v>
      </c>
      <c r="J12" s="3839">
        <f>Summary2!D12</f>
        <v>2315.7021862116394</v>
      </c>
      <c r="K12" s="3839">
        <f t="shared" si="0"/>
        <v>0.15677070062201892</v>
      </c>
      <c r="L12" s="3847">
        <f t="shared" si="1"/>
        <v>6.7703574100454961E-3</v>
      </c>
      <c r="M12" s="3844">
        <f>IF(K12="NA","NA",K12/Table8s2!$G$35*100)</f>
        <v>2.8673746100193815E-5</v>
      </c>
      <c r="N12" s="3845">
        <f>IF(K12="NA","NA",K12/Table8s2!$G$34*100)</f>
        <v>2.4437265934051286E-5</v>
      </c>
      <c r="O12" s="3848">
        <f>SUM(O13:O17)</f>
        <v>3341.8061853874879</v>
      </c>
      <c r="P12" s="3847">
        <f>Summary2!E12</f>
        <v>3341.8058084418785</v>
      </c>
      <c r="Q12" s="3839">
        <f t="shared" si="2"/>
        <v>-3.7694560933232424E-4</v>
      </c>
      <c r="R12" s="3847">
        <f t="shared" si="3"/>
        <v>-1.1279696919006593E-5</v>
      </c>
      <c r="S12" s="3844">
        <f>IF(Q12="NA","NA",Q12/Table8s2!$G$35*100)</f>
        <v>-6.8944277551183156E-8</v>
      </c>
      <c r="T12" s="3845">
        <f>IF(Q12="NA","NA",Q12/Table8s2!$G$34*100)</f>
        <v>-5.8757918803567732E-8</v>
      </c>
    </row>
    <row r="13" spans="2:20" ht="18" customHeight="1" x14ac:dyDescent="0.2">
      <c r="B13" s="1392" t="s">
        <v>1478</v>
      </c>
      <c r="C13" s="3847">
        <v>222727.89215060009</v>
      </c>
      <c r="D13" s="3839">
        <f>Summary2!C13</f>
        <v>222727.89215060015</v>
      </c>
      <c r="E13" s="3839">
        <f t="shared" si="4"/>
        <v>5.8207660913467407E-11</v>
      </c>
      <c r="F13" s="3847">
        <f t="shared" si="5"/>
        <v>2.6133979157899814E-14</v>
      </c>
      <c r="G13" s="3844">
        <f>IF(E13="NA","NA",E13/Table8s2!$G$35*100)</f>
        <v>1.0646324112201611E-14</v>
      </c>
      <c r="H13" s="3845">
        <f>IF(E13="NA","NA",E13/Table8s2!$G$34*100)</f>
        <v>9.0733541631037415E-15</v>
      </c>
      <c r="I13" s="3846">
        <v>363.33985106283126</v>
      </c>
      <c r="J13" s="3839">
        <f>Summary2!D13</f>
        <v>363.33985106283131</v>
      </c>
      <c r="K13" s="3839">
        <f t="shared" ref="K13" si="6">IF(J13="NO",IF(I13="NO","NA",-I13),IF(I13="NO",J13,J13-I13))</f>
        <v>5.6843418860808015E-14</v>
      </c>
      <c r="L13" s="3847">
        <f t="shared" ref="L13" si="7">IF(K13="NA","NA",K13/I13*100)</f>
        <v>1.5644697022506969E-14</v>
      </c>
      <c r="M13" s="3844">
        <f>IF(K13="NA","NA",K13/Table8s2!$G$35*100)</f>
        <v>1.0396800890821886E-17</v>
      </c>
      <c r="N13" s="3845">
        <f>IF(K13="NA","NA",K13/Table8s2!$G$34*100)</f>
        <v>8.8606974249059976E-18</v>
      </c>
      <c r="O13" s="3848">
        <v>996.72320823972018</v>
      </c>
      <c r="P13" s="3847">
        <f>Summary2!E13</f>
        <v>996.72320823972029</v>
      </c>
      <c r="Q13" s="3839">
        <f t="shared" ref="Q13" si="8">IF(P13="NO",IF(O13="NO","NA",-O13),IF(O13="NO",P13,P13-O13))</f>
        <v>1.1368683772161603E-13</v>
      </c>
      <c r="R13" s="3847">
        <f t="shared" ref="R13" si="9">IF(Q13="NA","NA",Q13/O13*100)</f>
        <v>1.140605905248204E-14</v>
      </c>
      <c r="S13" s="3844">
        <f>IF(Q13="NA","NA",Q13/Table8s2!$G$35*100)</f>
        <v>2.0793601781643772E-17</v>
      </c>
      <c r="T13" s="3845">
        <f>IF(Q13="NA","NA",Q13/Table8s2!$G$34*100)</f>
        <v>1.7721394849811995E-17</v>
      </c>
    </row>
    <row r="14" spans="2:20" ht="18" customHeight="1" x14ac:dyDescent="0.2">
      <c r="B14" s="1392" t="s">
        <v>1517</v>
      </c>
      <c r="C14" s="3847">
        <v>40457.906147434813</v>
      </c>
      <c r="D14" s="3839">
        <f>Summary2!C14</f>
        <v>40457.906147434798</v>
      </c>
      <c r="E14" s="3839">
        <f t="shared" si="4"/>
        <v>-1.4551915228366852E-11</v>
      </c>
      <c r="F14" s="3847">
        <f t="shared" si="5"/>
        <v>-3.5968038423287259E-14</v>
      </c>
      <c r="G14" s="3844">
        <f>IF(E14="NA","NA",E14/Table8s2!$G$35*100)</f>
        <v>-2.6615810280504028E-15</v>
      </c>
      <c r="H14" s="3845">
        <f>IF(E14="NA","NA",E14/Table8s2!$G$34*100)</f>
        <v>-2.2683385407759354E-15</v>
      </c>
      <c r="I14" s="3846">
        <v>67.12313705004857</v>
      </c>
      <c r="J14" s="3839">
        <f>Summary2!D14</f>
        <v>67.123137050048555</v>
      </c>
      <c r="K14" s="3839">
        <f t="shared" ref="K14:K20" si="10">IF(J14="NO",IF(I14="NO","NA",-I14),IF(I14="NO",J14,J14-I14))</f>
        <v>-1.4210854715202004E-14</v>
      </c>
      <c r="L14" s="3847">
        <f t="shared" ref="L14:L20" si="11">IF(K14="NA","NA",K14/I14*100)</f>
        <v>-2.1171320858567828E-14</v>
      </c>
      <c r="M14" s="3844">
        <f>IF(K14="NA","NA",K14/Table8s2!$G$35*100)</f>
        <v>-2.5992002227054715E-18</v>
      </c>
      <c r="N14" s="3845">
        <f>IF(K14="NA","NA",K14/Table8s2!$G$34*100)</f>
        <v>-2.2151743562264994E-18</v>
      </c>
      <c r="O14" s="3848">
        <v>363.45447620072514</v>
      </c>
      <c r="P14" s="3847">
        <f>Summary2!E14</f>
        <v>363.45447620072525</v>
      </c>
      <c r="Q14" s="3839">
        <f t="shared" ref="Q14:Q20" si="12">IF(P14="NO",IF(O14="NO","NA",-O14),IF(O14="NO",P14,P14-O14))</f>
        <v>1.1368683772161603E-13</v>
      </c>
      <c r="R14" s="3847">
        <f t="shared" ref="R14:R20" si="13">IF(Q14="NA","NA",Q14/O14*100)</f>
        <v>3.1279526093614588E-14</v>
      </c>
      <c r="S14" s="3844">
        <f>IF(Q14="NA","NA",Q14/Table8s2!$G$35*100)</f>
        <v>2.0793601781643772E-17</v>
      </c>
      <c r="T14" s="3845">
        <f>IF(Q14="NA","NA",Q14/Table8s2!$G$34*100)</f>
        <v>1.7721394849811995E-17</v>
      </c>
    </row>
    <row r="15" spans="2:20" ht="18" customHeight="1" x14ac:dyDescent="0.2">
      <c r="B15" s="1392" t="s">
        <v>1480</v>
      </c>
      <c r="C15" s="3847">
        <v>82929.964074485935</v>
      </c>
      <c r="D15" s="3839">
        <f>Summary2!C15</f>
        <v>82931.239783305908</v>
      </c>
      <c r="E15" s="3839">
        <f t="shared" si="4"/>
        <v>1.2757088199723512</v>
      </c>
      <c r="F15" s="3847">
        <f t="shared" si="5"/>
        <v>1.5382966026930103E-3</v>
      </c>
      <c r="G15" s="3844">
        <f>IF(E15="NA","NA",E15/Table8s2!$G$35*100)</f>
        <v>2.3333027572454044E-4</v>
      </c>
      <c r="H15" s="3845">
        <f>IF(E15="NA","NA",E15/Table8s2!$G$34*100)</f>
        <v>1.9885626309244488E-4</v>
      </c>
      <c r="I15" s="3846">
        <v>556.9740934628793</v>
      </c>
      <c r="J15" s="3839">
        <f>Summary2!D15</f>
        <v>557.13086416350075</v>
      </c>
      <c r="K15" s="3839">
        <f t="shared" si="10"/>
        <v>0.15677070062145049</v>
      </c>
      <c r="L15" s="3847">
        <f t="shared" si="11"/>
        <v>2.8146856821788392E-2</v>
      </c>
      <c r="M15" s="3844">
        <f>IF(K15="NA","NA",K15/Table8s2!$G$35*100)</f>
        <v>2.8673746100089847E-5</v>
      </c>
      <c r="N15" s="3845">
        <f>IF(K15="NA","NA",K15/Table8s2!$G$34*100)</f>
        <v>2.4437265933962683E-5</v>
      </c>
      <c r="O15" s="3848">
        <v>1803.4004826674025</v>
      </c>
      <c r="P15" s="3847">
        <f>Summary2!E15</f>
        <v>1803.4001057217929</v>
      </c>
      <c r="Q15" s="3839">
        <f t="shared" si="12"/>
        <v>-3.7694560955969791E-4</v>
      </c>
      <c r="R15" s="3847">
        <f t="shared" si="13"/>
        <v>-2.0901935714365517E-5</v>
      </c>
      <c r="S15" s="3844">
        <f>IF(Q15="NA","NA",Q15/Table8s2!$G$35*100)</f>
        <v>-6.8944277592770356E-8</v>
      </c>
      <c r="T15" s="3845">
        <f>IF(Q15="NA","NA",Q15/Table8s2!$G$34*100)</f>
        <v>-5.8757918839010516E-8</v>
      </c>
    </row>
    <row r="16" spans="2:20" ht="18" customHeight="1" x14ac:dyDescent="0.2">
      <c r="B16" s="1392" t="s">
        <v>1481</v>
      </c>
      <c r="C16" s="3847">
        <v>18693.928366908556</v>
      </c>
      <c r="D16" s="3839">
        <f>Summary2!C16</f>
        <v>18698.626608088591</v>
      </c>
      <c r="E16" s="3839">
        <f t="shared" si="4"/>
        <v>4.698241180034529</v>
      </c>
      <c r="F16" s="3847">
        <f t="shared" si="5"/>
        <v>2.5132444544674826E-2</v>
      </c>
      <c r="G16" s="3844">
        <f>IF(E16="NA","NA",E16/Table8s2!$G$35*100)</f>
        <v>8.5931984853848242E-4</v>
      </c>
      <c r="H16" s="3845">
        <f>IF(E16="NA","NA",E16/Table8s2!$G$34*100)</f>
        <v>7.3235731347295516E-4</v>
      </c>
      <c r="I16" s="3846">
        <v>1327.1185862310408</v>
      </c>
      <c r="J16" s="3839">
        <f>Summary2!D16</f>
        <v>1327.1185862310408</v>
      </c>
      <c r="K16" s="3839">
        <f t="shared" si="10"/>
        <v>0</v>
      </c>
      <c r="L16" s="3847">
        <f t="shared" si="11"/>
        <v>0</v>
      </c>
      <c r="M16" s="3844">
        <f>IF(K16="NA","NA",K16/Table8s2!$G$35*100)</f>
        <v>0</v>
      </c>
      <c r="N16" s="3845">
        <f>IF(K16="NA","NA",K16/Table8s2!$G$34*100)</f>
        <v>0</v>
      </c>
      <c r="O16" s="3848">
        <v>172.15118087921729</v>
      </c>
      <c r="P16" s="3847">
        <f>Summary2!E16</f>
        <v>172.15118087921729</v>
      </c>
      <c r="Q16" s="3839">
        <f t="shared" si="12"/>
        <v>0</v>
      </c>
      <c r="R16" s="3847">
        <f t="shared" si="13"/>
        <v>0</v>
      </c>
      <c r="S16" s="3844">
        <f>IF(Q16="NA","NA",Q16/Table8s2!$G$35*100)</f>
        <v>0</v>
      </c>
      <c r="T16" s="3845">
        <f>IF(Q16="NA","NA",Q16/Table8s2!$G$34*100)</f>
        <v>0</v>
      </c>
    </row>
    <row r="17" spans="2:20" ht="18" customHeight="1" x14ac:dyDescent="0.2">
      <c r="B17" s="1392" t="s">
        <v>1482</v>
      </c>
      <c r="C17" s="3847">
        <v>819.9429811755258</v>
      </c>
      <c r="D17" s="3839">
        <f>Summary2!C17</f>
        <v>819.9429811755258</v>
      </c>
      <c r="E17" s="3839">
        <f t="shared" si="4"/>
        <v>0</v>
      </c>
      <c r="F17" s="3847">
        <f t="shared" si="5"/>
        <v>0</v>
      </c>
      <c r="G17" s="3844">
        <f>IF(E17="NA","NA",E17/Table8s2!$G$35*100)</f>
        <v>0</v>
      </c>
      <c r="H17" s="3845">
        <f>IF(E17="NA","NA",E17/Table8s2!$G$34*100)</f>
        <v>0</v>
      </c>
      <c r="I17" s="3846">
        <v>0.98974770421789071</v>
      </c>
      <c r="J17" s="3839">
        <f>Summary2!D17</f>
        <v>0.9897477042178906</v>
      </c>
      <c r="K17" s="3839">
        <f t="shared" si="10"/>
        <v>-1.1102230246251565E-16</v>
      </c>
      <c r="L17" s="3847">
        <f t="shared" si="11"/>
        <v>-1.1217232633062449E-14</v>
      </c>
      <c r="M17" s="3844">
        <f>IF(K17="NA","NA",K17/Table8s2!$G$35*100)</f>
        <v>-2.0306251739886496E-20</v>
      </c>
      <c r="N17" s="3845">
        <f>IF(K17="NA","NA",K17/Table8s2!$G$34*100)</f>
        <v>-1.7306049658019527E-20</v>
      </c>
      <c r="O17" s="3848">
        <v>6.0768374004228258</v>
      </c>
      <c r="P17" s="3847">
        <f>Summary2!E17</f>
        <v>6.0768374004228241</v>
      </c>
      <c r="Q17" s="3839">
        <f t="shared" si="12"/>
        <v>-1.7763568394002505E-15</v>
      </c>
      <c r="R17" s="3847">
        <f t="shared" si="13"/>
        <v>-2.9231600622992671E-14</v>
      </c>
      <c r="S17" s="3844">
        <f>IF(Q17="NA","NA",Q17/Table8s2!$G$35*100)</f>
        <v>-3.2490002783818394E-19</v>
      </c>
      <c r="T17" s="3845">
        <f>IF(Q17="NA","NA",Q17/Table8s2!$G$34*100)</f>
        <v>-2.7689679452831242E-19</v>
      </c>
    </row>
    <row r="18" spans="2:20" ht="18" customHeight="1" x14ac:dyDescent="0.2">
      <c r="B18" s="620" t="s">
        <v>99</v>
      </c>
      <c r="C18" s="3847">
        <f>SUM(C19:C20)</f>
        <v>7504.1437072713161</v>
      </c>
      <c r="D18" s="3839">
        <f>Summary2!C18</f>
        <v>7504.1437072713143</v>
      </c>
      <c r="E18" s="3839">
        <f t="shared" si="4"/>
        <v>-1.8189894035458565E-12</v>
      </c>
      <c r="F18" s="3847">
        <f t="shared" si="5"/>
        <v>-2.4239799696043986E-14</v>
      </c>
      <c r="G18" s="3844">
        <f>IF(E18="NA","NA",E18/Table8s2!$G$35*100)</f>
        <v>-3.3269762850630035E-16</v>
      </c>
      <c r="H18" s="3845">
        <f>IF(E18="NA","NA",E18/Table8s2!$G$34*100)</f>
        <v>-2.8354231759699192E-16</v>
      </c>
      <c r="I18" s="3846">
        <f>SUM(I19:I20)</f>
        <v>39097.664457549741</v>
      </c>
      <c r="J18" s="3839">
        <f>Summary2!D18</f>
        <v>39097.934603142945</v>
      </c>
      <c r="K18" s="3839">
        <f t="shared" si="10"/>
        <v>0.27014559320377884</v>
      </c>
      <c r="L18" s="3847">
        <f t="shared" si="11"/>
        <v>6.9095071777775679E-4</v>
      </c>
      <c r="M18" s="3844">
        <f>IF(K18="NA","NA",K18/Table8s2!$G$35*100)</f>
        <v>4.9410292349764727E-5</v>
      </c>
      <c r="N18" s="3845">
        <f>IF(K18="NA","NA",K18/Table8s2!$G$34*100)</f>
        <v>4.2110035075684065E-5</v>
      </c>
      <c r="O18" s="3848">
        <f>SUM(O19:O20)</f>
        <v>23.97274836330747</v>
      </c>
      <c r="P18" s="3847">
        <f>Summary2!E18</f>
        <v>23.972748363307474</v>
      </c>
      <c r="Q18" s="3839">
        <f t="shared" si="12"/>
        <v>3.5527136788005009E-15</v>
      </c>
      <c r="R18" s="3847">
        <f t="shared" si="13"/>
        <v>1.4819801321730223E-14</v>
      </c>
      <c r="S18" s="3844">
        <f>IF(Q18="NA","NA",Q18/Table8s2!$G$35*100)</f>
        <v>6.4980005567636787E-19</v>
      </c>
      <c r="T18" s="3845">
        <f>IF(Q18="NA","NA",Q18/Table8s2!$G$34*100)</f>
        <v>5.5379358905662485E-19</v>
      </c>
    </row>
    <row r="19" spans="2:20" ht="18" customHeight="1" x14ac:dyDescent="0.2">
      <c r="B19" s="1392" t="s">
        <v>1483</v>
      </c>
      <c r="C19" s="3847">
        <v>1284.9645005780501</v>
      </c>
      <c r="D19" s="3839">
        <f>Summary2!C19</f>
        <v>1284.9645005780499</v>
      </c>
      <c r="E19" s="3839">
        <f t="shared" si="4"/>
        <v>-2.2737367544323206E-13</v>
      </c>
      <c r="F19" s="3847">
        <f t="shared" si="5"/>
        <v>-1.7694938291364973E-14</v>
      </c>
      <c r="G19" s="3844">
        <f>IF(E19="NA","NA",E19/Table8s2!$G$35*100)</f>
        <v>-4.1587203563287544E-17</v>
      </c>
      <c r="H19" s="3845">
        <f>IF(E19="NA","NA",E19/Table8s2!$G$34*100)</f>
        <v>-3.544278969962399E-17</v>
      </c>
      <c r="I19" s="3846">
        <v>33398.812275804718</v>
      </c>
      <c r="J19" s="3839">
        <f>Summary2!D19</f>
        <v>33398.812275804725</v>
      </c>
      <c r="K19" s="3839">
        <f t="shared" si="10"/>
        <v>7.2759576141834259E-12</v>
      </c>
      <c r="L19" s="3847">
        <f t="shared" si="11"/>
        <v>2.1785078924661004E-14</v>
      </c>
      <c r="M19" s="3844">
        <f>IF(K19="NA","NA",K19/Table8s2!$G$35*100)</f>
        <v>1.3307905140252014E-15</v>
      </c>
      <c r="N19" s="3845">
        <f>IF(K19="NA","NA",K19/Table8s2!$G$34*100)</f>
        <v>1.1341692703879677E-15</v>
      </c>
      <c r="O19" s="3848">
        <v>3.3766172936601849E-2</v>
      </c>
      <c r="P19" s="3847">
        <f>Summary2!E19</f>
        <v>3.3766172936601849E-2</v>
      </c>
      <c r="Q19" s="3839">
        <f t="shared" si="12"/>
        <v>0</v>
      </c>
      <c r="R19" s="3847">
        <f t="shared" si="13"/>
        <v>0</v>
      </c>
      <c r="S19" s="3844">
        <f>IF(Q19="NA","NA",Q19/Table8s2!$G$35*100)</f>
        <v>0</v>
      </c>
      <c r="T19" s="3845">
        <f>IF(Q19="NA","NA",Q19/Table8s2!$G$34*100)</f>
        <v>0</v>
      </c>
    </row>
    <row r="20" spans="2:20" ht="18" customHeight="1" x14ac:dyDescent="0.2">
      <c r="B20" s="1393" t="s">
        <v>1484</v>
      </c>
      <c r="C20" s="3849">
        <v>6219.1792066932658</v>
      </c>
      <c r="D20" s="3850">
        <f>Summary2!C20</f>
        <v>6219.1792066932649</v>
      </c>
      <c r="E20" s="3850">
        <f t="shared" si="4"/>
        <v>-9.0949470177292824E-13</v>
      </c>
      <c r="F20" s="3849">
        <f t="shared" si="5"/>
        <v>-1.4624031106775361E-14</v>
      </c>
      <c r="G20" s="3851">
        <f>IF(E20="NA","NA",E20/Table8s2!$G$35*100)</f>
        <v>-1.6634881425315018E-16</v>
      </c>
      <c r="H20" s="3852">
        <f>IF(E20="NA","NA",E20/Table8s2!$G$34*100)</f>
        <v>-1.4177115879849596E-16</v>
      </c>
      <c r="I20" s="3853">
        <v>5698.8521817450228</v>
      </c>
      <c r="J20" s="3850">
        <f>Summary2!D20</f>
        <v>5699.1223273382238</v>
      </c>
      <c r="K20" s="3839">
        <f t="shared" si="10"/>
        <v>0.27014559320105036</v>
      </c>
      <c r="L20" s="3847">
        <f t="shared" si="11"/>
        <v>4.7403509441146831E-3</v>
      </c>
      <c r="M20" s="3844">
        <f>IF(K20="NA","NA",K20/Table8s2!$G$35*100)</f>
        <v>4.9410292349265689E-5</v>
      </c>
      <c r="N20" s="3845">
        <f>IF(K20="NA","NA",K20/Table8s2!$G$34*100)</f>
        <v>4.2110035075258746E-5</v>
      </c>
      <c r="O20" s="3854">
        <v>23.938982190370869</v>
      </c>
      <c r="P20" s="3849">
        <f>Summary2!E20</f>
        <v>23.938982190370869</v>
      </c>
      <c r="Q20" s="3839">
        <f t="shared" si="12"/>
        <v>0</v>
      </c>
      <c r="R20" s="3847">
        <f t="shared" si="13"/>
        <v>0</v>
      </c>
      <c r="S20" s="3844">
        <f>IF(Q20="NA","NA",Q20/Table8s2!$G$35*100)</f>
        <v>0</v>
      </c>
      <c r="T20" s="3845">
        <f>IF(Q20="NA","NA",Q20/Table8s2!$G$34*100)</f>
        <v>0</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24645.567454705644</v>
      </c>
      <c r="D22" s="3839">
        <f>Summary2!C22</f>
        <v>24691.051147405644</v>
      </c>
      <c r="E22" s="3861">
        <f t="shared" si="4"/>
        <v>45.483692699999665</v>
      </c>
      <c r="F22" s="3861">
        <f t="shared" si="5"/>
        <v>0.18455120898957164</v>
      </c>
      <c r="G22" s="3862">
        <f>IF(E22="NA","NA",E22/Table8s2!$G$35*100)</f>
        <v>8.3190790817697733E-3</v>
      </c>
      <c r="H22" s="3863">
        <f>IF(E22="NA","NA",E22/Table8s2!$G$34*100)</f>
        <v>7.0899542437615794E-3</v>
      </c>
      <c r="I22" s="3839">
        <f>SUM(I23:I29)</f>
        <v>100.01994552567666</v>
      </c>
      <c r="J22" s="3839">
        <f>Summary2!D22</f>
        <v>100.01994552567668</v>
      </c>
      <c r="K22" s="3861">
        <f t="shared" ref="K22" si="14">IF(J22="NO",IF(I22="NO","NA",-I22),IF(I22="NO",J22,J22-I22))</f>
        <v>1.4210854715202004E-14</v>
      </c>
      <c r="L22" s="3861">
        <f t="shared" ref="L22" si="15">IF(K22="NA","NA",K22/I22*100)</f>
        <v>1.4208020850755072E-14</v>
      </c>
      <c r="M22" s="3862">
        <f>IF(K22="NA","NA",K22/Table8s2!$G$35*100)</f>
        <v>2.5992002227054715E-18</v>
      </c>
      <c r="N22" s="3863">
        <f>IF(K22="NA","NA",K22/Table8s2!$G$34*100)</f>
        <v>2.2151743562264994E-18</v>
      </c>
      <c r="O22" s="3839">
        <f>SUM(O23:O29)</f>
        <v>2457.3973121056183</v>
      </c>
      <c r="P22" s="3839">
        <f>Summary2!E22</f>
        <v>2457.3973121056183</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6985.4738057376526</v>
      </c>
      <c r="D23" s="3839">
        <f>Summary2!C23</f>
        <v>6985.4738057376535</v>
      </c>
      <c r="E23" s="3839">
        <f t="shared" si="4"/>
        <v>9.0949470177292824E-13</v>
      </c>
      <c r="F23" s="3847">
        <f t="shared" si="5"/>
        <v>1.3019799759694144E-14</v>
      </c>
      <c r="G23" s="3844">
        <f>IF(E23="NA","NA",E23/Table8s2!$G$35*100)</f>
        <v>1.6634881425315018E-16</v>
      </c>
      <c r="H23" s="3845">
        <f>IF(E23="NA","NA",E23/Table8s2!$G$34*100)</f>
        <v>1.4177115879849596E-16</v>
      </c>
      <c r="I23" s="1925"/>
      <c r="J23" s="1925"/>
      <c r="K23" s="1925"/>
      <c r="L23" s="1925"/>
      <c r="M23" s="1925"/>
      <c r="N23" s="1925"/>
      <c r="O23" s="1925"/>
      <c r="P23" s="1925"/>
      <c r="Q23" s="1925"/>
      <c r="R23" s="1925"/>
      <c r="S23" s="1925"/>
      <c r="T23" s="1925"/>
    </row>
    <row r="24" spans="2:20" ht="18" customHeight="1" x14ac:dyDescent="0.2">
      <c r="B24" s="1394" t="s">
        <v>621</v>
      </c>
      <c r="C24" s="3839">
        <v>3968.8825369825827</v>
      </c>
      <c r="D24" s="3839">
        <f>Summary2!C24</f>
        <v>4015.7436099825827</v>
      </c>
      <c r="E24" s="3839">
        <f t="shared" si="4"/>
        <v>46.861073000000033</v>
      </c>
      <c r="F24" s="3847">
        <f t="shared" si="5"/>
        <v>1.1807120156200703</v>
      </c>
      <c r="G24" s="3844">
        <f>IF(E24="NA","NA",E24/Table8s2!$G$35*100)</f>
        <v>8.5710053208496294E-3</v>
      </c>
      <c r="H24" s="3845">
        <f>IF(E24="NA","NA",E24/Table8s2!$G$34*100)</f>
        <v>7.3046589593103511E-3</v>
      </c>
      <c r="I24" s="3846">
        <v>16.0575464</v>
      </c>
      <c r="J24" s="3839">
        <f>Summary2!D24</f>
        <v>16.0575464</v>
      </c>
      <c r="K24" s="3839">
        <f t="shared" ref="K24" si="18">IF(J24="NO",IF(I24="NO","NA",-I24),IF(I24="NO",J24,J24-I24))</f>
        <v>0</v>
      </c>
      <c r="L24" s="3847">
        <f t="shared" ref="L24" si="19">IF(K24="NA","NA",K24/I24*100)</f>
        <v>0</v>
      </c>
      <c r="M24" s="3844">
        <f>IF(K24="NA","NA",K24/Table8s2!$G$35*100)</f>
        <v>0</v>
      </c>
      <c r="N24" s="3845">
        <f>IF(K24="NA","NA",K24/Table8s2!$G$34*100)</f>
        <v>0</v>
      </c>
      <c r="O24" s="3848">
        <v>2436.4347304207758</v>
      </c>
      <c r="P24" s="3847">
        <f>Summary2!E24</f>
        <v>2436.4347304207758</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13315.672838033808</v>
      </c>
      <c r="D25" s="3839">
        <f>Summary2!C25</f>
        <v>13315.672838033808</v>
      </c>
      <c r="E25" s="3839">
        <f t="shared" si="4"/>
        <v>0</v>
      </c>
      <c r="F25" s="3847">
        <f t="shared" si="5"/>
        <v>0</v>
      </c>
      <c r="G25" s="3844">
        <f>IF(E25="NA","NA",E25/Table8s2!$G$35*100)</f>
        <v>0</v>
      </c>
      <c r="H25" s="3845">
        <f>IF(E25="NA","NA",E25/Table8s2!$G$34*100)</f>
        <v>0</v>
      </c>
      <c r="I25" s="3846">
        <v>83.962399125676669</v>
      </c>
      <c r="J25" s="3839">
        <f>Summary2!D25</f>
        <v>83.962399125676669</v>
      </c>
      <c r="K25" s="3839">
        <f t="shared" ref="K25:K26" si="22">IF(J25="NO",IF(I25="NO","NA",-I25),IF(I25="NO",J25,J25-I25))</f>
        <v>0</v>
      </c>
      <c r="L25" s="3847">
        <f t="shared" ref="L25:L26" si="23">IF(K25="NA","NA",K25/I25*100)</f>
        <v>0</v>
      </c>
      <c r="M25" s="3844">
        <f>IF(K25="NA","NA",K25/Table8s2!$G$35*100)</f>
        <v>0</v>
      </c>
      <c r="N25" s="3845">
        <f>IF(K25="NA","NA",K25/Table8s2!$G$34*100)</f>
        <v>0</v>
      </c>
      <c r="O25" s="3848">
        <v>20.962581684842672</v>
      </c>
      <c r="P25" s="3847">
        <f>Summary2!E25</f>
        <v>20.962581684842672</v>
      </c>
      <c r="Q25" s="3839">
        <f t="shared" ref="Q25:Q29" si="24">IF(P25="NO",IF(O25="NO","NA",-O25),IF(O25="NO",P25,P25-O25))</f>
        <v>0</v>
      </c>
      <c r="R25" s="3847">
        <f t="shared" ref="R25:R29" si="25">IF(Q25="NA","NA",Q25/O25*100)</f>
        <v>0</v>
      </c>
      <c r="S25" s="3844">
        <f>IF(Q25="NA","NA",Q25/Table8s2!$G$35*100)</f>
        <v>0</v>
      </c>
      <c r="T25" s="3845">
        <f>IF(Q25="NA","NA",Q25/Table8s2!$G$34*100)</f>
        <v>0</v>
      </c>
    </row>
    <row r="26" spans="2:20" ht="18" customHeight="1" x14ac:dyDescent="0.2">
      <c r="B26" s="1395" t="s">
        <v>1519</v>
      </c>
      <c r="C26" s="3839">
        <v>227.25242979999999</v>
      </c>
      <c r="D26" s="3839">
        <f>Summary2!C26</f>
        <v>225.87504949999993</v>
      </c>
      <c r="E26" s="3839">
        <f t="shared" si="4"/>
        <v>-1.3773803000000555</v>
      </c>
      <c r="F26" s="3847">
        <f t="shared" si="5"/>
        <v>-0.60610146224278372</v>
      </c>
      <c r="G26" s="3844">
        <f>IF(E26="NA","NA",E26/Table8s2!$G$35*100)</f>
        <v>-2.5192623907979928E-4</v>
      </c>
      <c r="H26" s="3845">
        <f>IF(E26="NA","NA",E26/Table8s2!$G$34*100)</f>
        <v>-2.1470471554872376E-4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148.28584415160208</v>
      </c>
      <c r="D29" s="3855">
        <f>Summary2!C30</f>
        <v>148.28584415160208</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1815.7872546355406</v>
      </c>
      <c r="D30" s="3875">
        <f>Summary2!C31</f>
        <v>1815.7872546355406</v>
      </c>
      <c r="E30" s="3861">
        <f t="shared" si="4"/>
        <v>0</v>
      </c>
      <c r="F30" s="3876">
        <f t="shared" si="5"/>
        <v>0</v>
      </c>
      <c r="G30" s="3877">
        <f>IF(E30="NA","NA",E30/Table8s2!$G$35*100)</f>
        <v>0</v>
      </c>
      <c r="H30" s="3878">
        <f>IF(E30="NA","NA",E30/Table8s2!$G$34*100)</f>
        <v>0</v>
      </c>
      <c r="I30" s="3874">
        <f>SUM(I31:I40)</f>
        <v>67966.262340561691</v>
      </c>
      <c r="J30" s="3875">
        <f>Summary2!D31</f>
        <v>67966.262340561676</v>
      </c>
      <c r="K30" s="3861">
        <f t="shared" ref="K30" si="28">IF(J30="NO",IF(I30="NO","NA",-I30),IF(I30="NO",J30,J30-I30))</f>
        <v>-1.4551915228366852E-11</v>
      </c>
      <c r="L30" s="3876">
        <f t="shared" ref="L30" si="29">IF(K30="NA","NA",K30/I30*100)</f>
        <v>-2.1410497984207073E-14</v>
      </c>
      <c r="M30" s="3877">
        <f>IF(K30="NA","NA",K30/Table8s2!$G$35*100)</f>
        <v>-2.6615810280504028E-15</v>
      </c>
      <c r="N30" s="3878">
        <f>IF(K30="NA","NA",K30/Table8s2!$G$34*100)</f>
        <v>-2.2683385407759354E-15</v>
      </c>
      <c r="O30" s="3874">
        <f>SUM(O31:O40)</f>
        <v>10506.442817150377</v>
      </c>
      <c r="P30" s="3875">
        <f>Summary2!E31</f>
        <v>10506.232420914646</v>
      </c>
      <c r="Q30" s="3861">
        <f t="shared" ref="Q30" si="30">IF(P30="NO",IF(O30="NO","NA",-O30),IF(O30="NO",P30,P30-O30))</f>
        <v>-0.21039623573051358</v>
      </c>
      <c r="R30" s="3880">
        <f t="shared" ref="R30" si="31">IF(Q30="NA","NA",Q30/O30*100)</f>
        <v>-2.0025449087970057E-3</v>
      </c>
      <c r="S30" s="3881">
        <f>IF(Q30="NA","NA",Q30/Table8s2!$G$35*100)</f>
        <v>-3.8481988151081474E-5</v>
      </c>
      <c r="T30" s="3882">
        <f>IF(Q30="NA","NA",Q30/Table8s2!$G$34*100)</f>
        <v>-3.2796362736595205E-5</v>
      </c>
    </row>
    <row r="31" spans="2:20" ht="18" customHeight="1" x14ac:dyDescent="0.2">
      <c r="B31" s="620" t="s">
        <v>1492</v>
      </c>
      <c r="C31" s="3867"/>
      <c r="D31" s="3867"/>
      <c r="E31" s="3868"/>
      <c r="F31" s="3868"/>
      <c r="G31" s="3869"/>
      <c r="H31" s="3870"/>
      <c r="I31" s="3846">
        <v>60784.847687596382</v>
      </c>
      <c r="J31" s="3839">
        <f>Summary2!D32</f>
        <v>60784.847687596382</v>
      </c>
      <c r="K31" s="3883">
        <f t="shared" ref="K31:K33" si="32">IF(J31="NO",IF(I31="NO","NA",-I31),IF(I31="NO",J31,J31-I31))</f>
        <v>0</v>
      </c>
      <c r="L31" s="3883">
        <f t="shared" ref="L31:L33" si="33">IF(K31="NA","NA",K31/I31*100)</f>
        <v>0</v>
      </c>
      <c r="M31" s="3884">
        <f>IF(K31="NA","NA",K31/Table8s2!$G$35*100)</f>
        <v>0</v>
      </c>
      <c r="N31" s="3885">
        <f>IF(K31="NA","NA",K31/Table8s2!$G$34*100)</f>
        <v>0</v>
      </c>
      <c r="O31" s="3886"/>
      <c r="P31" s="3887"/>
      <c r="Q31" s="3868"/>
      <c r="R31" s="3888"/>
      <c r="S31" s="3889"/>
      <c r="T31" s="3890"/>
    </row>
    <row r="32" spans="2:20" ht="18" customHeight="1" x14ac:dyDescent="0.2">
      <c r="B32" s="620" t="s">
        <v>1493</v>
      </c>
      <c r="C32" s="3891"/>
      <c r="D32" s="3891"/>
      <c r="E32" s="3892"/>
      <c r="F32" s="3892"/>
      <c r="G32" s="3869"/>
      <c r="H32" s="3870"/>
      <c r="I32" s="3846">
        <v>6949.5463344184864</v>
      </c>
      <c r="J32" s="3847">
        <f>Summary2!D33</f>
        <v>6949.5463344184845</v>
      </c>
      <c r="K32" s="3893">
        <f t="shared" si="32"/>
        <v>-1.8189894035458565E-12</v>
      </c>
      <c r="L32" s="3893">
        <f t="shared" si="33"/>
        <v>-2.6174217941926466E-14</v>
      </c>
      <c r="M32" s="3884">
        <f>IF(K32="NA","NA",K32/Table8s2!$G$35*100)</f>
        <v>-3.3269762850630035E-16</v>
      </c>
      <c r="N32" s="3885">
        <f>IF(K32="NA","NA",K32/Table8s2!$G$34*100)</f>
        <v>-2.8354231759699192E-16</v>
      </c>
      <c r="O32" s="3848">
        <v>471.50767434670007</v>
      </c>
      <c r="P32" s="3847">
        <f>Summary2!E33</f>
        <v>471.50767434670001</v>
      </c>
      <c r="Q32" s="3893">
        <f t="shared" ref="Q32" si="34">IF(P32="NO",IF(O32="NO","NA",-O32),IF(O32="NO",P32,P32-O32))</f>
        <v>-5.6843418860808015E-14</v>
      </c>
      <c r="R32" s="3894">
        <f t="shared" ref="R32" si="35">IF(Q32="NA","NA",Q32/O32*100)</f>
        <v>-1.2055672039605233E-14</v>
      </c>
      <c r="S32" s="3895">
        <f>IF(Q32="NA","NA",Q32/Table8s2!$G$35*100)</f>
        <v>-1.0396800890821886E-17</v>
      </c>
      <c r="T32" s="3896">
        <f>IF(Q32="NA","NA",Q32/Table8s2!$G$34*100)</f>
        <v>-8.8606974249059976E-18</v>
      </c>
    </row>
    <row r="33" spans="2:21" ht="18" customHeight="1" x14ac:dyDescent="0.2">
      <c r="B33" s="620" t="s">
        <v>1494</v>
      </c>
      <c r="C33" s="3891"/>
      <c r="D33" s="3891"/>
      <c r="E33" s="3892"/>
      <c r="F33" s="3892"/>
      <c r="G33" s="3897"/>
      <c r="H33" s="3898"/>
      <c r="I33" s="3848">
        <v>88.47180809599999</v>
      </c>
      <c r="J33" s="3847">
        <f>Summary2!D34</f>
        <v>88.47180809599999</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9982.0374515017429</v>
      </c>
      <c r="P34" s="3847">
        <f>Summary2!E35</f>
        <v>9981.8270552660124</v>
      </c>
      <c r="Q34" s="3893">
        <f t="shared" ref="Q34" si="36">IF(P34="NO",IF(O34="NO","NA",-O34),IF(O34="NO",P34,P34-O34))</f>
        <v>-0.21039623573051358</v>
      </c>
      <c r="R34" s="3894">
        <f t="shared" ref="R34" si="37">IF(Q34="NA","NA",Q34/O34*100)</f>
        <v>-2.1077484106099063E-3</v>
      </c>
      <c r="S34" s="3895">
        <f>IF(Q34="NA","NA",Q34/Table8s2!$G$35*100)</f>
        <v>-3.8481988151081474E-5</v>
      </c>
      <c r="T34" s="3896">
        <f>IF(Q34="NA","NA",Q34/Table8s2!$G$34*100)</f>
        <v>-3.2796362736595205E-5</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143.39651045081752</v>
      </c>
      <c r="J36" s="3847">
        <f>Summary2!D37</f>
        <v>143.39651045081752</v>
      </c>
      <c r="K36" s="3893">
        <f t="shared" ref="K36" si="38">IF(J36="NO",IF(I36="NO","NA",-I36),IF(I36="NO",J36,J36-I36))</f>
        <v>0</v>
      </c>
      <c r="L36" s="3893">
        <f t="shared" ref="L36" si="39">IF(K36="NA","NA",K36/I36*100)</f>
        <v>0</v>
      </c>
      <c r="M36" s="3884">
        <f>IF(K36="NA","NA",K36/Table8s2!$G$35*100)</f>
        <v>0</v>
      </c>
      <c r="N36" s="3885">
        <f>IF(K36="NA","NA",K36/Table8s2!$G$34*100)</f>
        <v>0</v>
      </c>
      <c r="O36" s="3848">
        <v>52.897691301933946</v>
      </c>
      <c r="P36" s="3847">
        <f>Summary2!E37</f>
        <v>52.897691301933953</v>
      </c>
      <c r="Q36" s="3893">
        <f t="shared" ref="Q36" si="40">IF(P36="NO",IF(O36="NO","NA",-O36),IF(O36="NO",P36,P36-O36))</f>
        <v>7.1054273576010019E-15</v>
      </c>
      <c r="R36" s="3894">
        <f t="shared" ref="R36" si="41">IF(Q36="NA","NA",Q36/O36*100)</f>
        <v>1.3432395975552201E-14</v>
      </c>
      <c r="S36" s="3895">
        <f>IF(Q36="NA","NA",Q36/Table8s2!$G$35*100)</f>
        <v>1.2996001113527357E-18</v>
      </c>
      <c r="T36" s="3896">
        <f>IF(Q36="NA","NA",Q36/Table8s2!$G$34*100)</f>
        <v>1.1075871781132497E-18</v>
      </c>
    </row>
    <row r="37" spans="2:21" ht="18" customHeight="1" x14ac:dyDescent="0.2">
      <c r="B37" s="620" t="s">
        <v>721</v>
      </c>
      <c r="C37" s="3847">
        <v>1069.5072182802071</v>
      </c>
      <c r="D37" s="3847">
        <f>Summary2!C38</f>
        <v>1069.5072182802071</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746.28003635533344</v>
      </c>
      <c r="D38" s="3847">
        <f>Summary2!C39</f>
        <v>746.28003635533344</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72327.900929229058</v>
      </c>
      <c r="D41" s="3839">
        <f>Summary2!C42</f>
        <v>69110.035361393791</v>
      </c>
      <c r="E41" s="3929">
        <f t="shared" ref="E41" si="42">IF(D41="NO",IF(C41="NO","NA",-C41),IF(C41="NO",D41,D41-C41))</f>
        <v>-3217.8655678352661</v>
      </c>
      <c r="F41" s="3929">
        <f t="shared" ref="F41" si="43">IF(E41="NA","NA",E41/C41*100)</f>
        <v>-4.4489962054669085</v>
      </c>
      <c r="G41" s="3869"/>
      <c r="H41" s="3929">
        <f>IF(E41="NA","NA",E41/Table8s2!$G$34*100)</f>
        <v>-0.50159778778313824</v>
      </c>
      <c r="I41" s="3846">
        <f>SUM(I42:I49)</f>
        <v>22467.59179117233</v>
      </c>
      <c r="J41" s="3839">
        <f>Summary2!D42</f>
        <v>20950.391955710475</v>
      </c>
      <c r="K41" s="3929">
        <f t="shared" ref="K41:K46" si="44">IF(J41="NO",IF(I41="NO","NA",-I41),IF(I41="NO",J41,J41-I41))</f>
        <v>-1517.1998354618554</v>
      </c>
      <c r="L41" s="3929">
        <f t="shared" ref="L41:L46" si="45">IF(K41="NA","NA",K41/I41*100)</f>
        <v>-6.7528369286911003</v>
      </c>
      <c r="M41" s="3889"/>
      <c r="N41" s="3930">
        <f>IF(K41="NA","NA",K41/Table8s2!$G$34*100)</f>
        <v>-0.23649965017170277</v>
      </c>
      <c r="O41" s="3846">
        <f>SUM(O42:O49)</f>
        <v>4705.4330754737912</v>
      </c>
      <c r="P41" s="3839">
        <f>Summary2!E42</f>
        <v>4723.1348644492364</v>
      </c>
      <c r="Q41" s="3929">
        <f t="shared" ref="Q41" si="46">IF(P41="NO",IF(O41="NO","NA",-O41),IF(O41="NO",P41,P41-O41))</f>
        <v>17.701788975445197</v>
      </c>
      <c r="R41" s="3929">
        <f t="shared" ref="R41" si="47">IF(Q41="NA","NA",Q41/O41*100)</f>
        <v>0.37619893199018239</v>
      </c>
      <c r="S41" s="3889"/>
      <c r="T41" s="3930">
        <f>IF(Q41="NA","NA",Q41/Table8s2!$G$34*100)</f>
        <v>2.7593378289760221E-3</v>
      </c>
      <c r="U41" s="713"/>
    </row>
    <row r="42" spans="2:21" ht="18" customHeight="1" x14ac:dyDescent="0.2">
      <c r="B42" s="620" t="s">
        <v>981</v>
      </c>
      <c r="C42" s="3847">
        <v>-34523.050977084698</v>
      </c>
      <c r="D42" s="3847">
        <f>Summary2!C43</f>
        <v>-37521.021091248396</v>
      </c>
      <c r="E42" s="3931">
        <f t="shared" ref="E42:E50" si="48">IF(D42="NO",IF(C42="NO","NA",-C42),IF(C42="NO",D42,D42-C42))</f>
        <v>-2997.9701141636979</v>
      </c>
      <c r="F42" s="3931">
        <f t="shared" ref="F42:F50" si="49">IF(E42="NA","NA",E42/C42*100)</f>
        <v>8.6839663045819879</v>
      </c>
      <c r="G42" s="3889"/>
      <c r="H42" s="3931">
        <f>IF(E42="NA","NA",E42/Table8s2!$G$34*100)</f>
        <v>-0.46732069609610771</v>
      </c>
      <c r="I42" s="3848">
        <v>7987.2169623826831</v>
      </c>
      <c r="J42" s="3847">
        <f>Summary2!D43</f>
        <v>7622.0333285693405</v>
      </c>
      <c r="K42" s="3931">
        <f t="shared" si="44"/>
        <v>-365.18363381334257</v>
      </c>
      <c r="L42" s="3931">
        <f t="shared" si="45"/>
        <v>-4.5721010901950496</v>
      </c>
      <c r="M42" s="3889"/>
      <c r="N42" s="3932">
        <f>IF(K42="NA","NA",K42/Table8s2!$G$34*100)</f>
        <v>-5.6924473379603185E-2</v>
      </c>
      <c r="O42" s="3848">
        <v>1339.0713360066484</v>
      </c>
      <c r="P42" s="3847">
        <f>Summary2!E43</f>
        <v>1310.4329090189422</v>
      </c>
      <c r="Q42" s="3931">
        <f t="shared" ref="Q42:Q46" si="50">IF(P42="NO",IF(O42="NO","NA",-O42),IF(O42="NO",P42,P42-O42))</f>
        <v>-28.638426987706225</v>
      </c>
      <c r="R42" s="3931">
        <f t="shared" ref="R42:R46" si="51">IF(Q42="NA","NA",Q42/O42*100)</f>
        <v>-2.1386782180784456</v>
      </c>
      <c r="S42" s="3889"/>
      <c r="T42" s="3932">
        <f>IF(Q42="NA","NA",Q42/Table8s2!$G$34*100)</f>
        <v>-4.4641304367124398E-3</v>
      </c>
      <c r="U42" s="713"/>
    </row>
    <row r="43" spans="2:21" ht="18" customHeight="1" x14ac:dyDescent="0.2">
      <c r="B43" s="620" t="s">
        <v>984</v>
      </c>
      <c r="C43" s="3847">
        <v>10392.706098723411</v>
      </c>
      <c r="D43" s="3847">
        <f>Summary2!C44</f>
        <v>10366.324591842265</v>
      </c>
      <c r="E43" s="3931">
        <f t="shared" si="48"/>
        <v>-26.381506881145469</v>
      </c>
      <c r="F43" s="3931">
        <f t="shared" si="49"/>
        <v>-0.25384636715923337</v>
      </c>
      <c r="G43" s="3889"/>
      <c r="H43" s="3931">
        <f>IF(E43="NA","NA",E43/Table8s2!$G$34*100)</f>
        <v>-4.1123239026017782E-3</v>
      </c>
      <c r="I43" s="3848">
        <v>98.909169209339709</v>
      </c>
      <c r="J43" s="3847">
        <f>Summary2!D44</f>
        <v>99.429321600000023</v>
      </c>
      <c r="K43" s="3931">
        <f t="shared" si="44"/>
        <v>0.52015239066031427</v>
      </c>
      <c r="L43" s="3931">
        <f t="shared" si="45"/>
        <v>0.52588894924334051</v>
      </c>
      <c r="M43" s="3889"/>
      <c r="N43" s="3932">
        <f>IF(K43="NA","NA",K43/Table8s2!$G$34*100)</f>
        <v>8.1080854052222826E-5</v>
      </c>
      <c r="O43" s="3848">
        <v>55.841658292599654</v>
      </c>
      <c r="P43" s="3847">
        <f>Summary2!E44</f>
        <v>55.631197375353103</v>
      </c>
      <c r="Q43" s="3931">
        <f t="shared" si="50"/>
        <v>-0.21046091724655014</v>
      </c>
      <c r="R43" s="3931">
        <f t="shared" si="51"/>
        <v>-0.37688873088935687</v>
      </c>
      <c r="S43" s="3889"/>
      <c r="T43" s="3932">
        <f>IF(Q43="NA","NA",Q43/Table8s2!$G$34*100)</f>
        <v>-3.2806445229064341E-5</v>
      </c>
      <c r="U43" s="713"/>
    </row>
    <row r="44" spans="2:21" ht="18" customHeight="1" x14ac:dyDescent="0.2">
      <c r="B44" s="620" t="s">
        <v>987</v>
      </c>
      <c r="C44" s="3847">
        <v>95954.636584140244</v>
      </c>
      <c r="D44" s="3847">
        <f>Summary2!C45</f>
        <v>95844.326427410371</v>
      </c>
      <c r="E44" s="3931">
        <f t="shared" si="48"/>
        <v>-110.31015672987269</v>
      </c>
      <c r="F44" s="3931">
        <f t="shared" si="49"/>
        <v>-0.11496073629870344</v>
      </c>
      <c r="G44" s="3889"/>
      <c r="H44" s="3931">
        <f>IF(E44="NA","NA",E44/Table8s2!$G$34*100)</f>
        <v>-1.7195041066596854E-2</v>
      </c>
      <c r="I44" s="3848">
        <v>10765.795889166804</v>
      </c>
      <c r="J44" s="3847">
        <f>Summary2!D45</f>
        <v>10868.684259256715</v>
      </c>
      <c r="K44" s="3931">
        <f t="shared" si="44"/>
        <v>102.8883700899114</v>
      </c>
      <c r="L44" s="3931">
        <f t="shared" si="45"/>
        <v>0.95569683049112897</v>
      </c>
      <c r="M44" s="3889"/>
      <c r="N44" s="3932">
        <f>IF(K44="NA","NA",K44/Table8s2!$G$34*100)</f>
        <v>1.6038140108019083E-2</v>
      </c>
      <c r="O44" s="3848">
        <v>3165.4692028556556</v>
      </c>
      <c r="P44" s="3847">
        <f>Summary2!E45</f>
        <v>3211.0797014783493</v>
      </c>
      <c r="Q44" s="3931">
        <f t="shared" si="50"/>
        <v>45.61049862269374</v>
      </c>
      <c r="R44" s="3931">
        <f t="shared" si="51"/>
        <v>1.4408763977721619</v>
      </c>
      <c r="S44" s="3889"/>
      <c r="T44" s="3932">
        <f>IF(Q44="NA","NA",Q44/Table8s2!$G$34*100)</f>
        <v>7.1097206289508575E-3</v>
      </c>
      <c r="U44" s="713"/>
    </row>
    <row r="45" spans="2:21" ht="18" customHeight="1" x14ac:dyDescent="0.2">
      <c r="B45" s="620" t="s">
        <v>1525</v>
      </c>
      <c r="C45" s="3847">
        <v>1113.1499367152533</v>
      </c>
      <c r="D45" s="3847">
        <f>Summary2!C46</f>
        <v>1048.2472841848185</v>
      </c>
      <c r="E45" s="3931">
        <f t="shared" si="48"/>
        <v>-64.902652530434807</v>
      </c>
      <c r="F45" s="3931">
        <f t="shared" si="49"/>
        <v>-5.8305400188902929</v>
      </c>
      <c r="G45" s="3889"/>
      <c r="H45" s="3931">
        <f>IF(E45="NA","NA",E45/Table8s2!$G$34*100)</f>
        <v>-1.0116963012977679E-2</v>
      </c>
      <c r="I45" s="3848">
        <v>3501.9289262413995</v>
      </c>
      <c r="J45" s="3847">
        <f>Summary2!D46</f>
        <v>2243.4323614844188</v>
      </c>
      <c r="K45" s="3931">
        <f t="shared" si="44"/>
        <v>-1258.4965647569807</v>
      </c>
      <c r="L45" s="3931">
        <f t="shared" si="45"/>
        <v>-35.937238912147706</v>
      </c>
      <c r="M45" s="3889"/>
      <c r="N45" s="3932">
        <f>IF(K45="NA","NA",K45/Table8s2!$G$34*100)</f>
        <v>-0.19617323331485328</v>
      </c>
      <c r="O45" s="3848">
        <v>89.221046995415961</v>
      </c>
      <c r="P45" s="3847">
        <f>Summary2!E46</f>
        <v>89.57925981932712</v>
      </c>
      <c r="Q45" s="3931">
        <f t="shared" si="50"/>
        <v>0.35821282391115972</v>
      </c>
      <c r="R45" s="3931">
        <f t="shared" si="51"/>
        <v>0.40148915079371816</v>
      </c>
      <c r="S45" s="3889"/>
      <c r="T45" s="3932">
        <f>IF(Q45="NA","NA",Q45/Table8s2!$G$34*100)</f>
        <v>5.5837870240882286E-5</v>
      </c>
      <c r="U45" s="713"/>
    </row>
    <row r="46" spans="2:21" ht="18" customHeight="1" x14ac:dyDescent="0.2">
      <c r="B46" s="620" t="s">
        <v>1526</v>
      </c>
      <c r="C46" s="3847">
        <v>5737.2494378211868</v>
      </c>
      <c r="D46" s="3847">
        <f>Summary2!C47</f>
        <v>5748.0897985584879</v>
      </c>
      <c r="E46" s="3931">
        <f t="shared" si="48"/>
        <v>10.840360737301125</v>
      </c>
      <c r="F46" s="3931">
        <f t="shared" si="49"/>
        <v>0.18894700073242637</v>
      </c>
      <c r="G46" s="3889"/>
      <c r="H46" s="3931">
        <f>IF(E46="NA","NA",E46/Table8s2!$G$34*100)</f>
        <v>1.6897849987746285E-3</v>
      </c>
      <c r="I46" s="3848">
        <v>113.74084417210373</v>
      </c>
      <c r="J46" s="3847">
        <f>Summary2!D47</f>
        <v>116.81268480000003</v>
      </c>
      <c r="K46" s="3931">
        <f t="shared" si="44"/>
        <v>3.0718406278962931</v>
      </c>
      <c r="L46" s="3931">
        <f t="shared" si="45"/>
        <v>2.7007366177520402</v>
      </c>
      <c r="M46" s="3889"/>
      <c r="N46" s="3932">
        <f>IF(K46="NA","NA",K46/Table8s2!$G$34*100)</f>
        <v>4.7883556068244908E-4</v>
      </c>
      <c r="O46" s="3848">
        <v>28.379279201851258</v>
      </c>
      <c r="P46" s="3847">
        <f>Summary2!E47</f>
        <v>28.961244635645503</v>
      </c>
      <c r="Q46" s="3931">
        <f t="shared" si="50"/>
        <v>0.58196543379424526</v>
      </c>
      <c r="R46" s="3931">
        <f t="shared" si="51"/>
        <v>2.050670243084546</v>
      </c>
      <c r="S46" s="3889"/>
      <c r="T46" s="3932">
        <f>IF(Q46="NA","NA",Q46/Table8s2!$G$34*100)</f>
        <v>9.0716211725968507E-5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-6347.4470734552333</v>
      </c>
      <c r="D48" s="3847">
        <f>Summary2!C49</f>
        <v>-6376.588571722652</v>
      </c>
      <c r="E48" s="3931">
        <f t="shared" si="48"/>
        <v>-29.141498267418683</v>
      </c>
      <c r="F48" s="3931">
        <f t="shared" si="49"/>
        <v>0.45910580947239799</v>
      </c>
      <c r="G48" s="3889"/>
      <c r="H48" s="3931">
        <f>IF(E48="NA","NA",E48/Table8s2!$G$34*100)</f>
        <v>-4.5425487036292751E-3</v>
      </c>
      <c r="I48" s="3913"/>
      <c r="J48" s="3910"/>
      <c r="K48" s="3918"/>
      <c r="L48" s="3918"/>
      <c r="M48" s="3918"/>
      <c r="N48" s="3905"/>
      <c r="O48" s="3913"/>
      <c r="P48" s="3910"/>
      <c r="Q48" s="3918"/>
      <c r="R48" s="3918"/>
      <c r="S48" s="3918"/>
      <c r="T48" s="3905"/>
      <c r="U48" s="713"/>
    </row>
    <row r="49" spans="2:21" ht="18" customHeight="1" thickBot="1" x14ac:dyDescent="0.25">
      <c r="B49" s="1552" t="s">
        <v>1529</v>
      </c>
      <c r="C49" s="3855">
        <v>0.65692236888666677</v>
      </c>
      <c r="D49" s="3855">
        <f>Summary2!C50</f>
        <v>0.65692236888666677</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27.450552121619634</v>
      </c>
      <c r="P49" s="3855">
        <f>Summary2!E50</f>
        <v>27.450552121619634</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29.670531219562221</v>
      </c>
      <c r="D50" s="3839">
        <f>Summary2!C51</f>
        <v>29.670531219562221</v>
      </c>
      <c r="E50" s="3839">
        <f t="shared" si="48"/>
        <v>0</v>
      </c>
      <c r="F50" s="3839">
        <f t="shared" si="49"/>
        <v>0</v>
      </c>
      <c r="G50" s="3844">
        <f>IF(E50="NA","NA",E50/Table8s2!$G$35*100)</f>
        <v>0</v>
      </c>
      <c r="H50" s="3845">
        <f>IF(E50="NA","NA",E50/Table8s2!$G$34*100)</f>
        <v>0</v>
      </c>
      <c r="I50" s="3839">
        <f>SUM(I51:I55)</f>
        <v>15563.940502300684</v>
      </c>
      <c r="J50" s="3839">
        <f>Summary2!D51</f>
        <v>15585.377419260269</v>
      </c>
      <c r="K50" s="3839">
        <f t="shared" ref="K50" si="54">IF(J50="NO",IF(I50="NO","NA",-I50),IF(I50="NO",J50,J50-I50))</f>
        <v>21.436916959584778</v>
      </c>
      <c r="L50" s="3839">
        <f t="shared" ref="L50" si="55">IF(K50="NA","NA",K50/I50*100)</f>
        <v>0.13773450853539271</v>
      </c>
      <c r="M50" s="3844">
        <f>IF(K50="NA","NA",K50/Table8s2!$G$35*100)</f>
        <v>3.9208647510741521E-3</v>
      </c>
      <c r="N50" s="3845">
        <f>IF(K50="NA","NA",K50/Table8s2!$G$34*100)</f>
        <v>3.3415659843901322E-3</v>
      </c>
      <c r="O50" s="3839">
        <f>SUM(O51:O55)</f>
        <v>407.24793606332724</v>
      </c>
      <c r="P50" s="3839">
        <f>Summary2!E51</f>
        <v>257.61239993721381</v>
      </c>
      <c r="Q50" s="3839">
        <f t="shared" si="52"/>
        <v>-149.63553612611344</v>
      </c>
      <c r="R50" s="3839">
        <f t="shared" si="53"/>
        <v>-36.743104844819896</v>
      </c>
      <c r="S50" s="3844">
        <f>IF(Q50="NA","NA",Q50/Table8s2!$G$35*100)</f>
        <v>-2.7368706993224516E-2</v>
      </c>
      <c r="T50" s="3845">
        <f>IF(Q50="NA","NA",Q50/Table8s2!$G$34*100)</f>
        <v>-2.3325043359438684E-2</v>
      </c>
    </row>
    <row r="51" spans="2:21" ht="18" customHeight="1" x14ac:dyDescent="0.2">
      <c r="B51" s="620" t="s">
        <v>1530</v>
      </c>
      <c r="C51" s="3918"/>
      <c r="D51" s="3918"/>
      <c r="E51" s="3888"/>
      <c r="F51" s="3903"/>
      <c r="G51" s="3904"/>
      <c r="H51" s="3905"/>
      <c r="I51" s="3839">
        <v>12271.518494280415</v>
      </c>
      <c r="J51" s="3839">
        <f>Summary2!D52</f>
        <v>12292.95541124</v>
      </c>
      <c r="K51" s="3839">
        <f t="shared" ref="K51:K52" si="56">IF(J51="NO",IF(I51="NO","NA",-I51),IF(I51="NO",J51,J51-I51))</f>
        <v>21.436916959584778</v>
      </c>
      <c r="L51" s="3839">
        <f t="shared" ref="L51:L52" si="57">IF(K51="NA","NA",K51/I51*100)</f>
        <v>0.17468838081918084</v>
      </c>
      <c r="M51" s="3844">
        <f>IF(K51="NA","NA",K51/Table8s2!$G$35*100)</f>
        <v>3.9208647510741521E-3</v>
      </c>
      <c r="N51" s="3845">
        <f>IF(K51="NA","NA",K51/Table8s2!$G$34*100)</f>
        <v>3.3415659843901322E-3</v>
      </c>
      <c r="O51" s="3886"/>
      <c r="P51" s="3887"/>
      <c r="Q51" s="3940"/>
      <c r="R51" s="3941"/>
      <c r="S51" s="3942"/>
      <c r="T51" s="3943"/>
    </row>
    <row r="52" spans="2:21" ht="18" customHeight="1" x14ac:dyDescent="0.2">
      <c r="B52" s="1396" t="s">
        <v>1531</v>
      </c>
      <c r="C52" s="3918"/>
      <c r="D52" s="3918"/>
      <c r="E52" s="3888"/>
      <c r="F52" s="3903"/>
      <c r="G52" s="3904"/>
      <c r="H52" s="3905"/>
      <c r="I52" s="3849">
        <v>74.578748999999988</v>
      </c>
      <c r="J52" s="3847">
        <f>Summary2!D53</f>
        <v>74.578748999999988</v>
      </c>
      <c r="K52" s="3839">
        <f t="shared" si="56"/>
        <v>0</v>
      </c>
      <c r="L52" s="3839">
        <f t="shared" si="57"/>
        <v>0</v>
      </c>
      <c r="M52" s="3844">
        <f>IF(K52="NA","NA",K52/Table8s2!$G$35*100)</f>
        <v>0</v>
      </c>
      <c r="N52" s="3845">
        <f>IF(K52="NA","NA",K52/Table8s2!$G$34*100)</f>
        <v>0</v>
      </c>
      <c r="O52" s="3839">
        <v>90.346827360000006</v>
      </c>
      <c r="P52" s="3839">
        <f>Summary2!E53</f>
        <v>90.346827360000006</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29.670531219562221</v>
      </c>
      <c r="D53" s="3839">
        <f>Summary2!C54</f>
        <v>29.670531219562221</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3217.8432590202683</v>
      </c>
      <c r="J54" s="3847">
        <f>Summary2!D55</f>
        <v>3217.8432590202683</v>
      </c>
      <c r="K54" s="3839">
        <f t="shared" ref="K54" si="62">IF(J54="NO",IF(I54="NO","NA",-I54),IF(I54="NO",J54,J54-I54))</f>
        <v>0</v>
      </c>
      <c r="L54" s="3839">
        <f t="shared" ref="L54" si="63">IF(K54="NA","NA",K54/I54*100)</f>
        <v>0</v>
      </c>
      <c r="M54" s="3844">
        <f>IF(K54="NA","NA",K54/Table8s2!$G$35*100)</f>
        <v>0</v>
      </c>
      <c r="N54" s="3845">
        <f>IF(K54="NA","NA",K54/Table8s2!$G$34*100)</f>
        <v>0</v>
      </c>
      <c r="O54" s="3839">
        <v>316.90110870332722</v>
      </c>
      <c r="P54" s="3839">
        <f>Summary2!E55</f>
        <v>167.26557257721382</v>
      </c>
      <c r="Q54" s="3839">
        <f t="shared" ref="Q54" si="64">IF(P54="NO",IF(O54="NO","NA",-O54),IF(O54="NO",P54,P54-O54))</f>
        <v>-149.63553612611341</v>
      </c>
      <c r="R54" s="3839">
        <f t="shared" ref="R54" si="65">IF(Q54="NA","NA",Q54/O54*100)</f>
        <v>-47.218369395544606</v>
      </c>
      <c r="S54" s="3844">
        <f>IF(Q54="NA","NA",Q54/Table8s2!$G$35*100)</f>
        <v>-2.7368706993224509E-2</v>
      </c>
      <c r="T54" s="3845">
        <f>IF(Q54="NA","NA",Q54/Table8s2!$G$34*100)</f>
        <v>-2.3325043359438684E-2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11925.5122242</v>
      </c>
      <c r="D59" s="3847">
        <f>Summary2!C60</f>
        <v>11925.5122242</v>
      </c>
      <c r="E59" s="3861">
        <f t="shared" ref="E59" si="66">IF(D59="NO",IF(C59="NO","NA",-C59),IF(C59="NO",D59,D59-C59))</f>
        <v>0</v>
      </c>
      <c r="F59" s="3861">
        <f t="shared" ref="F59" si="67">IF(E59="NA","NA",E59/C59*100)</f>
        <v>0</v>
      </c>
      <c r="G59" s="3862">
        <f>IF(E59="NA","NA",E59/Table8s2!$G$35*100)</f>
        <v>0</v>
      </c>
      <c r="H59" s="3863">
        <f>IF(E59="NA","NA",E59/Table8s2!$G$34*100)</f>
        <v>0</v>
      </c>
      <c r="I59" s="3847">
        <v>7.2927227504000811</v>
      </c>
      <c r="J59" s="3847">
        <f>Summary2!D60</f>
        <v>7.2927227504000012</v>
      </c>
      <c r="K59" s="3861">
        <f t="shared" ref="K59:K61" si="68">IF(J59="NO",IF(I59="NO","NA",-I59),IF(I59="NO",J59,J59-I59))</f>
        <v>-7.9936057773011271E-14</v>
      </c>
      <c r="L59" s="3861">
        <f t="shared" ref="L59:L61" si="69">IF(K59="NA","NA",K59/I59*100)</f>
        <v>-1.0961071812119273E-12</v>
      </c>
      <c r="M59" s="3862">
        <f>IF(K59="NA","NA",K59/Table8s2!$G$35*100)</f>
        <v>-1.4620501252718279E-17</v>
      </c>
      <c r="N59" s="3863">
        <f>IF(K59="NA","NA",K59/Table8s2!$G$34*100)</f>
        <v>-1.246035575377406E-17</v>
      </c>
      <c r="O59" s="3848">
        <v>31.033000862368699</v>
      </c>
      <c r="P59" s="3847">
        <f>Summary2!E60</f>
        <v>31.033000862368421</v>
      </c>
      <c r="Q59" s="3861">
        <f t="shared" ref="Q59" si="70">IF(P59="NO",IF(O59="NO","NA",-O59),IF(O59="NO",P59,P59-O59))</f>
        <v>-2.7711166694643907E-13</v>
      </c>
      <c r="R59" s="3966">
        <f t="shared" ref="R59" si="71">IF(Q59="NA","NA",Q59/O59*100)</f>
        <v>-8.9295801000821294E-13</v>
      </c>
      <c r="S59" s="3967">
        <f>IF(Q59="NA","NA",Q59/Table8s2!$G$35*100)</f>
        <v>-5.0684404342756691E-17</v>
      </c>
      <c r="T59" s="3968">
        <f>IF(Q59="NA","NA",Q59/Table8s2!$G$34*100)</f>
        <v>-4.3195899946416743E-17</v>
      </c>
    </row>
    <row r="60" spans="2:21" ht="18" customHeight="1" x14ac:dyDescent="0.2">
      <c r="B60" s="1410" t="s">
        <v>111</v>
      </c>
      <c r="C60" s="3847">
        <v>9357.8260147199999</v>
      </c>
      <c r="D60" s="3847">
        <f>Summary2!C61</f>
        <v>9357.8260147199999</v>
      </c>
      <c r="E60" s="3861">
        <f t="shared" ref="E60:E61" si="72">IF(D60="NO",IF(C60="NO","NA",-C60),IF(C60="NO",D60,D60-C60))</f>
        <v>0</v>
      </c>
      <c r="F60" s="3861">
        <f t="shared" ref="F60:F61" si="73">IF(E60="NA","NA",E60/C60*100)</f>
        <v>0</v>
      </c>
      <c r="G60" s="3862">
        <f>IF(E60="NA","NA",E60/Table8s2!$G$35*100)</f>
        <v>0</v>
      </c>
      <c r="H60" s="3863">
        <f>IF(E60="NA","NA",E60/Table8s2!$G$34*100)</f>
        <v>0</v>
      </c>
      <c r="I60" s="3847">
        <v>0.42236760000008</v>
      </c>
      <c r="J60" s="3847">
        <f>Summary2!D61</f>
        <v>0.4223675999999999</v>
      </c>
      <c r="K60" s="3861">
        <f t="shared" si="68"/>
        <v>-8.0102591226705044E-14</v>
      </c>
      <c r="L60" s="3861">
        <f t="shared" si="69"/>
        <v>-1.8965136347269505E-11</v>
      </c>
      <c r="M60" s="3862">
        <f>IF(K60="NA","NA",K60/Table8s2!$G$35*100)</f>
        <v>-1.4650960630328106E-17</v>
      </c>
      <c r="N60" s="3863">
        <f>IF(K60="NA","NA",K60/Table8s2!$G$34*100)</f>
        <v>-1.2486314828261089E-17</v>
      </c>
      <c r="O60" s="3848">
        <v>12.4549996903687</v>
      </c>
      <c r="P60" s="3847">
        <f>Summary2!E61</f>
        <v>12.454999690368423</v>
      </c>
      <c r="Q60" s="3861">
        <f t="shared" ref="Q60:Q61" si="74">IF(P60="NO",IF(O60="NO","NA",-O60),IF(O60="NO",P60,P60-O60))</f>
        <v>-2.7711166694643907E-13</v>
      </c>
      <c r="R60" s="3966">
        <f t="shared" ref="R60:R61" si="75">IF(Q60="NA","NA",Q60/O60*100)</f>
        <v>-2.2249030416333626E-12</v>
      </c>
      <c r="S60" s="3967">
        <f>IF(Q60="NA","NA",Q60/Table8s2!$G$35*100)</f>
        <v>-5.0684404342756691E-17</v>
      </c>
      <c r="T60" s="3968">
        <f>IF(Q60="NA","NA",Q60/Table8s2!$G$34*100)</f>
        <v>-4.3195899946416743E-17</v>
      </c>
    </row>
    <row r="61" spans="2:21" ht="18" customHeight="1" x14ac:dyDescent="0.2">
      <c r="B61" s="1411" t="s">
        <v>1503</v>
      </c>
      <c r="C61" s="3847">
        <v>2567.6862094799999</v>
      </c>
      <c r="D61" s="3847">
        <f>Summary2!C62</f>
        <v>2567.6862094799999</v>
      </c>
      <c r="E61" s="3861">
        <f t="shared" si="72"/>
        <v>0</v>
      </c>
      <c r="F61" s="3861">
        <f t="shared" si="73"/>
        <v>0</v>
      </c>
      <c r="G61" s="3862">
        <f>IF(E61="NA","NA",E61/Table8s2!$G$35*100)</f>
        <v>0</v>
      </c>
      <c r="H61" s="3863">
        <f>IF(E61="NA","NA",E61/Table8s2!$G$34*100)</f>
        <v>0</v>
      </c>
      <c r="I61" s="3847">
        <v>6.8703551504</v>
      </c>
      <c r="J61" s="3847">
        <f>Summary2!D62</f>
        <v>6.8703551504000018</v>
      </c>
      <c r="K61" s="3861">
        <f t="shared" si="68"/>
        <v>1.7763568394002505E-15</v>
      </c>
      <c r="L61" s="3861">
        <f t="shared" si="69"/>
        <v>2.5855385937316924E-14</v>
      </c>
      <c r="M61" s="3862">
        <f>IF(K61="NA","NA",K61/Table8s2!$G$35*100)</f>
        <v>3.2490002783818394E-19</v>
      </c>
      <c r="N61" s="3863">
        <f>IF(K61="NA","NA",K61/Table8s2!$G$34*100)</f>
        <v>2.7689679452831242E-19</v>
      </c>
      <c r="O61" s="3848">
        <v>18.578001171999997</v>
      </c>
      <c r="P61" s="3847">
        <f>Summary2!E62</f>
        <v>18.578001172000004</v>
      </c>
      <c r="Q61" s="3861">
        <f t="shared" si="74"/>
        <v>7.1054273576010019E-15</v>
      </c>
      <c r="R61" s="3966">
        <f t="shared" si="75"/>
        <v>3.8246457688408432E-14</v>
      </c>
      <c r="S61" s="3967">
        <f>IF(Q61="NA","NA",Q61/Table8s2!$G$35*100)</f>
        <v>1.2996001113527357E-18</v>
      </c>
      <c r="T61" s="3968">
        <f>IF(Q61="NA","NA",Q61/Table8s2!$G$34*100)</f>
        <v>1.1075871781132497E-18</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19274.567221454989</v>
      </c>
      <c r="D63" s="3847">
        <f>Summary2!C64</f>
        <v>19274.567221454996</v>
      </c>
      <c r="E63" s="3861">
        <f t="shared" ref="E63:E65" si="76">IF(D63="NO",IF(C63="NO","NA",-C63),IF(C63="NO",D63,D63-C63))</f>
        <v>7.2759576141834259E-12</v>
      </c>
      <c r="F63" s="3861">
        <f t="shared" ref="F63:F65" si="77">IF(E63="NA","NA",E63/C63*100)</f>
        <v>3.7749006400955038E-14</v>
      </c>
      <c r="G63" s="3862">
        <f>IF(E63="NA","NA",E63/Table8s2!$G$35*100)</f>
        <v>1.3307905140252014E-15</v>
      </c>
      <c r="H63" s="3863">
        <f>IF(E63="NA","NA",E63/Table8s2!$G$34*100)</f>
        <v>1.1341692703879677E-15</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-263909.28414286114</v>
      </c>
      <c r="D65" s="3849">
        <f>Summary2!C66</f>
        <v>-264169.75243978453</v>
      </c>
      <c r="E65" s="3977">
        <f t="shared" si="76"/>
        <v>-260.4682969233836</v>
      </c>
      <c r="F65" s="3984">
        <f t="shared" si="77"/>
        <v>9.8696147719602459E-2</v>
      </c>
      <c r="G65" s="3985">
        <f>IF(E65="NA","NA",E65/Table8s2!$G$35*100)</f>
        <v>-4.7640291097110835E-2</v>
      </c>
      <c r="H65" s="3986">
        <f>IF(E65="NA","NA",E65/Table8s2!$G$34*100)</f>
        <v>-4.0601547445098016E-2</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4706.3765189513424</v>
      </c>
      <c r="D10" s="4019">
        <f>IF(SUM(D11:D30)=0,"NO",SUM(D11:D30))</f>
        <v>4706.3765189513433</v>
      </c>
      <c r="E10" s="4019">
        <f>IF(D10="NO",IF(C10="NO","NA",-C10),IF(C10="NO",D10,D10-C10))</f>
        <v>9.0949470177292824E-13</v>
      </c>
      <c r="F10" s="4019">
        <f>IF(E10="NA","NA",E10/C10*100)</f>
        <v>1.9324733117094051E-14</v>
      </c>
      <c r="G10" s="4020">
        <f>IF(E10="NA","NA",E10/$G$35*100)</f>
        <v>1.6634881425315018E-16</v>
      </c>
      <c r="H10" s="4021">
        <f>IF(E10="NA","NA",E10/$G$34*100)</f>
        <v>1.4177115879849596E-16</v>
      </c>
      <c r="I10" s="4022">
        <f>IF(SUM(I11:I30)=0,"NO",SUM(I11:I30))</f>
        <v>524.05752254650565</v>
      </c>
      <c r="J10" s="4022">
        <f>IF(SUM(J11:J30)=0,"NO",SUM(J11:J30))</f>
        <v>524.05752254650565</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180.50437484164183</v>
      </c>
      <c r="V10" s="4019">
        <f>IF(SUM(V11:V30)=0,"NO",SUM(V11:V30))</f>
        <v>180.50437484164183</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524.05752254650565</v>
      </c>
      <c r="J13" s="3839">
        <f>'Table2(II)'!AH41</f>
        <v>524.05752254650565</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4406.781992165339</v>
      </c>
      <c r="D21" s="3847">
        <f>'Table2(I)'!F46</f>
        <v>4406.7819921653399</v>
      </c>
      <c r="E21" s="3847">
        <f>IF(D21="NO",IF(C21="NO","NA",-C21),IF(C21="NO",D21,D21-C21))</f>
        <v>9.0949470177292824E-13</v>
      </c>
      <c r="F21" s="4016">
        <f>IF(E21="NA","NA",E21/C21*100)</f>
        <v>2.0638522699554608E-14</v>
      </c>
      <c r="G21" s="3871">
        <f>IF(E21="NA","NA",E21/$G$35*100)</f>
        <v>1.6634881425315018E-16</v>
      </c>
      <c r="H21" s="3872">
        <f>IF(E21="NA","NA",E21/$G$34*100)</f>
        <v>1.4177115879849596E-16</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56.73504502368182</v>
      </c>
      <c r="D22" s="3847">
        <f>'Table2(I)'!F47</f>
        <v>56.735045023681806</v>
      </c>
      <c r="E22" s="3847">
        <f t="shared" ref="E22:E25" si="0">IF(D22="NO",IF(C22="NO","NA",-C22),IF(C22="NO",D22,D22-C22))</f>
        <v>-1.4210854715202004E-14</v>
      </c>
      <c r="F22" s="4016">
        <f t="shared" ref="F22:F25" si="1">IF(E22="NA","NA",E22/C22*100)</f>
        <v>-2.5047754362881423E-14</v>
      </c>
      <c r="G22" s="3871">
        <f t="shared" ref="G22:G25" si="2">IF(E22="NA","NA",E22/$G$35*100)</f>
        <v>-2.5992002227054715E-18</v>
      </c>
      <c r="H22" s="3872">
        <f t="shared" ref="H22:H25" si="3">IF(E22="NA","NA",E22/$G$34*100)</f>
        <v>-2.2151743562264994E-18</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29.579953809806799</v>
      </c>
      <c r="D23" s="3847">
        <f>'Table2(I)'!F48</f>
        <v>29.579953809806796</v>
      </c>
      <c r="E23" s="3847">
        <f t="shared" si="0"/>
        <v>-3.5527136788005009E-15</v>
      </c>
      <c r="F23" s="4016">
        <f t="shared" si="1"/>
        <v>-1.201054505238156E-14</v>
      </c>
      <c r="G23" s="3871">
        <f t="shared" si="2"/>
        <v>-6.4980005567636787E-19</v>
      </c>
      <c r="H23" s="3872">
        <f t="shared" si="3"/>
        <v>-5.5379358905662485E-19</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138.57963104965549</v>
      </c>
      <c r="D24" s="3847">
        <f>'Table2(I)'!F49</f>
        <v>138.57963104965546</v>
      </c>
      <c r="E24" s="3847">
        <f t="shared" si="0"/>
        <v>-2.8421709430404007E-14</v>
      </c>
      <c r="F24" s="4016">
        <f t="shared" si="1"/>
        <v>-2.0509297950302677E-14</v>
      </c>
      <c r="G24" s="3871">
        <f t="shared" si="2"/>
        <v>-5.198400445410943E-18</v>
      </c>
      <c r="H24" s="3872">
        <f t="shared" si="3"/>
        <v>-4.4303487124529988E-18</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74.69989690285945</v>
      </c>
      <c r="D25" s="3847">
        <f>'Table2(I)'!F50</f>
        <v>74.69989690285945</v>
      </c>
      <c r="E25" s="3847">
        <f t="shared" si="0"/>
        <v>0</v>
      </c>
      <c r="F25" s="4016">
        <f t="shared" si="1"/>
        <v>0</v>
      </c>
      <c r="G25" s="3871">
        <f t="shared" si="2"/>
        <v>0</v>
      </c>
      <c r="H25" s="3872">
        <f t="shared" si="3"/>
        <v>0</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163.50792958063354</v>
      </c>
      <c r="V27" s="3847">
        <f>IFERROR('Table2(I)'!I53*23500,'Table2(I)'!I53)</f>
        <v>163.50792958063357</v>
      </c>
      <c r="W27" s="3847">
        <f>IF(V27="NO",IF(U27="NO","NA",-U27),IF(U27="NO",V27,V27-U27))</f>
        <v>2.8421709430404007E-14</v>
      </c>
      <c r="X27" s="4016">
        <f>IF(W27="NA","NA",W27/U27*100)</f>
        <v>1.7382465488554734E-14</v>
      </c>
      <c r="Y27" s="3871">
        <f>IF(W27="NA","NA",W27/$G$35*100)</f>
        <v>5.198400445410943E-18</v>
      </c>
      <c r="Z27" s="3872">
        <f>IF(W27="NA","NA",W27/$G$34*100)</f>
        <v>4.4303487124529988E-18</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16.99644526100829</v>
      </c>
      <c r="V28" s="3847">
        <f>IFERROR('Table2(I)'!I54*23500,'Table2(I)'!I54)</f>
        <v>16.996445261008269</v>
      </c>
      <c r="W28" s="3847">
        <f>IF(V28="NO",IF(U28="NO","NA",-U28),IF(U28="NO",V28,V28-U28))</f>
        <v>-2.1316282072803006E-14</v>
      </c>
      <c r="X28" s="4016">
        <f>IF(W28="NA","NA",W28/U28*100)</f>
        <v>-1.2541611934411305E-13</v>
      </c>
      <c r="Y28" s="3871">
        <f>IF(W28="NA","NA",W28/$G$35*100)</f>
        <v>-3.8988003340582069E-18</v>
      </c>
      <c r="Z28" s="3872">
        <f>IF(W28="NA","NA",W28/$G$34*100)</f>
        <v>-3.3227615343397493E-18</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646316.96654117072</v>
      </c>
      <c r="F34" s="4523"/>
      <c r="G34" s="4522">
        <f>SUM(Table8s1!D10,Table8s1!J10,Table8s1!P10,D10,J10,P10,V10,AB10)</f>
        <v>641523.0780934951</v>
      </c>
      <c r="H34" s="4523"/>
      <c r="I34" s="3839">
        <f>G34-E34</f>
        <v>-4793.8884476756211</v>
      </c>
      <c r="J34" s="4045">
        <f>IF(I34="NA","NA",I34/E34*100)</f>
        <v>-0.74172406046070405</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546816.04074529558</v>
      </c>
      <c r="F35" s="4525"/>
      <c r="G35" s="4526">
        <f>G34-SUM(Table8s1!D41,Table8s1!J41,Table8s1!P41)</f>
        <v>546739.51591194165</v>
      </c>
      <c r="H35" s="4527"/>
      <c r="I35" s="3855">
        <f>G35-E35</f>
        <v>-76.52483335393481</v>
      </c>
      <c r="J35" s="4046">
        <f>IF(I35="NA","NA",I35/E35*100)</f>
        <v>-1.3994621161740887E-2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1222113.3925321086</v>
      </c>
      <c r="D10" s="1913" t="s">
        <v>1814</v>
      </c>
      <c r="E10" s="628"/>
      <c r="F10" s="628"/>
      <c r="G10" s="628"/>
      <c r="H10" s="1847">
        <f>IF(SUM(H11:H14)=0,"NO",SUM(H11:H14))</f>
        <v>82931.239783305937</v>
      </c>
      <c r="I10" s="1847">
        <f>IF(SUM(I11:I15)=0,"NO",SUM(I11:I15))</f>
        <v>19.897530862982169</v>
      </c>
      <c r="J10" s="2192">
        <f>IF(SUM(J11:J15)=0,"NO",SUM(J11:J15))</f>
        <v>6.8052834178180852</v>
      </c>
    </row>
    <row r="11" spans="2:11" ht="18" customHeight="1" x14ac:dyDescent="0.2">
      <c r="B11" s="282" t="s">
        <v>132</v>
      </c>
      <c r="C11" s="1913">
        <f>IF(SUM(C17:C18,C21:C24,C82,C89:C92,C100)=0,"NO",SUM(C17:C18,C21:C24,C82,C89:C92,C100))</f>
        <v>1194904.4484091394</v>
      </c>
      <c r="D11" s="1909" t="s">
        <v>1814</v>
      </c>
      <c r="E11" s="1913">
        <f>IFERROR(H11*1000/$C11,"NA")</f>
        <v>68.043321147820407</v>
      </c>
      <c r="F11" s="1913">
        <f t="shared" ref="F11:G15" si="0">IFERROR(I11*1000000/$C11,"NA")</f>
        <v>16.127900852239048</v>
      </c>
      <c r="G11" s="1913">
        <f t="shared" si="0"/>
        <v>5.6794045745635593</v>
      </c>
      <c r="H11" s="1913">
        <f>IF(SUM(H17:H18,H21:H24,H82,H89:H92,H100)=0,"NO",SUM(H17:H18,H21:H24,H82,H89:H92,H100))</f>
        <v>81305.267124062273</v>
      </c>
      <c r="I11" s="1913">
        <f>IF(SUM(I17:I18,I21:I24,I82,I89:I92,I100)=0,"NO",SUM(I17:I18,I21:I24,I82,I89:I92,I100))</f>
        <v>19.271300471841986</v>
      </c>
      <c r="J11" s="3085">
        <f>IF(SUM(J17:J18,J21:J24,J82,J89:J92,J100)=0,"NO",SUM(J17:J18,J21:J24,J82,J89:J92,J100))</f>
        <v>6.7863457904612137</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18647.367797040708</v>
      </c>
      <c r="D13" s="1909" t="s">
        <v>1814</v>
      </c>
      <c r="E13" s="1913">
        <f t="shared" si="1"/>
        <v>51.411918339265007</v>
      </c>
      <c r="F13" s="1913">
        <f t="shared" si="0"/>
        <v>17.507783804880663</v>
      </c>
      <c r="G13" s="1913">
        <f t="shared" si="0"/>
        <v>0.18145390994956853</v>
      </c>
      <c r="H13" s="1913">
        <f>IF(SUM(H26,H84,H94,H102)=0,"NO",SUM(H26,H84,H94,H102))</f>
        <v>958.69695042369688</v>
      </c>
      <c r="I13" s="1913">
        <f>IF(SUM(I26,I84,I94,I102)=0,"NO",SUM(I26,I84,I94,I102))</f>
        <v>0.3264740839206825</v>
      </c>
      <c r="J13" s="3085">
        <f>IF(SUM(J26,J84,J94,J102)=0,"NO",SUM(J26,J84,J94,J102))</f>
        <v>3.3836377970407087E-3</v>
      </c>
    </row>
    <row r="14" spans="2:11" ht="18" customHeight="1" x14ac:dyDescent="0.2">
      <c r="B14" s="282" t="s">
        <v>175</v>
      </c>
      <c r="C14" s="1913">
        <f>IF(SUM(C28,C86,C96,C103)=0,"NO",SUM(C28,C86,C96,C103))</f>
        <v>7417.403940245159</v>
      </c>
      <c r="D14" s="1909" t="s">
        <v>1814</v>
      </c>
      <c r="E14" s="1913">
        <f t="shared" si="1"/>
        <v>89.960815697185211</v>
      </c>
      <c r="F14" s="1913">
        <f t="shared" si="0"/>
        <v>31.924916305983647</v>
      </c>
      <c r="G14" s="1913">
        <f t="shared" si="0"/>
        <v>0.99765363456198897</v>
      </c>
      <c r="H14" s="1913">
        <f>IF(SUM(H28,H86,H96,H103)=0,"NO",SUM(H28,H86,H96,H103))</f>
        <v>667.27570881997019</v>
      </c>
      <c r="I14" s="1913">
        <f>IF(SUM(I28,I86,I96,I103)=0,"NO",SUM(I28,I86,I96,I103))</f>
        <v>0.23680000000000004</v>
      </c>
      <c r="J14" s="3085">
        <f>IF(SUM(J28,J86,J96,J103)=0,"NO",SUM(J28,J86,J96,J103))</f>
        <v>7.4000000000000012E-3</v>
      </c>
    </row>
    <row r="15" spans="2:11" ht="18" customHeight="1" x14ac:dyDescent="0.2">
      <c r="B15" s="282" t="s">
        <v>137</v>
      </c>
      <c r="C15" s="1913">
        <f>IF(SUM(C19,C27,C85,C95,C104)=0,"NO",SUM(C19,C27,C85,C95,C104))</f>
        <v>1144.172385683509</v>
      </c>
      <c r="D15" s="1913" t="s">
        <v>1814</v>
      </c>
      <c r="E15" s="1913">
        <f t="shared" si="1"/>
        <v>67.259999999999977</v>
      </c>
      <c r="F15" s="1913">
        <f t="shared" si="0"/>
        <v>55.023445773769176</v>
      </c>
      <c r="G15" s="1913">
        <f t="shared" si="0"/>
        <v>7.1265393762852174</v>
      </c>
      <c r="H15" s="1913">
        <f>IF(SUM(H19,H27,H85,H95,H104)=0,"NO",SUM(H19,H27,H85,H95,H104))</f>
        <v>76.957034661072782</v>
      </c>
      <c r="I15" s="1913">
        <f>IF(SUM(I19,I27,I85,I95,I104)=0,"NO",SUM(I19,I27,I85,I95,I104))</f>
        <v>6.2956307219500671E-2</v>
      </c>
      <c r="J15" s="3085">
        <f>IF(SUM(J19,J27,J85,J95,J104)=0,"NO",SUM(J19,J27,J85,J95,J104))</f>
        <v>8.153989559831723E-3</v>
      </c>
    </row>
    <row r="16" spans="2:11" ht="18" customHeight="1" x14ac:dyDescent="0.2">
      <c r="B16" s="1241" t="s">
        <v>176</v>
      </c>
      <c r="C16" s="1913">
        <f>IF(SUM(C17:C19)=0,"NO",SUM(C17:C19))</f>
        <v>87933.724905651921</v>
      </c>
      <c r="D16" s="1909" t="s">
        <v>1814</v>
      </c>
      <c r="E16" s="628"/>
      <c r="F16" s="628"/>
      <c r="G16" s="628"/>
      <c r="H16" s="1913">
        <f>IF(SUM(H17:H18)=0,"NO",SUM(H17:H18))</f>
        <v>6112.7625099704674</v>
      </c>
      <c r="I16" s="1913">
        <f>IF(SUM(I17:I19)=0,"NO",SUM(I17:I19))</f>
        <v>2.9384214185206491E-2</v>
      </c>
      <c r="J16" s="3085">
        <f>IF(SUM(J17:J19)=0,"NO",SUM(J17:J19))</f>
        <v>4.8107733010932185E-2</v>
      </c>
    </row>
    <row r="17" spans="2:10" ht="18" customHeight="1" x14ac:dyDescent="0.2">
      <c r="B17" s="282" t="s">
        <v>177</v>
      </c>
      <c r="C17" s="691">
        <v>2855.67056265582</v>
      </c>
      <c r="D17" s="1909" t="s">
        <v>1814</v>
      </c>
      <c r="E17" s="1913">
        <f t="shared" ref="E17:E19" si="2">IFERROR(H17*1000/$C17,"NA")</f>
        <v>66.999999999999929</v>
      </c>
      <c r="F17" s="1913">
        <f t="shared" ref="F17:G19" si="3">IFERROR(I17*1000000/$C17,"NA")</f>
        <v>0.49999999999999944</v>
      </c>
      <c r="G17" s="1913">
        <f t="shared" si="3"/>
        <v>1.999999999999998</v>
      </c>
      <c r="H17" s="691">
        <v>191.32992769793975</v>
      </c>
      <c r="I17" s="691">
        <v>1.4278352813279084E-3</v>
      </c>
      <c r="J17" s="2911">
        <v>5.7113411253116343E-3</v>
      </c>
    </row>
    <row r="18" spans="2:10" ht="18" customHeight="1" x14ac:dyDescent="0.2">
      <c r="B18" s="282" t="s">
        <v>178</v>
      </c>
      <c r="C18" s="691">
        <v>85078.054342996096</v>
      </c>
      <c r="D18" s="1909" t="s">
        <v>1814</v>
      </c>
      <c r="E18" s="1913">
        <f t="shared" si="2"/>
        <v>69.599999999999994</v>
      </c>
      <c r="F18" s="1913">
        <f t="shared" si="3"/>
        <v>0.32859682934415912</v>
      </c>
      <c r="G18" s="1913">
        <f t="shared" si="3"/>
        <v>0.49832347734114307</v>
      </c>
      <c r="H18" s="691">
        <v>5921.4325822725277</v>
      </c>
      <c r="I18" s="691">
        <v>2.7956378903878584E-2</v>
      </c>
      <c r="J18" s="2911">
        <v>4.2396391885620555E-2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1056428.3601465442</v>
      </c>
      <c r="D20" s="1909" t="s">
        <v>1814</v>
      </c>
      <c r="E20" s="628"/>
      <c r="F20" s="628"/>
      <c r="G20" s="628"/>
      <c r="H20" s="1913">
        <f>IF(SUM(H21:H24,H26,H28)=0,"NO",SUM(H21:H24,H26,H28))</f>
        <v>71554.572541802627</v>
      </c>
      <c r="I20" s="1913">
        <f>IF(SUM(I21:I24,I26:I28)=0,"NO",SUM(I21:I24,I26:I28))</f>
        <v>15.346591931125785</v>
      </c>
      <c r="J20" s="3085">
        <f>IF(SUM(J21:J24,J26:J28)=0,"NO",SUM(J21:J24,J26:J28))</f>
        <v>5.8763532942837253</v>
      </c>
    </row>
    <row r="21" spans="2:10" ht="18" customHeight="1" x14ac:dyDescent="0.2">
      <c r="B21" s="282" t="s">
        <v>167</v>
      </c>
      <c r="C21" s="1913">
        <f>IF(SUM(C31,C41,C51,C61,C72)=0,"NO",SUM(C31,C41,C51,C61,C72))</f>
        <v>632346.09895099828</v>
      </c>
      <c r="D21" s="1909" t="s">
        <v>1814</v>
      </c>
      <c r="E21" s="1913">
        <f t="shared" ref="E21:E23" si="4">IFERROR(H21*1000/$C21,"NA")</f>
        <v>67.399999999999991</v>
      </c>
      <c r="F21" s="1913">
        <f t="shared" ref="F21:G23" si="5">IFERROR(I21*1000000/$C21,"NA")</f>
        <v>16.167538431379793</v>
      </c>
      <c r="G21" s="1913">
        <f t="shared" si="5"/>
        <v>8.1322134823198855</v>
      </c>
      <c r="H21" s="1913">
        <f>IF(SUM(H31,H41,H51,H61,H72)=0,"NO",SUM(H31,H41,H51,H61,H72))</f>
        <v>42620.127069297276</v>
      </c>
      <c r="I21" s="1913">
        <f>IF(SUM(I31,I41,I51,I61,I72)=0,"NO",SUM(I31,I41,I51,I61,I72))</f>
        <v>10.223479856723353</v>
      </c>
      <c r="J21" s="3085">
        <f>IF(SUM(J31,J41,J51,J61,J72)=0,"NO",SUM(J31,J41,J51,J61,J72))</f>
        <v>5.142373471381692</v>
      </c>
    </row>
    <row r="22" spans="2:10" ht="18" customHeight="1" x14ac:dyDescent="0.2">
      <c r="B22" s="282" t="s">
        <v>168</v>
      </c>
      <c r="C22" s="1913">
        <f t="shared" ref="C22:C29" si="6">IF(SUM(C32,C42,C52,C62,C73)=0,"NO",SUM(C32,C42,C52,C62,C73))</f>
        <v>359430.8757369325</v>
      </c>
      <c r="D22" s="1909" t="s">
        <v>1814</v>
      </c>
      <c r="E22" s="1913">
        <f t="shared" si="4"/>
        <v>69.900000000000034</v>
      </c>
      <c r="F22" s="1913">
        <f t="shared" si="5"/>
        <v>8.63164583130688</v>
      </c>
      <c r="G22" s="1913">
        <f t="shared" si="5"/>
        <v>1.6722801402489478</v>
      </c>
      <c r="H22" s="1913">
        <f t="shared" ref="H22:J29" si="7">IF(SUM(H32,H42,H52,H62,H73)=0,"NO",SUM(H32,H42,H52,H62,H73))</f>
        <v>25124.218214011595</v>
      </c>
      <c r="I22" s="1913">
        <f t="shared" si="7"/>
        <v>3.1024800201976745</v>
      </c>
      <c r="J22" s="3085">
        <f t="shared" si="7"/>
        <v>0.60106911528715956</v>
      </c>
    </row>
    <row r="23" spans="2:10" ht="18" customHeight="1" x14ac:dyDescent="0.2">
      <c r="B23" s="282" t="s">
        <v>169</v>
      </c>
      <c r="C23" s="1913">
        <f t="shared" si="6"/>
        <v>61908.999999999949</v>
      </c>
      <c r="D23" s="1909" t="s">
        <v>1814</v>
      </c>
      <c r="E23" s="1913">
        <f t="shared" si="4"/>
        <v>60.200000000000045</v>
      </c>
      <c r="F23" s="1913">
        <f t="shared" si="5"/>
        <v>28.902874200940627</v>
      </c>
      <c r="G23" s="1913">
        <f t="shared" si="5"/>
        <v>1.9893790489250025</v>
      </c>
      <c r="H23" s="1913">
        <f t="shared" si="7"/>
        <v>3726.9217999999996</v>
      </c>
      <c r="I23" s="1913">
        <f t="shared" si="7"/>
        <v>1.7893480389060317</v>
      </c>
      <c r="J23" s="3085">
        <f t="shared" si="7"/>
        <v>0.12316046753989787</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1614.6415286862771</v>
      </c>
      <c r="D26" s="1909" t="s">
        <v>1814</v>
      </c>
      <c r="E26" s="1913">
        <f t="shared" si="8"/>
        <v>51.41191833926505</v>
      </c>
      <c r="F26" s="1913">
        <f t="shared" si="9"/>
        <v>108.80688398921964</v>
      </c>
      <c r="G26" s="1913">
        <f t="shared" si="9"/>
        <v>1.0000000000000009</v>
      </c>
      <c r="H26" s="1913">
        <f t="shared" si="7"/>
        <v>83.011818420004957</v>
      </c>
      <c r="I26" s="1913">
        <f t="shared" si="7"/>
        <v>0.17568411349594401</v>
      </c>
      <c r="J26" s="3085">
        <f t="shared" si="7"/>
        <v>1.6146415286862783E-3</v>
      </c>
    </row>
    <row r="27" spans="2:10" ht="18" customHeight="1" x14ac:dyDescent="0.2">
      <c r="B27" s="282" t="s">
        <v>137</v>
      </c>
      <c r="C27" s="1913">
        <f t="shared" si="6"/>
        <v>1123.737926192623</v>
      </c>
      <c r="D27" s="1909" t="s">
        <v>1814</v>
      </c>
      <c r="E27" s="1913">
        <f t="shared" si="8"/>
        <v>67.259999999999962</v>
      </c>
      <c r="F27" s="1913">
        <f t="shared" si="9"/>
        <v>49.477641100146649</v>
      </c>
      <c r="G27" s="1913">
        <f t="shared" si="9"/>
        <v>7.239765034766104</v>
      </c>
      <c r="H27" s="1913">
        <f t="shared" si="7"/>
        <v>75.582612915715785</v>
      </c>
      <c r="I27" s="1913">
        <f t="shared" si="7"/>
        <v>5.5599901802781689E-2</v>
      </c>
      <c r="J27" s="3085">
        <f t="shared" si="7"/>
        <v>8.1355985462899256E-3</v>
      </c>
    </row>
    <row r="28" spans="2:10" ht="18" customHeight="1" x14ac:dyDescent="0.2">
      <c r="B28" s="282" t="s">
        <v>181</v>
      </c>
      <c r="C28" s="1913">
        <f>C29</f>
        <v>4.0060037346775497</v>
      </c>
      <c r="D28" s="1909" t="s">
        <v>1814</v>
      </c>
      <c r="E28" s="628"/>
      <c r="F28" s="628"/>
      <c r="G28" s="628"/>
      <c r="H28" s="1913">
        <f>H29</f>
        <v>0.29364007375186402</v>
      </c>
      <c r="I28" s="1913" t="str">
        <f>I29</f>
        <v>NE</v>
      </c>
      <c r="J28" s="3085" t="str">
        <f>J29</f>
        <v>NE</v>
      </c>
    </row>
    <row r="29" spans="2:10" ht="18" customHeight="1" x14ac:dyDescent="0.2">
      <c r="B29" s="3105" t="s">
        <v>252</v>
      </c>
      <c r="C29" s="1913">
        <f t="shared" si="6"/>
        <v>4.0060037346775497</v>
      </c>
      <c r="D29" s="1909" t="s">
        <v>1814</v>
      </c>
      <c r="E29" s="3103">
        <f t="shared" ref="E29" si="10">IFERROR(H29*1000/$C29,"NA")</f>
        <v>73.299999999999898</v>
      </c>
      <c r="F29" s="3103" t="str">
        <f>IFERROR(I29*1000000/$C29,"NA")</f>
        <v>NA</v>
      </c>
      <c r="G29" s="3103" t="str">
        <f>IFERROR(J29*1000000/$C29,"NA")</f>
        <v>NA</v>
      </c>
      <c r="H29" s="1913">
        <f t="shared" si="7"/>
        <v>0.29364007375186402</v>
      </c>
      <c r="I29" s="1913" t="str">
        <f>IF(SUM(I39,I49,I59,I69,I80)=0,"NE",SUM(I39,I49,I59,I69,I80))</f>
        <v>NE</v>
      </c>
      <c r="J29" s="3085" t="str">
        <f>IF(SUM(J39,J49,J59,J69,J80)=0,"NE",SUM(J39,J49,J59,J69,J80))</f>
        <v>NE</v>
      </c>
    </row>
    <row r="30" spans="2:10" ht="18" customHeight="1" x14ac:dyDescent="0.2">
      <c r="B30" s="1242" t="s">
        <v>182</v>
      </c>
      <c r="C30" s="1913">
        <f>IF(SUM(C31:C34,C36:C38)=0,"NO",SUM(C31:C34,C36:C38))</f>
        <v>612631.9370171224</v>
      </c>
      <c r="D30" s="1909" t="s">
        <v>1814</v>
      </c>
      <c r="E30" s="628"/>
      <c r="F30" s="628"/>
      <c r="G30" s="628"/>
      <c r="H30" s="1913">
        <f>IF(SUM(H31:H34,H36,H38)=0,"NO",SUM(H31:H34,H36,H38))</f>
        <v>40991.694659588778</v>
      </c>
      <c r="I30" s="1913">
        <f>IF(SUM(I31:I34,I36:I38)=0,"NO",SUM(I31:I34,I36:I38))</f>
        <v>10.143427647491341</v>
      </c>
      <c r="J30" s="3085">
        <f>IF(SUM(J31:J34,J36:J38)=0,"NO",SUM(J31:J34,J36:J38))</f>
        <v>4.8698319478083301</v>
      </c>
    </row>
    <row r="31" spans="2:10" ht="18" customHeight="1" x14ac:dyDescent="0.2">
      <c r="B31" s="282" t="s">
        <v>167</v>
      </c>
      <c r="C31" s="691">
        <v>532985.08340275392</v>
      </c>
      <c r="D31" s="1909" t="s">
        <v>1814</v>
      </c>
      <c r="E31" s="1913">
        <f t="shared" ref="E31:E33" si="11">IFERROR(H31*1000/$C31,"NA")</f>
        <v>67.399999999999991</v>
      </c>
      <c r="F31" s="1913">
        <f t="shared" ref="F31:G33" si="12">IFERROR(I31*1000000/$C31,"NA")</f>
        <v>16.019549924395371</v>
      </c>
      <c r="G31" s="1913">
        <f t="shared" si="12"/>
        <v>8.9039483606471101</v>
      </c>
      <c r="H31" s="691">
        <v>35923.19462134561</v>
      </c>
      <c r="I31" s="691">
        <v>8.5381811525284466</v>
      </c>
      <c r="J31" s="2911">
        <v>4.7456716596133139</v>
      </c>
    </row>
    <row r="32" spans="2:10" ht="18" customHeight="1" x14ac:dyDescent="0.2">
      <c r="B32" s="282" t="s">
        <v>168</v>
      </c>
      <c r="C32" s="691">
        <v>34056.190530772103</v>
      </c>
      <c r="D32" s="1909" t="s">
        <v>1814</v>
      </c>
      <c r="E32" s="1913">
        <f t="shared" si="11"/>
        <v>69.90000000000002</v>
      </c>
      <c r="F32" s="1913">
        <f t="shared" si="12"/>
        <v>7.6046048182094399</v>
      </c>
      <c r="G32" s="1913">
        <f t="shared" si="12"/>
        <v>0.91257239110240385</v>
      </c>
      <c r="H32" s="691">
        <v>2380.5277181009706</v>
      </c>
      <c r="I32" s="691">
        <v>0.25898387060016825</v>
      </c>
      <c r="J32" s="2911">
        <v>3.1078739224505741E-2</v>
      </c>
    </row>
    <row r="33" spans="2:10" ht="18" customHeight="1" x14ac:dyDescent="0.2">
      <c r="B33" s="282" t="s">
        <v>169</v>
      </c>
      <c r="C33" s="691">
        <v>44624.062291434901</v>
      </c>
      <c r="D33" s="1909" t="s">
        <v>1814</v>
      </c>
      <c r="E33" s="1913">
        <f t="shared" si="11"/>
        <v>60.200000000000017</v>
      </c>
      <c r="F33" s="1913">
        <f t="shared" si="12"/>
        <v>28.971707672201838</v>
      </c>
      <c r="G33" s="1913">
        <f t="shared" si="12"/>
        <v>1.9509531424129378</v>
      </c>
      <c r="H33" s="691">
        <v>2686.3685499443818</v>
      </c>
      <c r="I33" s="691">
        <v>1.2928352878535772</v>
      </c>
      <c r="J33" s="2911">
        <v>8.7059454554705609E-2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31.1945216133002</v>
      </c>
      <c r="D36" s="1909" t="s">
        <v>1814</v>
      </c>
      <c r="E36" s="1913">
        <f t="shared" si="13"/>
        <v>51.411918339264957</v>
      </c>
      <c r="F36" s="1913">
        <f t="shared" si="14"/>
        <v>260.99999999999977</v>
      </c>
      <c r="G36" s="1913">
        <f t="shared" si="14"/>
        <v>0.99999999999999922</v>
      </c>
      <c r="H36" s="691">
        <v>1.6037701978154257</v>
      </c>
      <c r="I36" s="691">
        <v>8.1417701410713451E-3</v>
      </c>
      <c r="J36" s="2911">
        <v>3.1194521613300174E-5</v>
      </c>
    </row>
    <row r="37" spans="2:10" ht="18" customHeight="1" x14ac:dyDescent="0.2">
      <c r="B37" s="282" t="s">
        <v>137</v>
      </c>
      <c r="C37" s="691">
        <v>935.40627054819902</v>
      </c>
      <c r="D37" s="1909" t="s">
        <v>1814</v>
      </c>
      <c r="E37" s="1913">
        <f t="shared" si="13"/>
        <v>67.259999999999977</v>
      </c>
      <c r="F37" s="1913">
        <f t="shared" si="14"/>
        <v>48.412724816926243</v>
      </c>
      <c r="G37" s="1913">
        <f t="shared" si="14"/>
        <v>6.4045966793448992</v>
      </c>
      <c r="H37" s="691">
        <v>62.915425757071844</v>
      </c>
      <c r="I37" s="691">
        <v>4.5285566368077221E-2</v>
      </c>
      <c r="J37" s="2911">
        <v>5.9908998941913911E-3</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173284.03554566109</v>
      </c>
      <c r="D40" s="1909" t="s">
        <v>1814</v>
      </c>
      <c r="E40" s="628"/>
      <c r="F40" s="628"/>
      <c r="G40" s="628"/>
      <c r="H40" s="1913">
        <f>IF(SUM(H41:H44,H46,H48)=0,"NO",SUM(H41:H44,H46,H48))</f>
        <v>11718.060454968638</v>
      </c>
      <c r="I40" s="1913">
        <f>IF(SUM(I41:I44,I46:I48)=0,"NO",SUM(I41:I44,I46:I48))</f>
        <v>3.0330429582666683</v>
      </c>
      <c r="J40" s="3085">
        <f>IF(SUM(J41:J44,J46:J48)=0,"NO",SUM(J41:J44,J46:J48))</f>
        <v>0.47614414003138356</v>
      </c>
    </row>
    <row r="41" spans="2:10" ht="18" customHeight="1" x14ac:dyDescent="0.2">
      <c r="B41" s="282" t="s">
        <v>167</v>
      </c>
      <c r="C41" s="691">
        <v>93130.014573202701</v>
      </c>
      <c r="D41" s="1909" t="s">
        <v>1814</v>
      </c>
      <c r="E41" s="1913">
        <f t="shared" ref="E41:E43" si="16">IFERROR(H41*1000/$C41,"NA")</f>
        <v>67.400000000000034</v>
      </c>
      <c r="F41" s="1913">
        <f t="shared" ref="F41:G43" si="17">IFERROR(I41*1000000/$C41,"NA")</f>
        <v>14.633379048635199</v>
      </c>
      <c r="G41" s="1913">
        <f t="shared" si="17"/>
        <v>4.1968002212269431</v>
      </c>
      <c r="H41" s="691">
        <v>6276.9629822338648</v>
      </c>
      <c r="I41" s="691">
        <v>1.3628068040545951</v>
      </c>
      <c r="J41" s="2911">
        <v>0.39084806576368558</v>
      </c>
    </row>
    <row r="42" spans="2:10" ht="18" customHeight="1" x14ac:dyDescent="0.2">
      <c r="B42" s="282" t="s">
        <v>168</v>
      </c>
      <c r="C42" s="691">
        <v>64699.091695284398</v>
      </c>
      <c r="D42" s="1909" t="s">
        <v>1814</v>
      </c>
      <c r="E42" s="1913">
        <f t="shared" si="16"/>
        <v>69.899999999999991</v>
      </c>
      <c r="F42" s="1913">
        <f t="shared" si="17"/>
        <v>18.240565129165201</v>
      </c>
      <c r="G42" s="1913">
        <f t="shared" si="17"/>
        <v>0.77989365200750738</v>
      </c>
      <c r="H42" s="691">
        <v>4522.4665095003784</v>
      </c>
      <c r="I42" s="691">
        <v>1.1801479958656667</v>
      </c>
      <c r="J42" s="2911">
        <v>5.0458410903803937E-2</v>
      </c>
    </row>
    <row r="43" spans="2:10" ht="18" customHeight="1" x14ac:dyDescent="0.2">
      <c r="B43" s="282" t="s">
        <v>169</v>
      </c>
      <c r="C43" s="691">
        <v>15219.008898776399</v>
      </c>
      <c r="D43" s="1909" t="s">
        <v>1814</v>
      </c>
      <c r="E43" s="1913">
        <f t="shared" si="16"/>
        <v>60.200000000000102</v>
      </c>
      <c r="F43" s="1913">
        <f t="shared" si="17"/>
        <v>30.708515211572575</v>
      </c>
      <c r="G43" s="1913">
        <f t="shared" si="17"/>
        <v>2.1450395493012056</v>
      </c>
      <c r="H43" s="691">
        <v>916.18433570634079</v>
      </c>
      <c r="I43" s="691">
        <v>0.46735316627313345</v>
      </c>
      <c r="J43" s="2911">
        <v>3.2645375989042366E-2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47.5887227531368</v>
      </c>
      <c r="D46" s="1909" t="s">
        <v>1814</v>
      </c>
      <c r="E46" s="1913">
        <f t="shared" si="18"/>
        <v>51.411918339264957</v>
      </c>
      <c r="F46" s="1913">
        <f t="shared" si="19"/>
        <v>260.99999999999977</v>
      </c>
      <c r="G46" s="1913">
        <f t="shared" si="19"/>
        <v>0.999999999999999</v>
      </c>
      <c r="H46" s="691">
        <v>2.4466275280541896</v>
      </c>
      <c r="I46" s="691">
        <v>1.2420656638568693E-2</v>
      </c>
      <c r="J46" s="2911">
        <v>4.7588722753136751E-5</v>
      </c>
    </row>
    <row r="47" spans="2:10" ht="18" customHeight="1" x14ac:dyDescent="0.2">
      <c r="B47" s="282" t="s">
        <v>137</v>
      </c>
      <c r="C47" s="691">
        <v>188.33165564442399</v>
      </c>
      <c r="D47" s="1909" t="s">
        <v>1814</v>
      </c>
      <c r="E47" s="1913">
        <f t="shared" si="18"/>
        <v>67.259999999999891</v>
      </c>
      <c r="F47" s="1913">
        <f t="shared" si="19"/>
        <v>54.766870706952488</v>
      </c>
      <c r="G47" s="1913">
        <f t="shared" si="19"/>
        <v>11.38788189781431</v>
      </c>
      <c r="H47" s="691">
        <v>12.667187158643937</v>
      </c>
      <c r="I47" s="691">
        <v>1.0314335434704468E-2</v>
      </c>
      <c r="J47" s="2911">
        <v>2.144698652098534E-3</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266354.38092999841</v>
      </c>
      <c r="D50" s="1909" t="s">
        <v>1814</v>
      </c>
      <c r="E50" s="628"/>
      <c r="F50" s="628"/>
      <c r="G50" s="628"/>
      <c r="H50" s="1913">
        <f>IF(SUM(H51:H54,H56,H58)=0,"NO",SUM(H51:H54,H56,H58))</f>
        <v>18564.544143359595</v>
      </c>
      <c r="I50" s="1913">
        <f>IF(SUM(I51:I54,I56:I58)=0,"NO",SUM(I51:I54,I56:I58))</f>
        <v>1.8898243854198851</v>
      </c>
      <c r="J50" s="3085">
        <f>IF(SUM(J51:J54,J56:J58)=0,"NO",SUM(J51:J54,J56:J58))</f>
        <v>0.5266399139113741</v>
      </c>
    </row>
    <row r="51" spans="2:10" ht="18" customHeight="1" x14ac:dyDescent="0.2">
      <c r="B51" s="282" t="s">
        <v>167</v>
      </c>
      <c r="C51" s="691">
        <v>2077.0003250138698</v>
      </c>
      <c r="D51" s="1909" t="s">
        <v>1814</v>
      </c>
      <c r="E51" s="1913">
        <f t="shared" ref="E51:E53" si="21">IFERROR(H51*1000/$C51,"NA")</f>
        <v>67.400000000000148</v>
      </c>
      <c r="F51" s="1913">
        <f t="shared" ref="F51:G53" si="22">IFERROR(I51*1000000/$C51,"NA")</f>
        <v>20.315336345524475</v>
      </c>
      <c r="G51" s="1913">
        <f t="shared" si="22"/>
        <v>1.0189952531858053</v>
      </c>
      <c r="H51" s="691">
        <v>139.98982190593512</v>
      </c>
      <c r="I51" s="691">
        <v>4.2194960192420417E-2</v>
      </c>
      <c r="J51" s="2911">
        <v>2.1164534720545078E-3</v>
      </c>
    </row>
    <row r="52" spans="2:10" ht="18" customHeight="1" x14ac:dyDescent="0.2">
      <c r="B52" s="282" t="s">
        <v>168</v>
      </c>
      <c r="C52" s="691">
        <v>260675.593510876</v>
      </c>
      <c r="D52" s="1909" t="s">
        <v>1814</v>
      </c>
      <c r="E52" s="1913">
        <f t="shared" si="21"/>
        <v>69.900000000000048</v>
      </c>
      <c r="F52" s="1913">
        <f t="shared" si="22"/>
        <v>6.3809125025064573</v>
      </c>
      <c r="G52" s="1913">
        <f t="shared" si="22"/>
        <v>1.9930211269939002</v>
      </c>
      <c r="H52" s="691">
        <v>18221.223986410245</v>
      </c>
      <c r="I52" s="691">
        <v>1.6633481537318398</v>
      </c>
      <c r="J52" s="2911">
        <v>0.51953196515884992</v>
      </c>
    </row>
    <row r="53" spans="2:10" ht="18" customHeight="1" x14ac:dyDescent="0.2">
      <c r="B53" s="282" t="s">
        <v>169</v>
      </c>
      <c r="C53" s="691">
        <v>2065.9288097886497</v>
      </c>
      <c r="D53" s="1909" t="s">
        <v>1814</v>
      </c>
      <c r="E53" s="1913">
        <f t="shared" si="21"/>
        <v>60.200000000000124</v>
      </c>
      <c r="F53" s="1913">
        <f t="shared" si="22"/>
        <v>14.114515776709711</v>
      </c>
      <c r="G53" s="1913">
        <f t="shared" si="22"/>
        <v>1.6726796101475661</v>
      </c>
      <c r="H53" s="691">
        <v>124.36891434927696</v>
      </c>
      <c r="I53" s="691">
        <v>2.9159584779321013E-2</v>
      </c>
      <c r="J53" s="2911">
        <v>3.4556369961499037E-3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1535.8582843198401</v>
      </c>
      <c r="D56" s="1909" t="s">
        <v>1814</v>
      </c>
      <c r="E56" s="1913">
        <f t="shared" si="23"/>
        <v>51.411918339265057</v>
      </c>
      <c r="F56" s="1913">
        <f t="shared" si="24"/>
        <v>101.00000000000007</v>
      </c>
      <c r="G56" s="1913">
        <f t="shared" si="24"/>
        <v>1.0000000000000009</v>
      </c>
      <c r="H56" s="691">
        <v>78.961420694135342</v>
      </c>
      <c r="I56" s="691">
        <v>0.15512168671630397</v>
      </c>
      <c r="J56" s="2911">
        <v>1.5358582843198415E-3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4158.006653762427</v>
      </c>
      <c r="D60" s="1909" t="s">
        <v>1814</v>
      </c>
      <c r="E60" s="628"/>
      <c r="F60" s="628"/>
      <c r="G60" s="628"/>
      <c r="H60" s="1913">
        <f>IF(SUM(H61:H64,H66,H68)=0,"NO",SUM(H61:H64,H66,H68))</f>
        <v>280.27328388562211</v>
      </c>
      <c r="I60" s="1913">
        <f>IF(SUM(I61:I64,I66:I68)=0,"NO",SUM(I61:I64,I66:I68))</f>
        <v>0.28029693994789123</v>
      </c>
      <c r="J60" s="3085">
        <f>IF(SUM(J61:J64,J66:J68)=0,"NO",SUM(J61:J64,J66:J68))</f>
        <v>3.7372925326385493E-3</v>
      </c>
    </row>
    <row r="61" spans="2:10" ht="18" customHeight="1" x14ac:dyDescent="0.2">
      <c r="B61" s="282" t="s">
        <v>167</v>
      </c>
      <c r="C61" s="691">
        <v>4154.0006500277495</v>
      </c>
      <c r="D61" s="1909" t="s">
        <v>1814</v>
      </c>
      <c r="E61" s="1913">
        <f t="shared" ref="E61:E63" si="26">IFERROR(H61*1000/$C61,"NA")</f>
        <v>67.399999999999977</v>
      </c>
      <c r="F61" s="1913">
        <f t="shared" ref="F61:G63" si="27">IFERROR(I61*1000000/$C61,"NA")</f>
        <v>67.476383265856924</v>
      </c>
      <c r="G61" s="1913">
        <f t="shared" si="27"/>
        <v>0.89968511021142561</v>
      </c>
      <c r="H61" s="691">
        <v>279.97964381187023</v>
      </c>
      <c r="I61" s="691">
        <v>0.28029693994789123</v>
      </c>
      <c r="J61" s="2911">
        <v>3.7372925326385493E-3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4.0060037346775497</v>
      </c>
      <c r="D68" s="1909" t="s">
        <v>1814</v>
      </c>
      <c r="E68" s="628"/>
      <c r="F68" s="628"/>
      <c r="G68" s="628"/>
      <c r="H68" s="1913">
        <f>H69</f>
        <v>0.29364007375186402</v>
      </c>
      <c r="I68" s="1913" t="str">
        <f>I69</f>
        <v>NE</v>
      </c>
      <c r="J68" s="3085" t="str">
        <f>J69</f>
        <v>NE</v>
      </c>
    </row>
    <row r="69" spans="2:10" ht="18" customHeight="1" x14ac:dyDescent="0.2">
      <c r="B69" s="3105" t="s">
        <v>252</v>
      </c>
      <c r="C69" s="691">
        <v>4.0060037346775497</v>
      </c>
      <c r="D69" s="1909" t="s">
        <v>1814</v>
      </c>
      <c r="E69" s="3103">
        <f t="shared" ref="E69" si="30">IFERROR(H69*1000/$C69,"NA")</f>
        <v>73.299999999999898</v>
      </c>
      <c r="F69" s="3103" t="str">
        <f>IFERROR(I69*1000000/$C69,"NA")</f>
        <v>NA</v>
      </c>
      <c r="G69" s="3103" t="str">
        <f>IFERROR(J69*1000000/$C69,"NA")</f>
        <v>NA</v>
      </c>
      <c r="H69" s="691">
        <v>0.29364007375186402</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27790.742633847698</v>
      </c>
      <c r="D81" s="1909" t="s">
        <v>1814</v>
      </c>
      <c r="E81" s="628"/>
      <c r="F81" s="628"/>
      <c r="G81" s="628"/>
      <c r="H81" s="1913">
        <f>IF(SUM(H82:H84,H86)=0,"NO",SUM(H82:H84,H86))</f>
        <v>1942.572910105951</v>
      </c>
      <c r="I81" s="1913">
        <f>IF(SUM(I82:I86)=0,"NO",SUM(I82:I86))</f>
        <v>0.11116297053539062</v>
      </c>
      <c r="J81" s="3085">
        <f>IF(SUM(J82:J86)=0,"NO",SUM(J82:J86))</f>
        <v>0.8337222790154295</v>
      </c>
    </row>
    <row r="82" spans="2:10" ht="18" customHeight="1" x14ac:dyDescent="0.2">
      <c r="B82" s="282" t="s">
        <v>132</v>
      </c>
      <c r="C82" s="691">
        <v>27790.742633847698</v>
      </c>
      <c r="D82" s="1909" t="s">
        <v>1814</v>
      </c>
      <c r="E82" s="1913">
        <f t="shared" ref="E82:E85" si="36">IFERROR(H82*1000/$C82,"NA")</f>
        <v>69.899999999999892</v>
      </c>
      <c r="F82" s="1913">
        <f t="shared" ref="F82:G85" si="37">IFERROR(I82*1000000/$C82,"NA")</f>
        <v>3.9999999999999938</v>
      </c>
      <c r="G82" s="1913">
        <f t="shared" si="37"/>
        <v>29.99999999999995</v>
      </c>
      <c r="H82" s="691">
        <v>1942.572910105951</v>
      </c>
      <c r="I82" s="691">
        <v>0.11116297053539062</v>
      </c>
      <c r="J82" s="2911">
        <v>0.8337222790154295</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32318.777621571935</v>
      </c>
      <c r="D88" s="1909" t="s">
        <v>1814</v>
      </c>
      <c r="E88" s="628"/>
      <c r="F88" s="628"/>
      <c r="G88" s="628"/>
      <c r="H88" s="1913">
        <f>IF(SUM(H89:H92,H94,H96)=0,"NO",SUM(H89:H92,H94,H96))</f>
        <v>2404.2462176994959</v>
      </c>
      <c r="I88" s="3334">
        <f>IF(SUM(I89:I92,I94:I96)=0,"NE",SUM(I89:I92,I94:I96))</f>
        <v>4.2440827232357092</v>
      </c>
      <c r="J88" s="3335">
        <f>IF(SUM(J89:J92,J94:J96)=0,"NE",SUM(J89:J92,J94:J96))</f>
        <v>4.5271714126915233E-2</v>
      </c>
    </row>
    <row r="89" spans="2:10" ht="18" customHeight="1" x14ac:dyDescent="0.2">
      <c r="B89" s="282" t="s">
        <v>190</v>
      </c>
      <c r="C89" s="691">
        <v>7051.4977518000005</v>
      </c>
      <c r="D89" s="1909" t="s">
        <v>1814</v>
      </c>
      <c r="E89" s="1913">
        <f t="shared" ref="E89:E91" si="39">IFERROR(H89*1000/$C89,"NA")</f>
        <v>73.59999999999998</v>
      </c>
      <c r="F89" s="1913">
        <f t="shared" ref="F89:G91" si="40">IFERROR(I89*1000000/$C89,"NA")</f>
        <v>7.0000000000000009</v>
      </c>
      <c r="G89" s="1913">
        <f t="shared" si="40"/>
        <v>2</v>
      </c>
      <c r="H89" s="691">
        <v>518.99023453247992</v>
      </c>
      <c r="I89" s="3336">
        <v>4.9360484262600007E-2</v>
      </c>
      <c r="J89" s="3337">
        <v>1.41029955036E-2</v>
      </c>
    </row>
    <row r="90" spans="2:10" ht="18" customHeight="1" x14ac:dyDescent="0.2">
      <c r="B90" s="282" t="s">
        <v>191</v>
      </c>
      <c r="C90" s="691">
        <v>6983.7327695098793</v>
      </c>
      <c r="D90" s="1909" t="s">
        <v>1814</v>
      </c>
      <c r="E90" s="1913">
        <f t="shared" si="39"/>
        <v>69.900000000000034</v>
      </c>
      <c r="F90" s="1913">
        <f t="shared" si="40"/>
        <v>7.0000000000000018</v>
      </c>
      <c r="G90" s="1913">
        <f t="shared" si="40"/>
        <v>2.0000000000000004</v>
      </c>
      <c r="H90" s="691">
        <v>488.1629205887408</v>
      </c>
      <c r="I90" s="3336">
        <v>4.8886129386569173E-2</v>
      </c>
      <c r="J90" s="3337">
        <v>1.3967465539019763E-2</v>
      </c>
    </row>
    <row r="91" spans="2:10" ht="18" customHeight="1" x14ac:dyDescent="0.2">
      <c r="B91" s="282" t="s">
        <v>167</v>
      </c>
      <c r="C91" s="691">
        <v>10789.873790920699</v>
      </c>
      <c r="D91" s="1909" t="s">
        <v>1814</v>
      </c>
      <c r="E91" s="1913">
        <f t="shared" si="39"/>
        <v>67.399999999999821</v>
      </c>
      <c r="F91" s="1913">
        <f t="shared" si="40"/>
        <v>359.99999999999909</v>
      </c>
      <c r="G91" s="1913">
        <f t="shared" si="40"/>
        <v>0.89999999999999758</v>
      </c>
      <c r="H91" s="691">
        <v>727.23749350805326</v>
      </c>
      <c r="I91" s="3336">
        <v>3.8843545647314417</v>
      </c>
      <c r="J91" s="3337">
        <v>9.7108864118286044E-3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73.0262683544304</v>
      </c>
      <c r="D94" s="1909" t="s">
        <v>1814</v>
      </c>
      <c r="E94" s="1913">
        <f t="shared" ref="E94:E95" si="43">IFERROR(H94*1000/$C94,"NA")</f>
        <v>51.411918339264993</v>
      </c>
      <c r="F94" s="1913">
        <f t="shared" si="42"/>
        <v>243</v>
      </c>
      <c r="G94" s="1913">
        <f t="shared" si="42"/>
        <v>1</v>
      </c>
      <c r="H94" s="691">
        <v>3.7544205452592272</v>
      </c>
      <c r="I94" s="3336">
        <v>1.7745383210126586E-2</v>
      </c>
      <c r="J94" s="3337">
        <v>7.3026268354430395E-5</v>
      </c>
    </row>
    <row r="95" spans="2:10" ht="18" customHeight="1" x14ac:dyDescent="0.2">
      <c r="B95" s="282" t="s">
        <v>137</v>
      </c>
      <c r="C95" s="691">
        <v>19.2671156804772</v>
      </c>
      <c r="D95" s="1909" t="s">
        <v>1814</v>
      </c>
      <c r="E95" s="1913">
        <f t="shared" si="43"/>
        <v>67.260000000000076</v>
      </c>
      <c r="F95" s="1913">
        <f t="shared" si="42"/>
        <v>360.0000000000004</v>
      </c>
      <c r="G95" s="1913">
        <f t="shared" si="42"/>
        <v>0.90000000000000102</v>
      </c>
      <c r="H95" s="691">
        <v>1.2959062006688979</v>
      </c>
      <c r="I95" s="3336">
        <v>6.9361616449717996E-3</v>
      </c>
      <c r="J95" s="3337">
        <v>1.73404041124295E-5</v>
      </c>
    </row>
    <row r="96" spans="2:10" ht="18" customHeight="1" x14ac:dyDescent="0.2">
      <c r="B96" s="282" t="s">
        <v>183</v>
      </c>
      <c r="C96" s="1913">
        <f>IF(SUM(C97:C98)=0,"NO",SUM(C97:C98))</f>
        <v>7401.379925306449</v>
      </c>
      <c r="D96" s="1909" t="s">
        <v>1814</v>
      </c>
      <c r="E96" s="628"/>
      <c r="F96" s="628"/>
      <c r="G96" s="628"/>
      <c r="H96" s="1913">
        <f>IF(SUM(H97:H98)=0,"NO",SUM(H97:H98))</f>
        <v>666.10114852496281</v>
      </c>
      <c r="I96" s="3334">
        <f>IF(SUM(I97:I98)=0,"NE",SUM(I97:I98))</f>
        <v>0.23680000000000004</v>
      </c>
      <c r="J96" s="3335">
        <f>IF(SUM(J97:J98)=0,"NE",SUM(J97:J98))</f>
        <v>7.4000000000000012E-3</v>
      </c>
    </row>
    <row r="97" spans="2:10" ht="18" customHeight="1" x14ac:dyDescent="0.2">
      <c r="B97" s="2572" t="s">
        <v>2260</v>
      </c>
      <c r="C97" s="691">
        <v>7400</v>
      </c>
      <c r="D97" s="1909" t="s">
        <v>1814</v>
      </c>
      <c r="E97" s="3103">
        <f t="shared" ref="E97" si="44">IFERROR(H97*1000/$C97,"NA")</f>
        <v>90.000000000000014</v>
      </c>
      <c r="F97" s="3103">
        <f>IFERROR(I97*1000000/$C97,"NA")</f>
        <v>32.000000000000007</v>
      </c>
      <c r="G97" s="3103">
        <f>IFERROR(J97*1000000/$C97,"NA")</f>
        <v>1.0000000000000002</v>
      </c>
      <c r="H97" s="691">
        <v>666.00000000000011</v>
      </c>
      <c r="I97" s="3336">
        <v>0.23680000000000004</v>
      </c>
      <c r="J97" s="3337">
        <v>7.4000000000000012E-3</v>
      </c>
    </row>
    <row r="98" spans="2:10" ht="18" customHeight="1" x14ac:dyDescent="0.2">
      <c r="B98" s="2572" t="s">
        <v>252</v>
      </c>
      <c r="C98" s="691">
        <v>1.3799253064490999</v>
      </c>
      <c r="D98" s="1909" t="s">
        <v>1814</v>
      </c>
      <c r="E98" s="3103">
        <f t="shared" ref="E98" si="45">IFERROR(H98*1000/$C98,"NA")</f>
        <v>73.299999999999983</v>
      </c>
      <c r="F98" s="3103" t="str">
        <f>IFERROR(I98*1000000/$C98,"NA")</f>
        <v>NA</v>
      </c>
      <c r="G98" s="3103" t="str">
        <f>IFERROR(J98*1000000/$C98,"NA")</f>
        <v>NA</v>
      </c>
      <c r="H98" s="691">
        <v>0.10114852496271901</v>
      </c>
      <c r="I98" s="3336" t="s">
        <v>2154</v>
      </c>
      <c r="J98" s="3337" t="s">
        <v>2154</v>
      </c>
    </row>
    <row r="99" spans="2:10" ht="18" customHeight="1" x14ac:dyDescent="0.2">
      <c r="B99" s="1241" t="s">
        <v>193</v>
      </c>
      <c r="C99" s="1913">
        <f>IF(SUM(C100:C104)=0,"NO",SUM(C100:C104))</f>
        <v>17641.787224492811</v>
      </c>
      <c r="D99" s="1909" t="s">
        <v>1814</v>
      </c>
      <c r="E99" s="628"/>
      <c r="F99" s="628"/>
      <c r="G99" s="628"/>
      <c r="H99" s="1913">
        <f>IF(SUM(H100:H103)=0,"NO",SUM(H100:H103))</f>
        <v>917.08560372737861</v>
      </c>
      <c r="I99" s="1913">
        <f>IF(SUM(I100:I104)=0,"NO",SUM(I100:I104))</f>
        <v>0.1663090239000759</v>
      </c>
      <c r="J99" s="3085">
        <f>IF(SUM(J100:J104)=0,"NO",SUM(J100:J104))</f>
        <v>1.8283973810842354E-3</v>
      </c>
    </row>
    <row r="100" spans="2:10" ht="18" customHeight="1" x14ac:dyDescent="0.2">
      <c r="B100" s="282" t="s">
        <v>132</v>
      </c>
      <c r="C100" s="1913">
        <f>IF(SUM(C106,C113:C116)=0,"NO",SUM(C106,C113:C116))</f>
        <v>668.90186947836912</v>
      </c>
      <c r="D100" s="1909" t="s">
        <v>1814</v>
      </c>
      <c r="E100" s="3103">
        <f t="shared" ref="E100:E104" si="46">IFERROR(H100*1000/$C100,"NA")</f>
        <v>66.189039181810827</v>
      </c>
      <c r="F100" s="3103">
        <f t="shared" ref="F100:G104" si="47">IFERROR(I100*1000000/$C100,"NA")</f>
        <v>49.101661114102974</v>
      </c>
      <c r="G100" s="3103">
        <f t="shared" si="47"/>
        <v>0.19640664445641193</v>
      </c>
      <c r="H100" s="1913">
        <f>IF(SUM(H106,H113:H116)=0,"NO",SUM(H106,H113:H116))</f>
        <v>44.273972047690286</v>
      </c>
      <c r="I100" s="1913">
        <f>IF(SUM(I106,I113:I116)=0,"NO",SUM(I106,I113:I116))</f>
        <v>3.2844192913716819E-2</v>
      </c>
      <c r="J100" s="3085">
        <f>IF(SUM(J106,J113:J116)=0,"NO",SUM(J106,J113:J116))</f>
        <v>1.3137677165486731E-4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16959.7</v>
      </c>
      <c r="D102" s="1909" t="s">
        <v>1814</v>
      </c>
      <c r="E102" s="3103">
        <f t="shared" si="46"/>
        <v>51.411918339265007</v>
      </c>
      <c r="F102" s="3103">
        <f t="shared" si="47"/>
        <v>7.84474885844749</v>
      </c>
      <c r="G102" s="3103">
        <f t="shared" si="47"/>
        <v>0.1</v>
      </c>
      <c r="H102" s="1913">
        <f t="shared" si="48"/>
        <v>871.93071145843271</v>
      </c>
      <c r="I102" s="1913">
        <f t="shared" si="48"/>
        <v>0.1330445872146119</v>
      </c>
      <c r="J102" s="3085">
        <f t="shared" si="48"/>
        <v>1.6959700000000002E-3</v>
      </c>
    </row>
    <row r="103" spans="2:10" ht="18" customHeight="1" x14ac:dyDescent="0.2">
      <c r="B103" s="282" t="s">
        <v>175</v>
      </c>
      <c r="C103" s="1913">
        <f>IF(SUM(C109,C120)=0,"NO",SUM(C109,C120))</f>
        <v>12.0180112040326</v>
      </c>
      <c r="D103" s="1909" t="s">
        <v>1814</v>
      </c>
      <c r="E103" s="3103">
        <f t="shared" si="46"/>
        <v>73.30000000000021</v>
      </c>
      <c r="F103" s="3103" t="str">
        <f t="shared" si="47"/>
        <v>NA</v>
      </c>
      <c r="G103" s="3103" t="str">
        <f t="shared" si="47"/>
        <v>NA</v>
      </c>
      <c r="H103" s="1913">
        <f t="shared" si="48"/>
        <v>0.88092022125559222</v>
      </c>
      <c r="I103" s="1913" t="str">
        <f t="shared" si="48"/>
        <v>NO</v>
      </c>
      <c r="J103" s="3085" t="str">
        <f t="shared" si="48"/>
        <v>NO</v>
      </c>
    </row>
    <row r="104" spans="2:10" ht="18" customHeight="1" x14ac:dyDescent="0.2">
      <c r="B104" s="282" t="s">
        <v>137</v>
      </c>
      <c r="C104" s="1913">
        <f>IF(SUM(C110,C121)=0,"NO",SUM(C110,C121))</f>
        <v>1.1673438104088201</v>
      </c>
      <c r="D104" s="1909" t="s">
        <v>1814</v>
      </c>
      <c r="E104" s="3103">
        <f t="shared" si="46"/>
        <v>67.260000000000048</v>
      </c>
      <c r="F104" s="3103">
        <f t="shared" si="47"/>
        <v>360.00000000000023</v>
      </c>
      <c r="G104" s="3103">
        <f t="shared" si="47"/>
        <v>0.90000000000000069</v>
      </c>
      <c r="H104" s="1913">
        <f t="shared" si="48"/>
        <v>7.8515544688097294E-2</v>
      </c>
      <c r="I104" s="1913">
        <f t="shared" si="48"/>
        <v>4.2024377174717549E-4</v>
      </c>
      <c r="J104" s="3085">
        <f t="shared" si="48"/>
        <v>1.0506094293679388E-6</v>
      </c>
    </row>
    <row r="105" spans="2:10" ht="18" customHeight="1" x14ac:dyDescent="0.2">
      <c r="B105" s="1244" t="s">
        <v>194</v>
      </c>
      <c r="C105" s="1913">
        <f>IF(SUM(C106:C110)=0,"NO",SUM(C106:C110))</f>
        <v>16959.7</v>
      </c>
      <c r="D105" s="1909" t="s">
        <v>1814</v>
      </c>
      <c r="E105" s="628"/>
      <c r="F105" s="628"/>
      <c r="G105" s="628"/>
      <c r="H105" s="1913">
        <f>IF(SUM(H106:H109)=0,"NO",SUM(H106:H109))</f>
        <v>871.93071145843271</v>
      </c>
      <c r="I105" s="1913">
        <f>IF(SUM(I106:I110)=0,"NO",SUM(I106:I110))</f>
        <v>0.1330445872146119</v>
      </c>
      <c r="J105" s="3085">
        <f>IF(SUM(J106:J110)=0,"NO",SUM(J106:J110))</f>
        <v>1.6959700000000002E-3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16959.7</v>
      </c>
      <c r="D108" s="1909" t="s">
        <v>1814</v>
      </c>
      <c r="E108" s="3103">
        <f t="shared" si="49"/>
        <v>51.411918339265007</v>
      </c>
      <c r="F108" s="3103">
        <f t="shared" si="50"/>
        <v>7.84474885844749</v>
      </c>
      <c r="G108" s="3103">
        <f t="shared" si="50"/>
        <v>0.1</v>
      </c>
      <c r="H108" s="691">
        <v>871.93071145843271</v>
      </c>
      <c r="I108" s="691">
        <v>0.1330445872146119</v>
      </c>
      <c r="J108" s="2911">
        <v>1.6959700000000002E-3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682.08722449281061</v>
      </c>
      <c r="D111" s="1909" t="s">
        <v>1814</v>
      </c>
      <c r="E111" s="628"/>
      <c r="F111" s="628"/>
      <c r="G111" s="628"/>
      <c r="H111" s="1913">
        <f>H112</f>
        <v>45.154892268945879</v>
      </c>
      <c r="I111" s="1913">
        <f>I112</f>
        <v>3.3264436685463993E-2</v>
      </c>
      <c r="J111" s="3085">
        <f>J112</f>
        <v>1.3242738108423525E-4</v>
      </c>
    </row>
    <row r="112" spans="2:10" ht="18" customHeight="1" x14ac:dyDescent="0.2">
      <c r="B112" s="3089" t="s">
        <v>2148</v>
      </c>
      <c r="C112" s="3099">
        <f>IF(SUM(C113:C116,C118:C121)=0,"NO",SUM(C113:C116,C118:C121))</f>
        <v>682.08722449281061</v>
      </c>
      <c r="D112" s="3099" t="s">
        <v>1814</v>
      </c>
      <c r="E112" s="628"/>
      <c r="F112" s="628"/>
      <c r="G112" s="628"/>
      <c r="H112" s="3099">
        <f>IF(SUM(H113:H116,H118:H120)=0,"NO",SUM(H113:H116,H118:H120))</f>
        <v>45.154892268945879</v>
      </c>
      <c r="I112" s="3099">
        <f>IF(SUM(I113:I116,I118:I121)=0,"NO",SUM(I113:I116,I118:I121))</f>
        <v>3.3264436685463993E-2</v>
      </c>
      <c r="J112" s="3100">
        <f>IF(SUM(J113:J116,J118:J121)=0,"NO",SUM(J113:J116,J118:J121))</f>
        <v>1.3242738108423525E-4</v>
      </c>
    </row>
    <row r="113" spans="2:10" ht="18" customHeight="1" x14ac:dyDescent="0.2">
      <c r="B113" s="282" t="s">
        <v>167</v>
      </c>
      <c r="C113" s="691">
        <v>668.90186947836912</v>
      </c>
      <c r="D113" s="1913" t="s">
        <v>1814</v>
      </c>
      <c r="E113" s="1913">
        <f t="shared" ref="E113:E115" si="51">IFERROR(H113*1000/$C113,"NA")</f>
        <v>66.189039181810827</v>
      </c>
      <c r="F113" s="1913">
        <f t="shared" ref="F113:G115" si="52">IFERROR(I113*1000000/$C113,"NA")</f>
        <v>49.101661114102974</v>
      </c>
      <c r="G113" s="1913">
        <f t="shared" si="52"/>
        <v>0.19640664445641193</v>
      </c>
      <c r="H113" s="691">
        <v>44.273972047690286</v>
      </c>
      <c r="I113" s="691">
        <v>3.2844192913716819E-2</v>
      </c>
      <c r="J113" s="2911">
        <v>1.3137677165486731E-4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12.0180112040326</v>
      </c>
      <c r="D120" s="1909" t="s">
        <v>1814</v>
      </c>
      <c r="E120" s="3103">
        <f t="shared" si="53"/>
        <v>73.30000000000021</v>
      </c>
      <c r="F120" s="3103" t="str">
        <f t="shared" si="54"/>
        <v>NA</v>
      </c>
      <c r="G120" s="3103" t="str">
        <f t="shared" si="54"/>
        <v>NA</v>
      </c>
      <c r="H120" s="691">
        <v>0.88092022125559222</v>
      </c>
      <c r="I120" s="691" t="s">
        <v>2154</v>
      </c>
      <c r="J120" s="2911" t="s">
        <v>2154</v>
      </c>
    </row>
    <row r="121" spans="2:10" ht="18" customHeight="1" thickBot="1" x14ac:dyDescent="0.25">
      <c r="B121" s="2185" t="s">
        <v>137</v>
      </c>
      <c r="C121" s="1559">
        <v>1.1673438104088201</v>
      </c>
      <c r="D121" s="2880" t="s">
        <v>1814</v>
      </c>
      <c r="E121" s="3104">
        <f t="shared" si="53"/>
        <v>67.260000000000048</v>
      </c>
      <c r="F121" s="3104">
        <f t="shared" si="54"/>
        <v>360.00000000000023</v>
      </c>
      <c r="G121" s="3104">
        <f t="shared" si="54"/>
        <v>0.90000000000000069</v>
      </c>
      <c r="H121" s="1559">
        <v>7.8515544688097294E-2</v>
      </c>
      <c r="I121" s="1559">
        <v>4.2024377174717549E-4</v>
      </c>
      <c r="J121" s="1561">
        <v>1.0506094293679388E-6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381010.96440413425</v>
      </c>
      <c r="D10" s="3109" t="s">
        <v>1814</v>
      </c>
      <c r="E10" s="2135"/>
      <c r="F10" s="2135"/>
      <c r="G10" s="2135"/>
      <c r="H10" s="3109">
        <f>IF(SUM(H11:H15)=0,"NO",SUM(H11:H15))</f>
        <v>18698.626608088591</v>
      </c>
      <c r="I10" s="3109">
        <f>IF(SUM(I11:I16)=0,"NO",SUM(I11:I16))</f>
        <v>47.397092365394315</v>
      </c>
      <c r="J10" s="3109">
        <f>IF(SUM(J11:J16)=0,"NO",SUM(J11:J16))</f>
        <v>0.64962709765742366</v>
      </c>
      <c r="K10" s="420" t="str">
        <f>IF(SUM(K11:K16)=0,"NO",SUM(K11:K16))</f>
        <v>NO</v>
      </c>
    </row>
    <row r="11" spans="2:12" ht="18" customHeight="1" x14ac:dyDescent="0.2">
      <c r="B11" s="282" t="s">
        <v>132</v>
      </c>
      <c r="C11" s="1913">
        <f>IF(SUM(C18,C39,C60)=0,"NO",SUM(C18,C39,C60))</f>
        <v>135887.23093153609</v>
      </c>
      <c r="D11" s="3109" t="s">
        <v>1814</v>
      </c>
      <c r="E11" s="1913">
        <f t="shared" ref="E11:E16" si="0">IFERROR(H11*1000/$C11,"NA")</f>
        <v>68.462288064425636</v>
      </c>
      <c r="F11" s="1913">
        <f t="shared" ref="F11:G16" si="1">IFERROR(I11*1000000/$C11,"NA")</f>
        <v>9.6520672582214324</v>
      </c>
      <c r="G11" s="1913">
        <f t="shared" si="1"/>
        <v>2.6819830782817218</v>
      </c>
      <c r="H11" s="1913">
        <f>IF(SUM(H18,H39,H60)=0,"NO",SUM(H18,H39,H60))</f>
        <v>9303.1507483119531</v>
      </c>
      <c r="I11" s="1913">
        <f>IF(SUM(I18,I39,I60)=0,"NO",SUM(I18,I39,I60))</f>
        <v>1.3115926924846542</v>
      </c>
      <c r="J11" s="1913">
        <f>IF(SUM(J18,J39,J60)=0,"NO",SUM(J18,J39,J60))</f>
        <v>0.36444725391294042</v>
      </c>
      <c r="K11" s="3085" t="str">
        <f>IF(SUM(K18,K39,K60)=0,"NO",SUM(K18,K39,K60))</f>
        <v>NO</v>
      </c>
    </row>
    <row r="12" spans="2:12" ht="18" customHeight="1" x14ac:dyDescent="0.2">
      <c r="B12" s="282" t="s">
        <v>133</v>
      </c>
      <c r="C12" s="1913">
        <f t="shared" ref="C12:C16" si="2">IF(SUM(C19,C40,C61)=0,"NO",SUM(C19,C40,C61))</f>
        <v>2081.7599999999998</v>
      </c>
      <c r="D12" s="3109" t="s">
        <v>1814</v>
      </c>
      <c r="E12" s="1913">
        <f t="shared" si="0"/>
        <v>92.766385174083467</v>
      </c>
      <c r="F12" s="1913">
        <f t="shared" si="1"/>
        <v>0.95238095238095244</v>
      </c>
      <c r="G12" s="1913">
        <f t="shared" si="1"/>
        <v>0.66666666666666685</v>
      </c>
      <c r="H12" s="1913">
        <f t="shared" ref="H12:K16" si="3">IF(SUM(H19,H40,H61)=0,"NO",SUM(H19,H40,H61))</f>
        <v>193.11734999999999</v>
      </c>
      <c r="I12" s="1913">
        <f t="shared" si="3"/>
        <v>1.9826285714285713E-3</v>
      </c>
      <c r="J12" s="1913">
        <f t="shared" si="3"/>
        <v>1.3878400000000002E-3</v>
      </c>
      <c r="K12" s="3085" t="str">
        <f t="shared" si="3"/>
        <v>NO</v>
      </c>
    </row>
    <row r="13" spans="2:12" ht="18" customHeight="1" x14ac:dyDescent="0.2">
      <c r="B13" s="282" t="s">
        <v>134</v>
      </c>
      <c r="C13" s="1913">
        <f t="shared" si="2"/>
        <v>178815.35000000006</v>
      </c>
      <c r="D13" s="3109" t="s">
        <v>1814</v>
      </c>
      <c r="E13" s="1913">
        <f t="shared" si="0"/>
        <v>51.462911376325543</v>
      </c>
      <c r="F13" s="1913">
        <f t="shared" si="1"/>
        <v>0.90909090909090895</v>
      </c>
      <c r="G13" s="1913">
        <f t="shared" si="1"/>
        <v>0.90909090909090895</v>
      </c>
      <c r="H13" s="1913">
        <f t="shared" si="3"/>
        <v>9202.3585097766372</v>
      </c>
      <c r="I13" s="1913">
        <f t="shared" si="3"/>
        <v>0.16255940909090913</v>
      </c>
      <c r="J13" s="1913">
        <f t="shared" si="3"/>
        <v>0.16255940909090913</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64226.623472598098</v>
      </c>
      <c r="D16" s="3109" t="s">
        <v>1814</v>
      </c>
      <c r="E16" s="1913">
        <f t="shared" si="0"/>
        <v>77.327128740191114</v>
      </c>
      <c r="F16" s="1913">
        <f t="shared" si="1"/>
        <v>714.98321338407629</v>
      </c>
      <c r="G16" s="1913">
        <f t="shared" si="1"/>
        <v>1.8875754025166427</v>
      </c>
      <c r="H16" s="1913">
        <f t="shared" si="3"/>
        <v>4966.4603818133737</v>
      </c>
      <c r="I16" s="1913">
        <f t="shared" si="3"/>
        <v>45.920957635247326</v>
      </c>
      <c r="J16" s="1913">
        <f t="shared" si="3"/>
        <v>0.12123259465357421</v>
      </c>
      <c r="K16" s="3085" t="str">
        <f t="shared" si="3"/>
        <v>NO</v>
      </c>
    </row>
    <row r="17" spans="2:11" ht="18" customHeight="1" x14ac:dyDescent="0.2">
      <c r="B17" s="1241" t="s">
        <v>1942</v>
      </c>
      <c r="C17" s="3109">
        <f>IF(SUM(C18:C23)=0,"NO",SUM(C18:C23))</f>
        <v>78845.107531407615</v>
      </c>
      <c r="D17" s="3109" t="s">
        <v>1814</v>
      </c>
      <c r="E17" s="628"/>
      <c r="F17" s="628"/>
      <c r="G17" s="628"/>
      <c r="H17" s="3078">
        <f>IF(SUM(H18:H22)=0,"NO",SUM(H18:H22))</f>
        <v>4658.084936706302</v>
      </c>
      <c r="I17" s="3078">
        <f>IF(SUM(I18:I23)=0,"NO",SUM(I18:I23))</f>
        <v>9.0576760005275814E-2</v>
      </c>
      <c r="J17" s="3110">
        <f>IF(SUM(J18:J23)=0,"NO",SUM(J18:J23))</f>
        <v>9.067916795514594E-2</v>
      </c>
      <c r="K17" s="3085" t="str">
        <f>IF(SUM(K18:K23)=0,"NO",SUM(K18:K23))</f>
        <v>NO</v>
      </c>
    </row>
    <row r="18" spans="2:11" ht="18" customHeight="1" x14ac:dyDescent="0.2">
      <c r="B18" s="282" t="s">
        <v>132</v>
      </c>
      <c r="C18" s="3109">
        <f>IF(SUM(C26,C33)=0,"NO",SUM(C26,C33))</f>
        <v>32456.627531407634</v>
      </c>
      <c r="D18" s="3109" t="s">
        <v>1814</v>
      </c>
      <c r="E18" s="1913">
        <f t="shared" ref="E18" si="4">IFERROR(H18*1000/$C18,"NA")</f>
        <v>68.979870296882979</v>
      </c>
      <c r="F18" s="1913">
        <f t="shared" ref="F18:G23" si="5">IFERROR(I18*1000000/$C18,"NA")</f>
        <v>1.3993855626358715</v>
      </c>
      <c r="G18" s="1913">
        <f t="shared" si="5"/>
        <v>1.4560064541991447</v>
      </c>
      <c r="H18" s="3109">
        <f>IF(SUM(H26,H33)=0,"NO",SUM(H26,H33))</f>
        <v>2238.8539573907397</v>
      </c>
      <c r="I18" s="3109">
        <f>IF(SUM(I26,I33)=0,"NO",SUM(I26,I33))</f>
        <v>4.5419335979301791E-2</v>
      </c>
      <c r="J18" s="3109">
        <f>IF(SUM(J26,J33)=0,"NO",SUM(J26,J33))</f>
        <v>4.7257059167267162E-2</v>
      </c>
      <c r="K18" s="3085" t="str">
        <f>IF(SUM(K26,K33)=0,"NO",SUM(K26,K33))</f>
        <v>NO</v>
      </c>
    </row>
    <row r="19" spans="2:11" ht="18" customHeight="1" x14ac:dyDescent="0.2">
      <c r="B19" s="282" t="s">
        <v>133</v>
      </c>
      <c r="C19" s="3109">
        <f t="shared" ref="C19:C21" si="6">IF(SUM(C27,C34)=0,"NO",SUM(C27,C34))</f>
        <v>1975.57</v>
      </c>
      <c r="D19" s="3109" t="s">
        <v>1814</v>
      </c>
      <c r="E19" s="1913">
        <f t="shared" ref="E19:E23" si="7">IFERROR(H19*1000/$C19,"NA")</f>
        <v>92.774692873449183</v>
      </c>
      <c r="F19" s="1913">
        <f t="shared" si="5"/>
        <v>0.95238095238095244</v>
      </c>
      <c r="G19" s="1913">
        <f t="shared" si="5"/>
        <v>0.66666666666666674</v>
      </c>
      <c r="H19" s="3109">
        <f t="shared" ref="H19:K21" si="8">IF(SUM(H27,H34)=0,"NO",SUM(H27,H34))</f>
        <v>183.28289999999998</v>
      </c>
      <c r="I19" s="3109">
        <f t="shared" si="8"/>
        <v>1.8814952380952381E-3</v>
      </c>
      <c r="J19" s="3109">
        <f t="shared" si="8"/>
        <v>1.3170466666666669E-3</v>
      </c>
      <c r="K19" s="3085" t="str">
        <f t="shared" si="8"/>
        <v>NO</v>
      </c>
    </row>
    <row r="20" spans="2:11" ht="18" customHeight="1" x14ac:dyDescent="0.2">
      <c r="B20" s="282" t="s">
        <v>134</v>
      </c>
      <c r="C20" s="3109">
        <f t="shared" si="6"/>
        <v>43441.349999999991</v>
      </c>
      <c r="D20" s="3109" t="s">
        <v>1814</v>
      </c>
      <c r="E20" s="1913">
        <f t="shared" si="7"/>
        <v>51.470501706681816</v>
      </c>
      <c r="F20" s="1913">
        <f t="shared" si="5"/>
        <v>0.90909090909090939</v>
      </c>
      <c r="G20" s="1913">
        <f t="shared" si="5"/>
        <v>0.90909090909090906</v>
      </c>
      <c r="H20" s="3109">
        <f t="shared" si="8"/>
        <v>2235.9480793155617</v>
      </c>
      <c r="I20" s="3109">
        <f t="shared" si="8"/>
        <v>3.9492136363636368E-2</v>
      </c>
      <c r="J20" s="3109">
        <f t="shared" si="8"/>
        <v>3.9492136363636354E-2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971.56</v>
      </c>
      <c r="D23" s="3109" t="s">
        <v>1814</v>
      </c>
      <c r="E23" s="1913">
        <f t="shared" si="7"/>
        <v>65.834942926204533</v>
      </c>
      <c r="F23" s="1913">
        <f t="shared" si="5"/>
        <v>3.8945535265371407</v>
      </c>
      <c r="G23" s="1913">
        <f t="shared" si="5"/>
        <v>2.6894126534395797</v>
      </c>
      <c r="H23" s="3109">
        <f>IF(SUM(H31,H37)=0,"NO",SUM(H31,H37))</f>
        <v>63.962597149383278</v>
      </c>
      <c r="I23" s="3109">
        <f>IF(SUM(I31,I37)=0,"NO",SUM(I31,I37))</f>
        <v>3.7837924242424244E-3</v>
      </c>
      <c r="J23" s="3109">
        <f>IF(SUM(J31,J37)=0,"NO",SUM(J31,J37))</f>
        <v>2.6129257575757577E-3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78845.107531407615</v>
      </c>
      <c r="D25" s="3078" t="s">
        <v>1814</v>
      </c>
      <c r="E25" s="628"/>
      <c r="F25" s="628"/>
      <c r="G25" s="628"/>
      <c r="H25" s="3078">
        <f>IF(SUM(H26:H30)=0,"NO",SUM(H26:H30))</f>
        <v>4658.084936706302</v>
      </c>
      <c r="I25" s="3078">
        <f>IF(SUM(I26:I31)=0,"NO",SUM(I26:I31))</f>
        <v>9.0576760005275814E-2</v>
      </c>
      <c r="J25" s="3110">
        <f>IF(SUM(J26:J31)=0,"NO",SUM(J26:J31))</f>
        <v>9.067916795514594E-2</v>
      </c>
      <c r="K25" s="3085" t="str">
        <f>IF(SUM(K26:K31)=0,"NO",SUM(K26:K31))</f>
        <v>NO</v>
      </c>
    </row>
    <row r="26" spans="2:11" ht="18" customHeight="1" x14ac:dyDescent="0.2">
      <c r="B26" s="282" t="s">
        <v>132</v>
      </c>
      <c r="C26" s="691">
        <v>32456.627531407634</v>
      </c>
      <c r="D26" s="3078" t="s">
        <v>1814</v>
      </c>
      <c r="E26" s="1913">
        <f t="shared" ref="E26:E31" si="9">IFERROR(H26*1000/$C26,"NA")</f>
        <v>68.979870296882979</v>
      </c>
      <c r="F26" s="1913">
        <f t="shared" ref="F26:G31" si="10">IFERROR(I26*1000000/$C26,"NA")</f>
        <v>1.3993855626358715</v>
      </c>
      <c r="G26" s="1913">
        <f t="shared" si="10"/>
        <v>1.4560064541991447</v>
      </c>
      <c r="H26" s="691">
        <v>2238.8539573907397</v>
      </c>
      <c r="I26" s="691">
        <v>4.5419335979301791E-2</v>
      </c>
      <c r="J26" s="691">
        <v>4.7257059167267162E-2</v>
      </c>
      <c r="K26" s="2911" t="s">
        <v>2146</v>
      </c>
    </row>
    <row r="27" spans="2:11" ht="18" customHeight="1" x14ac:dyDescent="0.2">
      <c r="B27" s="282" t="s">
        <v>133</v>
      </c>
      <c r="C27" s="691">
        <v>1975.57</v>
      </c>
      <c r="D27" s="3078" t="s">
        <v>1814</v>
      </c>
      <c r="E27" s="1913">
        <f t="shared" si="9"/>
        <v>92.774692873449183</v>
      </c>
      <c r="F27" s="1913">
        <f t="shared" si="10"/>
        <v>0.95238095238095244</v>
      </c>
      <c r="G27" s="1913">
        <f t="shared" si="10"/>
        <v>0.66666666666666674</v>
      </c>
      <c r="H27" s="691">
        <v>183.28289999999998</v>
      </c>
      <c r="I27" s="691">
        <v>1.8814952380952381E-3</v>
      </c>
      <c r="J27" s="691">
        <v>1.3170466666666669E-3</v>
      </c>
      <c r="K27" s="2911" t="s">
        <v>2146</v>
      </c>
    </row>
    <row r="28" spans="2:11" ht="18" customHeight="1" x14ac:dyDescent="0.2">
      <c r="B28" s="282" t="s">
        <v>134</v>
      </c>
      <c r="C28" s="691">
        <v>43441.349999999991</v>
      </c>
      <c r="D28" s="3078" t="s">
        <v>1814</v>
      </c>
      <c r="E28" s="1913">
        <f t="shared" si="9"/>
        <v>51.470501706681816</v>
      </c>
      <c r="F28" s="1913">
        <f t="shared" si="10"/>
        <v>0.90909090909090939</v>
      </c>
      <c r="G28" s="1913">
        <f t="shared" si="10"/>
        <v>0.90909090909090906</v>
      </c>
      <c r="H28" s="691">
        <v>2235.9480793155617</v>
      </c>
      <c r="I28" s="691">
        <v>3.9492136363636368E-2</v>
      </c>
      <c r="J28" s="691">
        <v>3.9492136363636354E-2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971.56</v>
      </c>
      <c r="D31" s="3078" t="s">
        <v>1814</v>
      </c>
      <c r="E31" s="1913">
        <f t="shared" si="9"/>
        <v>65.834942926204533</v>
      </c>
      <c r="F31" s="1913">
        <f t="shared" si="10"/>
        <v>3.8945535265371407</v>
      </c>
      <c r="G31" s="1913">
        <f t="shared" si="10"/>
        <v>2.6894126534395797</v>
      </c>
      <c r="H31" s="691">
        <v>63.962597149383278</v>
      </c>
      <c r="I31" s="691">
        <v>3.7837924242424244E-3</v>
      </c>
      <c r="J31" s="691">
        <v>2.6129257575757577E-3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217289.25687272663</v>
      </c>
      <c r="D38" s="3078" t="s">
        <v>1814</v>
      </c>
      <c r="E38" s="628"/>
      <c r="F38" s="628"/>
      <c r="G38" s="628"/>
      <c r="H38" s="1913">
        <f>IF(SUM(H39:H43)=0,"NO",SUM(H39:H43))</f>
        <v>8136.945956234038</v>
      </c>
      <c r="I38" s="1913">
        <f>IF(SUM(I39:I44)=0,"NO",SUM(I39:I44))</f>
        <v>46.790672654739687</v>
      </c>
      <c r="J38" s="1913">
        <f>IF(SUM(J39:J44)=0,"NO",SUM(J39:J44))</f>
        <v>0.25234371238626052</v>
      </c>
      <c r="K38" s="3085" t="str">
        <f>IF(SUM(K39:K44)=0,"NO",SUM(K39:K44))</f>
        <v>NO</v>
      </c>
    </row>
    <row r="39" spans="2:11" ht="18" customHeight="1" x14ac:dyDescent="0.2">
      <c r="B39" s="282" t="s">
        <v>132</v>
      </c>
      <c r="C39" s="3109">
        <f>IF(SUM(C47,C54)=0,"NO",SUM(C47,C54))</f>
        <v>18652.60340012849</v>
      </c>
      <c r="D39" s="3078" t="s">
        <v>1814</v>
      </c>
      <c r="E39" s="1913">
        <f t="shared" ref="E39:E44" si="13">IFERROR(H39*1000/$C39,"NA")</f>
        <v>62.499065997038421</v>
      </c>
      <c r="F39" s="1913">
        <f t="shared" ref="F39:G44" si="14">IFERROR(I39*1000000/$C39,"NA")</f>
        <v>40.231383583402028</v>
      </c>
      <c r="G39" s="1913">
        <f t="shared" si="14"/>
        <v>0.57233907590716127</v>
      </c>
      <c r="H39" s="1913">
        <f>IF(SUM(H47,H54)=0,"NO",SUM(H47,H54))</f>
        <v>1165.7702909212137</v>
      </c>
      <c r="I39" s="1913">
        <f>IF(SUM(I47,I54)=0,"NO",SUM(I47,I54))</f>
        <v>0.75042004221963809</v>
      </c>
      <c r="J39" s="1913">
        <f>IF(SUM(J47,J54)=0,"NO",SUM(J47,J54))</f>
        <v>1.0675613793292314E-2</v>
      </c>
      <c r="K39" s="3085" t="str">
        <f>IF(SUM(K47,K54)=0,"NO",SUM(K47,K54))</f>
        <v>NO</v>
      </c>
    </row>
    <row r="40" spans="2:11" ht="18" customHeight="1" x14ac:dyDescent="0.2">
      <c r="B40" s="282" t="s">
        <v>133</v>
      </c>
      <c r="C40" s="3109">
        <f t="shared" ref="C40:C42" si="15">IF(SUM(C48,C55)=0,"NO",SUM(C48,C55))</f>
        <v>106.19000000000001</v>
      </c>
      <c r="D40" s="3078" t="s">
        <v>1814</v>
      </c>
      <c r="E40" s="1913">
        <f t="shared" si="13"/>
        <v>92.611827855730297</v>
      </c>
      <c r="F40" s="1913">
        <f t="shared" si="14"/>
        <v>0.95238095238095222</v>
      </c>
      <c r="G40" s="1913">
        <f t="shared" si="14"/>
        <v>0.66666666666666663</v>
      </c>
      <c r="H40" s="1913">
        <f t="shared" ref="H40:K42" si="16">IF(SUM(H48,H55)=0,"NO",SUM(H48,H55))</f>
        <v>9.8344500000000004</v>
      </c>
      <c r="I40" s="1913">
        <f t="shared" si="16"/>
        <v>1.0113333333333333E-4</v>
      </c>
      <c r="J40" s="1913">
        <f t="shared" si="16"/>
        <v>7.0793333333333332E-5</v>
      </c>
      <c r="K40" s="3085" t="str">
        <f t="shared" si="16"/>
        <v>NO</v>
      </c>
    </row>
    <row r="41" spans="2:11" ht="18" customHeight="1" x14ac:dyDescent="0.2">
      <c r="B41" s="282" t="s">
        <v>134</v>
      </c>
      <c r="C41" s="3109">
        <f t="shared" si="15"/>
        <v>135275.40000000005</v>
      </c>
      <c r="D41" s="3078" t="s">
        <v>1814</v>
      </c>
      <c r="E41" s="1913">
        <f t="shared" si="13"/>
        <v>51.460511041274472</v>
      </c>
      <c r="F41" s="1913">
        <f t="shared" si="14"/>
        <v>0.90909090909090884</v>
      </c>
      <c r="G41" s="1913">
        <f t="shared" si="14"/>
        <v>0.90909090909090884</v>
      </c>
      <c r="H41" s="1913">
        <f t="shared" si="16"/>
        <v>6961.3412153128238</v>
      </c>
      <c r="I41" s="1913">
        <f t="shared" si="16"/>
        <v>0.12297763636363639</v>
      </c>
      <c r="J41" s="1913">
        <f t="shared" si="16"/>
        <v>0.12297763636363639</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63255.0634725981</v>
      </c>
      <c r="D44" s="3078" t="s">
        <v>1814</v>
      </c>
      <c r="E44" s="1913">
        <f t="shared" si="13"/>
        <v>77.503641851339495</v>
      </c>
      <c r="F44" s="1913">
        <f t="shared" si="14"/>
        <v>725.90511054841102</v>
      </c>
      <c r="G44" s="1913">
        <f t="shared" si="14"/>
        <v>1.8752596611871892</v>
      </c>
      <c r="H44" s="1913">
        <f>IF(SUM(H52,H58)=0,"NO",SUM(H52,H58))</f>
        <v>4902.4977846639904</v>
      </c>
      <c r="I44" s="1913">
        <f>IF(SUM(I52,I58)=0,"NO",SUM(I52,I58))</f>
        <v>45.917173842823082</v>
      </c>
      <c r="J44" s="1913">
        <f>IF(SUM(J52,J58)=0,"NO",SUM(J52,J58))</f>
        <v>0.11861966889599845</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213130.62000000005</v>
      </c>
      <c r="D46" s="3078" t="s">
        <v>1814</v>
      </c>
      <c r="E46" s="628"/>
      <c r="F46" s="628"/>
      <c r="G46" s="628"/>
      <c r="H46" s="1913">
        <f>IF(SUM(H47:H51)=0,"NO",SUM(H47:H51))</f>
        <v>7856.7652223128234</v>
      </c>
      <c r="I46" s="1913">
        <f>IF(SUM(I47:I52)=0,"NO",SUM(I47:I52))</f>
        <v>46.05234788333712</v>
      </c>
      <c r="J46" s="1913">
        <f>IF(SUM(J47:J52)=0,"NO",SUM(J47:J52))</f>
        <v>0.25070226432477272</v>
      </c>
      <c r="K46" s="3085" t="str">
        <f>IF(SUM(K47:K52)=0,"NO",SUM(K47:K52))</f>
        <v>NO</v>
      </c>
    </row>
    <row r="47" spans="2:11" ht="18" customHeight="1" x14ac:dyDescent="0.2">
      <c r="B47" s="282" t="s">
        <v>132</v>
      </c>
      <c r="C47" s="691">
        <v>14501.229999999998</v>
      </c>
      <c r="D47" s="3078" t="s">
        <v>1814</v>
      </c>
      <c r="E47" s="1913">
        <f t="shared" ref="E47:E52" si="17">IFERROR(H47*1000/$C47,"NA")</f>
        <v>61.06996144464987</v>
      </c>
      <c r="F47" s="1913">
        <f t="shared" ref="F47:G52" si="18">IFERROR(I47*1000000/$C47,"NA")</f>
        <v>1.0144050506323223</v>
      </c>
      <c r="G47" s="1913">
        <f t="shared" si="18"/>
        <v>0.62344386353039405</v>
      </c>
      <c r="H47" s="691">
        <v>885.5895569999999</v>
      </c>
      <c r="I47" s="691">
        <v>1.471012095238095E-2</v>
      </c>
      <c r="J47" s="691">
        <v>9.0407028571428544E-3</v>
      </c>
      <c r="K47" s="2911" t="s">
        <v>2146</v>
      </c>
    </row>
    <row r="48" spans="2:11" ht="18" customHeight="1" x14ac:dyDescent="0.2">
      <c r="B48" s="282" t="s">
        <v>133</v>
      </c>
      <c r="C48" s="691">
        <v>106.19000000000001</v>
      </c>
      <c r="D48" s="3078" t="s">
        <v>1814</v>
      </c>
      <c r="E48" s="1913">
        <f t="shared" si="17"/>
        <v>92.611827855730297</v>
      </c>
      <c r="F48" s="1913">
        <f t="shared" si="18"/>
        <v>0.95238095238095222</v>
      </c>
      <c r="G48" s="1913">
        <f t="shared" si="18"/>
        <v>0.66666666666666663</v>
      </c>
      <c r="H48" s="691">
        <v>9.8344500000000004</v>
      </c>
      <c r="I48" s="691">
        <v>1.0113333333333333E-4</v>
      </c>
      <c r="J48" s="691">
        <v>7.0793333333333332E-5</v>
      </c>
      <c r="K48" s="2911" t="s">
        <v>2146</v>
      </c>
    </row>
    <row r="49" spans="2:11" ht="18" customHeight="1" x14ac:dyDescent="0.2">
      <c r="B49" s="282" t="s">
        <v>134</v>
      </c>
      <c r="C49" s="691">
        <v>135275.40000000005</v>
      </c>
      <c r="D49" s="3078" t="s">
        <v>1814</v>
      </c>
      <c r="E49" s="1913">
        <f t="shared" si="17"/>
        <v>51.460511041274472</v>
      </c>
      <c r="F49" s="1913">
        <f t="shared" si="18"/>
        <v>0.90909090909090884</v>
      </c>
      <c r="G49" s="1913">
        <f t="shared" si="18"/>
        <v>0.90909090909090884</v>
      </c>
      <c r="H49" s="691">
        <v>6961.3412153128238</v>
      </c>
      <c r="I49" s="691">
        <v>0.12297763636363639</v>
      </c>
      <c r="J49" s="691">
        <v>0.12297763636363639</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63247.8</v>
      </c>
      <c r="D52" s="3078" t="s">
        <v>1814</v>
      </c>
      <c r="E52" s="1913">
        <f t="shared" si="17"/>
        <v>77.504818246595804</v>
      </c>
      <c r="F52" s="1913">
        <f t="shared" si="18"/>
        <v>725.94713164233008</v>
      </c>
      <c r="G52" s="1913">
        <f t="shared" si="18"/>
        <v>1.8753716614753422</v>
      </c>
      <c r="H52" s="691">
        <v>4902.009243497042</v>
      </c>
      <c r="I52" s="691">
        <v>45.914558992687766</v>
      </c>
      <c r="J52" s="691">
        <v>0.11861313177066016</v>
      </c>
      <c r="K52" s="2911" t="s">
        <v>2146</v>
      </c>
    </row>
    <row r="53" spans="2:11" ht="18" customHeight="1" x14ac:dyDescent="0.2">
      <c r="B53" s="1242" t="s">
        <v>205</v>
      </c>
      <c r="C53" s="3078">
        <f>IF(SUM(C54:C58)=0,"NO",SUM(C54:C58))</f>
        <v>4158.6368727265908</v>
      </c>
      <c r="D53" s="3078" t="s">
        <v>1814</v>
      </c>
      <c r="E53" s="628"/>
      <c r="F53" s="628"/>
      <c r="G53" s="628"/>
      <c r="H53" s="3078">
        <f>IF(SUM(H54:H57)=0,"NO",SUM(H54:H57))</f>
        <v>280.1807339212138</v>
      </c>
      <c r="I53" s="3078">
        <f>IF(SUM(I54:I58)=0,"NO",SUM(I54:I58))</f>
        <v>0.7383247714025728</v>
      </c>
      <c r="J53" s="3078">
        <f>IF(SUM(J54:J58)=0,"NO",SUM(J54:J58))</f>
        <v>1.6414480614877496E-3</v>
      </c>
      <c r="K53" s="2921"/>
    </row>
    <row r="54" spans="2:11" ht="18" customHeight="1" x14ac:dyDescent="0.2">
      <c r="B54" s="282" t="s">
        <v>132</v>
      </c>
      <c r="C54" s="691">
        <v>4151.3734001284911</v>
      </c>
      <c r="D54" s="3078" t="s">
        <v>1814</v>
      </c>
      <c r="E54" s="1913">
        <f t="shared" ref="E54:E58" si="19">IFERROR(H54*1000/$C54,"NA")</f>
        <v>67.491094371935262</v>
      </c>
      <c r="F54" s="1913">
        <f t="shared" ref="F54:G58" si="20">IFERROR(I54*1000000/$C54,"NA")</f>
        <v>177.22084966977093</v>
      </c>
      <c r="G54" s="1913">
        <f t="shared" si="20"/>
        <v>0.39382411037726867</v>
      </c>
      <c r="H54" s="691">
        <v>280.1807339212138</v>
      </c>
      <c r="I54" s="691">
        <v>0.73570992126725709</v>
      </c>
      <c r="J54" s="691">
        <v>1.6349109361494601E-3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v>7.2634725980993293</v>
      </c>
      <c r="D58" s="3078" t="s">
        <v>1814</v>
      </c>
      <c r="E58" s="1913">
        <f t="shared" si="19"/>
        <v>67.260000000000019</v>
      </c>
      <c r="F58" s="1913">
        <f t="shared" si="20"/>
        <v>360.00000000000011</v>
      </c>
      <c r="G58" s="1913">
        <f t="shared" si="20"/>
        <v>0.90000000000000036</v>
      </c>
      <c r="H58" s="691">
        <v>0.48854116694816108</v>
      </c>
      <c r="I58" s="691">
        <v>2.6148501353157592E-3</v>
      </c>
      <c r="J58" s="691">
        <v>6.5371253382893988E-6</v>
      </c>
      <c r="K58" s="2921"/>
    </row>
    <row r="59" spans="2:11" ht="18" customHeight="1" x14ac:dyDescent="0.2">
      <c r="B59" s="1245" t="s">
        <v>206</v>
      </c>
      <c r="C59" s="3078">
        <f>IF(SUM(C60:C65)=0,"NO",SUM(C60:C65))</f>
        <v>84876.599999999977</v>
      </c>
      <c r="D59" s="3078" t="s">
        <v>1814</v>
      </c>
      <c r="E59" s="628"/>
      <c r="F59" s="628"/>
      <c r="G59" s="628"/>
      <c r="H59" s="1913">
        <f>IF(SUM(H60:H64)=0,"NO",SUM(H60:H64))</f>
        <v>5903.5957151482526</v>
      </c>
      <c r="I59" s="1913">
        <f>IF(SUM(I60:I65)=0,"NO",SUM(I60:I65))</f>
        <v>0.5158429506493506</v>
      </c>
      <c r="J59" s="1913">
        <f>IF(SUM(J60:J65)=0,"NO",SUM(J60:J65))</f>
        <v>0.30660421731601728</v>
      </c>
      <c r="K59" s="3085" t="str">
        <f>IF(SUM(K60:K65)=0,"NO",SUM(K60:K65))</f>
        <v>NO</v>
      </c>
    </row>
    <row r="60" spans="2:11" ht="18" customHeight="1" x14ac:dyDescent="0.2">
      <c r="B60" s="282" t="s">
        <v>132</v>
      </c>
      <c r="C60" s="1913">
        <f>IF(SUM(C67,C74:C77,C84:C87)=0,"NO",SUM(C67,C74:C77,C84:C87))</f>
        <v>84777.999999999971</v>
      </c>
      <c r="D60" s="3078" t="s">
        <v>1814</v>
      </c>
      <c r="E60" s="1913">
        <f t="shared" ref="E60:E65" si="21">IFERROR(H60*1000/$C60,"NA")</f>
        <v>69.576145934086711</v>
      </c>
      <c r="F60" s="1913">
        <f t="shared" ref="F60:G65" si="22">IFERROR(I60*1000000/$C60,"NA")</f>
        <v>6.0835749166731272</v>
      </c>
      <c r="G60" s="1913">
        <f t="shared" si="22"/>
        <v>3.6154967202856998</v>
      </c>
      <c r="H60" s="1913">
        <f>IF(SUM(H67,H74:H77,H84:H87)=0,"NO",SUM(H67,H74:H77,H84:H87))</f>
        <v>5898.5265000000009</v>
      </c>
      <c r="I60" s="1913">
        <f>IF(SUM(I67,I74:I77,I84:I87)=0,"NO",SUM(I67,I74:I77,I84:I87))</f>
        <v>0.51575331428571425</v>
      </c>
      <c r="J60" s="1913">
        <f>IF(SUM(J67,J74:J77,J84:J87)=0,"NO",SUM(J67,J74:J77,J84:J87))</f>
        <v>0.30651458095238093</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98.6</v>
      </c>
      <c r="D62" s="3078" t="s">
        <v>1814</v>
      </c>
      <c r="E62" s="1913">
        <f t="shared" si="21"/>
        <v>51.411918339264993</v>
      </c>
      <c r="F62" s="1913">
        <f t="shared" si="22"/>
        <v>0.90909090909090906</v>
      </c>
      <c r="G62" s="1913">
        <f t="shared" si="22"/>
        <v>0.90909090909090906</v>
      </c>
      <c r="H62" s="1913">
        <f>IF(SUM(H69,H79,H89)=0,"NO",SUM(H69,H79,H89))</f>
        <v>5.0692151482515282</v>
      </c>
      <c r="I62" s="1913">
        <f>IF(SUM(I69,I79,I89)=0,"NO",SUM(I69,I79,I89))</f>
        <v>8.9636363636363622E-5</v>
      </c>
      <c r="J62" s="1913">
        <f>IF(SUM(J69,J79,J89)=0,"NO",SUM(J69,J79,J89))</f>
        <v>8.9636363636363622E-5</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84876.599999999977</v>
      </c>
      <c r="D66" s="3078" t="s">
        <v>1814</v>
      </c>
      <c r="E66" s="2108"/>
      <c r="F66" s="2108"/>
      <c r="G66" s="2108"/>
      <c r="H66" s="1913">
        <f>IF(SUM(H67:H71)=0,"NO",SUM(H67:H71))</f>
        <v>5903.5957151482526</v>
      </c>
      <c r="I66" s="1913">
        <f>IF(SUM(I67:I72)=0,"NO",SUM(I67:I72))</f>
        <v>0.5158429506493506</v>
      </c>
      <c r="J66" s="1913">
        <f>IF(SUM(J67:J72)=0,"NO",SUM(J67:J72))</f>
        <v>0.30660421731601728</v>
      </c>
      <c r="K66" s="3085" t="str">
        <f>IF(SUM(K67:K72)=0,"NO",SUM(K67:K72))</f>
        <v>NO</v>
      </c>
    </row>
    <row r="67" spans="2:11" ht="18" customHeight="1" x14ac:dyDescent="0.2">
      <c r="B67" s="282" t="s">
        <v>132</v>
      </c>
      <c r="C67" s="691">
        <v>84777.999999999971</v>
      </c>
      <c r="D67" s="3078" t="s">
        <v>1814</v>
      </c>
      <c r="E67" s="1913">
        <f t="shared" ref="E67:E72" si="23">IFERROR(H67*1000/$C67,"NA")</f>
        <v>69.576145934086711</v>
      </c>
      <c r="F67" s="1913">
        <f t="shared" ref="F67:G72" si="24">IFERROR(I67*1000000/$C67,"NA")</f>
        <v>6.0835749166731272</v>
      </c>
      <c r="G67" s="1913">
        <f t="shared" si="24"/>
        <v>3.6154967202856998</v>
      </c>
      <c r="H67" s="691">
        <v>5898.5265000000009</v>
      </c>
      <c r="I67" s="691">
        <v>0.51575331428571425</v>
      </c>
      <c r="J67" s="691">
        <v>0.30651458095238093</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98.6</v>
      </c>
      <c r="D69" s="3078" t="s">
        <v>1814</v>
      </c>
      <c r="E69" s="1913">
        <f t="shared" si="23"/>
        <v>51.411918339264993</v>
      </c>
      <c r="F69" s="1913">
        <f t="shared" si="24"/>
        <v>0.90909090909090906</v>
      </c>
      <c r="G69" s="1913">
        <f t="shared" si="24"/>
        <v>0.90909090909090906</v>
      </c>
      <c r="H69" s="691">
        <v>5.0692151482515282</v>
      </c>
      <c r="I69" s="691">
        <v>8.9636363636363622E-5</v>
      </c>
      <c r="J69" s="691">
        <v>8.9636363636363622E-5</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11771.913990182846</v>
      </c>
      <c r="D93" s="3078" t="s">
        <v>1814</v>
      </c>
      <c r="E93" s="2134"/>
      <c r="F93" s="2134"/>
      <c r="G93" s="2134"/>
      <c r="H93" s="3109">
        <f>IF(SUM(H94:H98)=0,"NO",SUM(H94:H98))</f>
        <v>819.9429811755258</v>
      </c>
      <c r="I93" s="3109">
        <f>IF(SUM(I94:I99)=0,"NO",SUM(I94:I99))</f>
        <v>3.5348132293496093E-2</v>
      </c>
      <c r="J93" s="3113">
        <f>IF(SUM(J94:J99)=0,"NO",SUM(J94:J99))</f>
        <v>2.2931461888388016E-2</v>
      </c>
      <c r="K93" s="449" t="str">
        <f>IF(SUM(K94:K99)=0,"NO",SUM(K94:K99))</f>
        <v>NO</v>
      </c>
    </row>
    <row r="94" spans="2:11" ht="18" customHeight="1" x14ac:dyDescent="0.2">
      <c r="B94" s="282" t="s">
        <v>132</v>
      </c>
      <c r="C94" s="691">
        <f>IF(SUM(C102,C110)=0,"NO",SUM(C102,C110))</f>
        <v>11771.607822275708</v>
      </c>
      <c r="D94" s="1913" t="s">
        <v>1814</v>
      </c>
      <c r="E94" s="1913">
        <f t="shared" ref="E94:E99" si="32">IFERROR(H94*1000/$C94,"NA")</f>
        <v>69.654289673491093</v>
      </c>
      <c r="F94" s="1913">
        <f t="shared" ref="F94:G99" si="33">IFERROR(I94*1000000/$C94,"NA")</f>
        <v>2.9822044425150405</v>
      </c>
      <c r="G94" s="1913">
        <f t="shared" si="33"/>
        <v>1.9479533918276279</v>
      </c>
      <c r="H94" s="691">
        <f t="shared" ref="H94:K97" si="34">IF(SUM(H102,H110)=0,"NO",SUM(H102,H110))</f>
        <v>819.9429811755258</v>
      </c>
      <c r="I94" s="691">
        <f t="shared" si="34"/>
        <v>3.5105341143135418E-2</v>
      </c>
      <c r="J94" s="691">
        <f t="shared" si="34"/>
        <v>2.2930543384666602E-2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f>IF(SUM(C107,C114)=0,"NO",SUM(C107,C114))</f>
        <v>0.30616790713830605</v>
      </c>
      <c r="D99" s="1913" t="s">
        <v>1814</v>
      </c>
      <c r="E99" s="1913">
        <f t="shared" si="32"/>
        <v>67.259999999999991</v>
      </c>
      <c r="F99" s="1913">
        <f t="shared" si="33"/>
        <v>793</v>
      </c>
      <c r="G99" s="1913">
        <f t="shared" si="33"/>
        <v>3</v>
      </c>
      <c r="H99" s="691">
        <f>IF(SUM(H107,H114)=0,"NO",SUM(H107,H114))</f>
        <v>2.0592853434122461E-2</v>
      </c>
      <c r="I99" s="691">
        <f>IF(SUM(I107,I114)=0,"NO",SUM(I107,I114))</f>
        <v>2.4279115036067667E-4</v>
      </c>
      <c r="J99" s="691">
        <f>IF(SUM(J107,J114)=0,"NO",SUM(J107,J114))</f>
        <v>9.1850372141491805E-7</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11771.913990182846</v>
      </c>
      <c r="D108" s="1913" t="s">
        <v>1814</v>
      </c>
      <c r="E108" s="1931"/>
      <c r="F108" s="1931"/>
      <c r="G108" s="1931"/>
      <c r="H108" s="3078">
        <f>H109</f>
        <v>819.9429811755258</v>
      </c>
      <c r="I108" s="3078">
        <f>I109</f>
        <v>3.5348132293496093E-2</v>
      </c>
      <c r="J108" s="3110">
        <f>J109</f>
        <v>2.2931461888388016E-2</v>
      </c>
      <c r="K108" s="2921"/>
    </row>
    <row r="109" spans="2:11" ht="18" customHeight="1" x14ac:dyDescent="0.2">
      <c r="B109" s="3125" t="s">
        <v>2149</v>
      </c>
      <c r="C109" s="3099">
        <f>IF(SUM(C110:C114)=0,"NO",SUM(C110:C114))</f>
        <v>11771.913990182846</v>
      </c>
      <c r="D109" s="1913" t="s">
        <v>1814</v>
      </c>
      <c r="E109" s="628"/>
      <c r="F109" s="628"/>
      <c r="G109" s="628"/>
      <c r="H109" s="3099">
        <f>IF(SUM(H110:H113)=0,"NO",SUM(H110:H113))</f>
        <v>819.9429811755258</v>
      </c>
      <c r="I109" s="3099">
        <f>IF(SUM(I110:I114)=0,"NO",SUM(I110:I114))</f>
        <v>3.5348132293496093E-2</v>
      </c>
      <c r="J109" s="3099">
        <f>IF(SUM(J110:J114)=0,"NO",SUM(J110:J114))</f>
        <v>2.2931461888388016E-2</v>
      </c>
      <c r="K109" s="2921"/>
    </row>
    <row r="110" spans="2:11" ht="18" customHeight="1" x14ac:dyDescent="0.2">
      <c r="B110" s="282" t="s">
        <v>132</v>
      </c>
      <c r="C110" s="691">
        <v>11771.607822275708</v>
      </c>
      <c r="D110" s="1913" t="s">
        <v>1814</v>
      </c>
      <c r="E110" s="1913">
        <f t="shared" ref="E110:E114" si="37">IFERROR(H110*1000/$C110,"NA")</f>
        <v>69.654289673491093</v>
      </c>
      <c r="F110" s="1913">
        <f t="shared" ref="F110:G114" si="38">IFERROR(I110*1000000/$C110,"NA")</f>
        <v>2.9822044425150405</v>
      </c>
      <c r="G110" s="1913">
        <f t="shared" si="38"/>
        <v>1.9479533918276279</v>
      </c>
      <c r="H110" s="691">
        <v>819.9429811755258</v>
      </c>
      <c r="I110" s="691">
        <v>3.5105341143135418E-2</v>
      </c>
      <c r="J110" s="691">
        <v>2.2930543384666602E-2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0.30616790713830605</v>
      </c>
      <c r="D114" s="2880" t="s">
        <v>1814</v>
      </c>
      <c r="E114" s="2880">
        <f t="shared" si="37"/>
        <v>67.259999999999991</v>
      </c>
      <c r="F114" s="2880">
        <f t="shared" si="38"/>
        <v>793</v>
      </c>
      <c r="G114" s="2880">
        <f t="shared" si="38"/>
        <v>3</v>
      </c>
      <c r="H114" s="1559">
        <v>2.0592853434122461E-2</v>
      </c>
      <c r="I114" s="1559">
        <v>2.4279115036067667E-4</v>
      </c>
      <c r="J114" s="1559">
        <v>9.1850372141491805E-7</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1049557.9407166599</v>
      </c>
      <c r="G11" s="3361">
        <v>980853.58980000007</v>
      </c>
      <c r="H11" s="3361">
        <v>590696.82925299997</v>
      </c>
      <c r="I11" s="3381"/>
      <c r="J11" s="3361">
        <v>2860.7289750000109</v>
      </c>
      <c r="K11" s="3369">
        <f t="shared" ref="K11:K28" si="0">IF((SUM(F11:G11)-SUM(H11:J11))=0,"NO",(SUM(F11:G11)-SUM(H11:J11)))</f>
        <v>1436853.9722886598</v>
      </c>
      <c r="L11" s="2577">
        <f>IF(K11="NO","NA",1)</f>
        <v>1</v>
      </c>
      <c r="M11" s="5" t="s">
        <v>1814</v>
      </c>
      <c r="N11" s="3369">
        <f>K11</f>
        <v>1436853.9722886598</v>
      </c>
      <c r="O11" s="3342">
        <v>18.980716253443529</v>
      </c>
      <c r="P11" s="3369">
        <f>IFERROR(N11*O11/1000,"NA")</f>
        <v>27272.517545644259</v>
      </c>
      <c r="Q11" s="3369" t="str">
        <f>'Table1.A(d)'!G11</f>
        <v>NA</v>
      </c>
      <c r="R11" s="3369">
        <f>IF(SUM(P11,-SUM(Q11))=0,"NO",SUM(P11,-SUM(Q11)))</f>
        <v>27272.517545644259</v>
      </c>
      <c r="S11" s="2577">
        <f>IF(R11="NO","NA",1)</f>
        <v>1</v>
      </c>
      <c r="T11" s="3375">
        <f>IF(R11="NO","NO",R11*S11*44/12)</f>
        <v>99999.23100069561</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144929.17750000002</v>
      </c>
      <c r="G13" s="3361" t="s">
        <v>2146</v>
      </c>
      <c r="H13" s="3361" t="s">
        <v>2146</v>
      </c>
      <c r="I13" s="3381"/>
      <c r="J13" s="3361" t="s">
        <v>2146</v>
      </c>
      <c r="K13" s="3369">
        <f t="shared" si="0"/>
        <v>144929.17750000002</v>
      </c>
      <c r="L13" s="2577">
        <f t="shared" si="1"/>
        <v>1</v>
      </c>
      <c r="M13" s="5" t="s">
        <v>1814</v>
      </c>
      <c r="N13" s="3369">
        <f t="shared" si="2"/>
        <v>144929.17750000002</v>
      </c>
      <c r="O13" s="3342">
        <v>16.242276232566329</v>
      </c>
      <c r="P13" s="3369">
        <f t="shared" si="3"/>
        <v>2353.9797351136372</v>
      </c>
      <c r="Q13" s="3369" t="str">
        <f>'Table1.A(d)'!G13</f>
        <v>NA</v>
      </c>
      <c r="R13" s="3369">
        <f>IF(SUM(P13,-SUM(Q13))=0,"NO",SUM(P13,-SUM(Q13)))</f>
        <v>2353.9797351136372</v>
      </c>
      <c r="S13" s="2577">
        <f t="shared" si="4"/>
        <v>1</v>
      </c>
      <c r="T13" s="3375">
        <f t="shared" si="5"/>
        <v>8631.2590287500025</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99587.0484</v>
      </c>
      <c r="H15" s="3361">
        <v>29056.285100000001</v>
      </c>
      <c r="I15" s="3361" t="s">
        <v>2146</v>
      </c>
      <c r="J15" s="3361">
        <v>664.58826720000184</v>
      </c>
      <c r="K15" s="3369">
        <f t="shared" si="0"/>
        <v>69866.175032800005</v>
      </c>
      <c r="L15" s="2577">
        <f>IF(K15="NO","NA",1)</f>
        <v>1</v>
      </c>
      <c r="M15" s="5" t="s">
        <v>1814</v>
      </c>
      <c r="N15" s="3369">
        <f t="shared" si="2"/>
        <v>69866.175032800005</v>
      </c>
      <c r="O15" s="3342">
        <v>18.385297959702822</v>
      </c>
      <c r="P15" s="3369">
        <f t="shared" si="3"/>
        <v>1284.5104452827782</v>
      </c>
      <c r="Q15" s="3369" t="str">
        <f>'Table1.A(d)'!G15</f>
        <v>NA</v>
      </c>
      <c r="R15" s="3369">
        <f>IF(SUM(P15,-SUM(Q15))=0,"NO",SUM(P15,-SUM(Q15)))</f>
        <v>1284.5104452827782</v>
      </c>
      <c r="S15" s="2577">
        <f>IF(R15="NO","NA",1)</f>
        <v>1</v>
      </c>
      <c r="T15" s="3375">
        <f>IF(R15="NO","NO",R15*S15*44/12)</f>
        <v>4709.8716327035199</v>
      </c>
    </row>
    <row r="16" spans="2:20" ht="18" customHeight="1" x14ac:dyDescent="0.2">
      <c r="B16" s="1727"/>
      <c r="C16" s="1567"/>
      <c r="D16" s="36" t="s">
        <v>178</v>
      </c>
      <c r="E16" s="2575" t="s">
        <v>2150</v>
      </c>
      <c r="F16" s="3382"/>
      <c r="G16" s="3361">
        <v>38468.806400000001</v>
      </c>
      <c r="H16" s="3361">
        <v>4400.2496000000001</v>
      </c>
      <c r="I16" s="3361">
        <v>134451.5232</v>
      </c>
      <c r="J16" s="3361">
        <v>-2396.2813680000008</v>
      </c>
      <c r="K16" s="3369">
        <f t="shared" si="0"/>
        <v>-97986.685032000009</v>
      </c>
      <c r="L16" s="2577">
        <f t="shared" ref="L16:L28" si="6">IF(K16="NO","NA",1)</f>
        <v>1</v>
      </c>
      <c r="M16" s="5" t="s">
        <v>1814</v>
      </c>
      <c r="N16" s="3369">
        <f t="shared" si="2"/>
        <v>-97986.685032000009</v>
      </c>
      <c r="O16" s="3342">
        <v>18.981818181818181</v>
      </c>
      <c r="P16" s="3369">
        <f t="shared" si="3"/>
        <v>-1859.9654395165092</v>
      </c>
      <c r="Q16" s="3369" t="str">
        <f>'Table1.A(d)'!G16</f>
        <v>NA</v>
      </c>
      <c r="R16" s="3369">
        <f t="shared" ref="R16:R44" si="7">IF(SUM(P16,-SUM(Q16))=0,"NO",SUM(P16,-SUM(Q16)))</f>
        <v>-1859.9654395165092</v>
      </c>
      <c r="S16" s="2577">
        <f t="shared" ref="S16:S28" si="8">IF(R16="NO","NA",1)</f>
        <v>1</v>
      </c>
      <c r="T16" s="3375">
        <f t="shared" ref="T16:T28" si="9">IF(R16="NO","NO",R16*S16*44/12)</f>
        <v>-6819.8732782272009</v>
      </c>
    </row>
    <row r="17" spans="2:20" ht="18" customHeight="1" x14ac:dyDescent="0.2">
      <c r="B17" s="1727"/>
      <c r="C17" s="1567"/>
      <c r="D17" s="36" t="s">
        <v>247</v>
      </c>
      <c r="E17" s="2575" t="s">
        <v>2150</v>
      </c>
      <c r="F17" s="3381"/>
      <c r="G17" s="3361" t="s">
        <v>2146</v>
      </c>
      <c r="H17" s="3361" t="s">
        <v>2146</v>
      </c>
      <c r="I17" s="3361" t="s">
        <v>2146</v>
      </c>
      <c r="J17" s="3361">
        <v>-58.446035999999978</v>
      </c>
      <c r="K17" s="3369">
        <f t="shared" si="0"/>
        <v>58.446035999999978</v>
      </c>
      <c r="L17" s="2577">
        <f t="shared" si="6"/>
        <v>1</v>
      </c>
      <c r="M17" s="5" t="s">
        <v>1814</v>
      </c>
      <c r="N17" s="3369">
        <f t="shared" si="2"/>
        <v>58.446035999999978</v>
      </c>
      <c r="O17" s="3342">
        <v>18.790909090909089</v>
      </c>
      <c r="P17" s="3369">
        <f t="shared" si="3"/>
        <v>1.0982541491999995</v>
      </c>
      <c r="Q17" s="3369" t="str">
        <f>'Table1.A(d)'!G17</f>
        <v>NA</v>
      </c>
      <c r="R17" s="3369">
        <f t="shared" si="7"/>
        <v>1.0982541491999995</v>
      </c>
      <c r="S17" s="2577">
        <f t="shared" si="8"/>
        <v>1</v>
      </c>
      <c r="T17" s="3375">
        <f t="shared" si="9"/>
        <v>4.0269318803999985</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209946.13340000002</v>
      </c>
      <c r="H19" s="3361">
        <v>11126.643000000002</v>
      </c>
      <c r="I19" s="3361">
        <v>3297.9068000000002</v>
      </c>
      <c r="J19" s="3361">
        <v>-78.489734400000017</v>
      </c>
      <c r="K19" s="3369">
        <f t="shared" si="0"/>
        <v>195600.07333440002</v>
      </c>
      <c r="L19" s="2577">
        <f t="shared" si="6"/>
        <v>1</v>
      </c>
      <c r="M19" s="5" t="s">
        <v>1814</v>
      </c>
      <c r="N19" s="3369">
        <f t="shared" si="2"/>
        <v>195600.07333440002</v>
      </c>
      <c r="O19" s="3342">
        <v>19.06363636363637</v>
      </c>
      <c r="P19" s="3369">
        <f t="shared" si="3"/>
        <v>3728.848670747609</v>
      </c>
      <c r="Q19" s="3369" t="str">
        <f>'Table1.A(d)'!G19</f>
        <v>NA</v>
      </c>
      <c r="R19" s="3369">
        <f t="shared" si="7"/>
        <v>3728.848670747609</v>
      </c>
      <c r="S19" s="2577">
        <f t="shared" si="8"/>
        <v>1</v>
      </c>
      <c r="T19" s="3375">
        <f t="shared" si="9"/>
        <v>13672.445126074568</v>
      </c>
    </row>
    <row r="20" spans="2:20" ht="18" customHeight="1" x14ac:dyDescent="0.2">
      <c r="B20" s="1727"/>
      <c r="C20" s="1567"/>
      <c r="D20" s="36" t="s">
        <v>190</v>
      </c>
      <c r="E20" s="2575" t="s">
        <v>2150</v>
      </c>
      <c r="F20" s="3381"/>
      <c r="G20" s="3361">
        <v>54110.901500000007</v>
      </c>
      <c r="H20" s="3361">
        <v>8308.1380999999983</v>
      </c>
      <c r="I20" s="3361">
        <v>31754.925599999999</v>
      </c>
      <c r="J20" s="3361">
        <v>-2539.4015009999998</v>
      </c>
      <c r="K20" s="3369">
        <f t="shared" si="0"/>
        <v>16587.239301000009</v>
      </c>
      <c r="L20" s="2577">
        <f t="shared" si="6"/>
        <v>1</v>
      </c>
      <c r="M20" s="5" t="s">
        <v>1814</v>
      </c>
      <c r="N20" s="3369">
        <f t="shared" si="2"/>
        <v>16587.239301000009</v>
      </c>
      <c r="O20" s="3342">
        <v>20.072727272727271</v>
      </c>
      <c r="P20" s="3369">
        <f t="shared" si="3"/>
        <v>332.95113069643651</v>
      </c>
      <c r="Q20" s="3369" t="str">
        <f>'Table1.A(d)'!G20</f>
        <v>NA</v>
      </c>
      <c r="R20" s="3369">
        <f t="shared" si="7"/>
        <v>332.95113069643651</v>
      </c>
      <c r="S20" s="2577">
        <f t="shared" si="8"/>
        <v>1</v>
      </c>
      <c r="T20" s="3375">
        <f t="shared" si="9"/>
        <v>1220.8208125536005</v>
      </c>
    </row>
    <row r="21" spans="2:20" ht="18" customHeight="1" x14ac:dyDescent="0.2">
      <c r="B21" s="1727"/>
      <c r="C21" s="1567"/>
      <c r="D21" s="36" t="s">
        <v>169</v>
      </c>
      <c r="E21" s="2575" t="s">
        <v>2150</v>
      </c>
      <c r="F21" s="3381"/>
      <c r="G21" s="3361">
        <v>19219.102500000001</v>
      </c>
      <c r="H21" s="3361">
        <v>74281.053899899998</v>
      </c>
      <c r="I21" s="3381"/>
      <c r="J21" s="3361">
        <v>-589.50601919999951</v>
      </c>
      <c r="K21" s="3369">
        <f t="shared" si="0"/>
        <v>-54472.445380700003</v>
      </c>
      <c r="L21" s="2577">
        <f t="shared" si="6"/>
        <v>1</v>
      </c>
      <c r="M21" s="5" t="s">
        <v>1814</v>
      </c>
      <c r="N21" s="3369">
        <f t="shared" si="2"/>
        <v>-54472.445380700003</v>
      </c>
      <c r="O21" s="3342">
        <v>16.418181818181822</v>
      </c>
      <c r="P21" s="3369">
        <f t="shared" si="3"/>
        <v>-894.33851234131112</v>
      </c>
      <c r="Q21" s="3369" t="str">
        <f>'Table1.A(d)'!G21</f>
        <v>NA</v>
      </c>
      <c r="R21" s="3369">
        <f t="shared" si="7"/>
        <v>-894.33851234131112</v>
      </c>
      <c r="S21" s="2577">
        <f t="shared" si="8"/>
        <v>1</v>
      </c>
      <c r="T21" s="3375">
        <f t="shared" si="9"/>
        <v>-3279.2412119181408</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356.68474068874968</v>
      </c>
      <c r="R22" s="3369">
        <f t="shared" si="7"/>
        <v>-356.68474068874968</v>
      </c>
      <c r="S22" s="2577">
        <f t="shared" si="8"/>
        <v>1</v>
      </c>
      <c r="T22" s="3375">
        <f t="shared" si="9"/>
        <v>-1307.8440491920821</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15087.081600000001</v>
      </c>
      <c r="H24" s="3361" t="s">
        <v>2146</v>
      </c>
      <c r="I24" s="3381"/>
      <c r="J24" s="3361">
        <v>-497.42493920000004</v>
      </c>
      <c r="K24" s="3369">
        <f t="shared" si="0"/>
        <v>15584.506539200001</v>
      </c>
      <c r="L24" s="2577">
        <f t="shared" si="6"/>
        <v>1</v>
      </c>
      <c r="M24" s="5" t="s">
        <v>1814</v>
      </c>
      <c r="N24" s="3369">
        <f t="shared" si="2"/>
        <v>15584.506539200001</v>
      </c>
      <c r="O24" s="3342">
        <v>22.009090909090911</v>
      </c>
      <c r="P24" s="3369">
        <f t="shared" si="3"/>
        <v>343.00082119457466</v>
      </c>
      <c r="Q24" s="3369">
        <f>'Table1.A(d)'!G24</f>
        <v>782.3681590909091</v>
      </c>
      <c r="R24" s="3369">
        <f t="shared" si="7"/>
        <v>-439.36733789633445</v>
      </c>
      <c r="S24" s="2577">
        <f t="shared" si="8"/>
        <v>1</v>
      </c>
      <c r="T24" s="3375">
        <f t="shared" si="9"/>
        <v>-1611.0135722865598</v>
      </c>
    </row>
    <row r="25" spans="2:20" ht="18" customHeight="1" x14ac:dyDescent="0.2">
      <c r="B25" s="1727"/>
      <c r="C25" s="1567"/>
      <c r="D25" s="36" t="s">
        <v>252</v>
      </c>
      <c r="E25" s="2575" t="s">
        <v>2150</v>
      </c>
      <c r="F25" s="3381"/>
      <c r="G25" s="3361">
        <v>14179.0332</v>
      </c>
      <c r="H25" s="3361">
        <v>8953.0611999999983</v>
      </c>
      <c r="I25" s="3361" t="s">
        <v>2146</v>
      </c>
      <c r="J25" s="3361">
        <v>613.53551419999974</v>
      </c>
      <c r="K25" s="3369">
        <f t="shared" si="0"/>
        <v>4612.4364858000026</v>
      </c>
      <c r="L25" s="2577">
        <f t="shared" si="6"/>
        <v>1</v>
      </c>
      <c r="M25" s="5" t="s">
        <v>1814</v>
      </c>
      <c r="N25" s="3369">
        <f t="shared" si="2"/>
        <v>4612.4364858000026</v>
      </c>
      <c r="O25" s="3342">
        <v>18.991363636363641</v>
      </c>
      <c r="P25" s="3369">
        <f t="shared" si="3"/>
        <v>87.596458551459079</v>
      </c>
      <c r="Q25" s="3369">
        <f>'Table1.A(d)'!G25</f>
        <v>309.88777786363642</v>
      </c>
      <c r="R25" s="3369">
        <f t="shared" si="7"/>
        <v>-222.29131931217734</v>
      </c>
      <c r="S25" s="2577">
        <f t="shared" si="8"/>
        <v>1</v>
      </c>
      <c r="T25" s="3375">
        <f t="shared" si="9"/>
        <v>-815.06817081131692</v>
      </c>
    </row>
    <row r="26" spans="2:20" ht="18" customHeight="1" x14ac:dyDescent="0.2">
      <c r="B26" s="1727"/>
      <c r="C26" s="1567"/>
      <c r="D26" s="36" t="s">
        <v>253</v>
      </c>
      <c r="E26" s="2575" t="s">
        <v>2150</v>
      </c>
      <c r="F26" s="3381"/>
      <c r="G26" s="3361">
        <v>16541.680654300446</v>
      </c>
      <c r="H26" s="3361" t="s">
        <v>2146</v>
      </c>
      <c r="I26" s="3381"/>
      <c r="J26" s="3361" t="s">
        <v>2146</v>
      </c>
      <c r="K26" s="3369">
        <f t="shared" si="0"/>
        <v>16541.680654300446</v>
      </c>
      <c r="L26" s="2577">
        <f t="shared" si="6"/>
        <v>1</v>
      </c>
      <c r="M26" s="5" t="s">
        <v>1814</v>
      </c>
      <c r="N26" s="3369">
        <f t="shared" si="2"/>
        <v>16541.680654300446</v>
      </c>
      <c r="O26" s="3342">
        <v>25.26136363636364</v>
      </c>
      <c r="P26" s="3369">
        <f t="shared" si="3"/>
        <v>417.86541016488519</v>
      </c>
      <c r="Q26" s="3369">
        <f>'Table1.A(d)'!G26</f>
        <v>417.86541016488519</v>
      </c>
      <c r="R26" s="3369" t="str">
        <f t="shared" si="7"/>
        <v>NO</v>
      </c>
      <c r="S26" s="2577" t="str">
        <f t="shared" si="8"/>
        <v>NA</v>
      </c>
      <c r="T26" s="3375" t="str">
        <f t="shared" si="9"/>
        <v>NO</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61794.999068800003</v>
      </c>
      <c r="H28" s="3361">
        <v>2180.9599999999996</v>
      </c>
      <c r="I28" s="3381"/>
      <c r="J28" s="3361">
        <v>3363.8832986000034</v>
      </c>
      <c r="K28" s="3369">
        <f t="shared" si="0"/>
        <v>56250.155770199999</v>
      </c>
      <c r="L28" s="2577">
        <f t="shared" si="6"/>
        <v>1</v>
      </c>
      <c r="M28" s="5" t="s">
        <v>1814</v>
      </c>
      <c r="N28" s="3369">
        <f t="shared" si="2"/>
        <v>56250.155770199999</v>
      </c>
      <c r="O28" s="3342">
        <v>19.03640169188705</v>
      </c>
      <c r="P28" s="3369">
        <f t="shared" si="3"/>
        <v>1070.8005604727455</v>
      </c>
      <c r="Q28" s="3369">
        <f>'Table1.A(d)'!G28</f>
        <v>540.51305614387661</v>
      </c>
      <c r="R28" s="3369">
        <f t="shared" si="7"/>
        <v>530.28750432886886</v>
      </c>
      <c r="S28" s="2577">
        <f t="shared" si="8"/>
        <v>1</v>
      </c>
      <c r="T28" s="3375">
        <f t="shared" si="9"/>
        <v>1944.3875158725193</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1804424.7325296602</v>
      </c>
      <c r="O31" s="3364"/>
      <c r="P31" s="3371">
        <f>SUM(P11:P29)</f>
        <v>34138.865080159769</v>
      </c>
      <c r="Q31" s="3371">
        <f>SUM(Q11:Q29)</f>
        <v>2407.3191439520569</v>
      </c>
      <c r="R31" s="3369">
        <f t="shared" si="7"/>
        <v>31731.545936207713</v>
      </c>
      <c r="S31" s="2578"/>
      <c r="T31" s="3377">
        <f>SUM(T11:T29)</f>
        <v>116349.00176609494</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8630247.2240887284</v>
      </c>
      <c r="G35" s="3361" t="s">
        <v>2146</v>
      </c>
      <c r="H35" s="3361">
        <v>6943300</v>
      </c>
      <c r="I35" s="3361" t="s">
        <v>2146</v>
      </c>
      <c r="J35" s="3361">
        <v>87400</v>
      </c>
      <c r="K35" s="3369">
        <f t="shared" si="10"/>
        <v>1599547.2240887284</v>
      </c>
      <c r="L35" s="2577">
        <f t="shared" si="11"/>
        <v>1</v>
      </c>
      <c r="M35" s="55" t="s">
        <v>1814</v>
      </c>
      <c r="N35" s="3369">
        <f t="shared" si="12"/>
        <v>1599547.2240887284</v>
      </c>
      <c r="O35" s="3342">
        <v>23.442109426210848</v>
      </c>
      <c r="P35" s="3369">
        <f t="shared" si="13"/>
        <v>37496.761059479773</v>
      </c>
      <c r="Q35" s="3369">
        <f>'Table1.A(d)'!G35</f>
        <v>897.97546963636364</v>
      </c>
      <c r="R35" s="3369">
        <f t="shared" si="7"/>
        <v>36598.785589843406</v>
      </c>
      <c r="S35" s="2577">
        <f t="shared" si="14"/>
        <v>1</v>
      </c>
      <c r="T35" s="3375">
        <f t="shared" si="15"/>
        <v>134195.54716275915</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643387.16535616142</v>
      </c>
      <c r="G37" s="3361" t="s">
        <v>2146</v>
      </c>
      <c r="H37" s="3361" t="s">
        <v>2146</v>
      </c>
      <c r="I37" s="3381"/>
      <c r="J37" s="3361">
        <v>-19100</v>
      </c>
      <c r="K37" s="3369">
        <f t="shared" si="10"/>
        <v>662487.16535616142</v>
      </c>
      <c r="L37" s="2577">
        <f t="shared" si="11"/>
        <v>1</v>
      </c>
      <c r="M37" s="55" t="s">
        <v>1814</v>
      </c>
      <c r="N37" s="3369">
        <f t="shared" si="12"/>
        <v>662487.16535616142</v>
      </c>
      <c r="O37" s="3342">
        <v>27.5027439702918</v>
      </c>
      <c r="P37" s="3369">
        <f t="shared" si="13"/>
        <v>18220.214892394873</v>
      </c>
      <c r="Q37" s="3369" t="str">
        <f>'Table1.A(d)'!G37</f>
        <v>NO</v>
      </c>
      <c r="R37" s="3369">
        <f t="shared" si="7"/>
        <v>18220.214892394873</v>
      </c>
      <c r="S37" s="2577">
        <f t="shared" si="14"/>
        <v>1</v>
      </c>
      <c r="T37" s="3375">
        <f t="shared" si="15"/>
        <v>66807.454605447871</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t="s">
        <v>2146</v>
      </c>
      <c r="I40" s="3381"/>
      <c r="J40" s="3361" t="s">
        <v>2146</v>
      </c>
      <c r="K40" s="3369" t="str">
        <f t="shared" ref="K40:K42" si="16">IF((SUM(F40:G40)-SUM(H40:J40))=0,"NO",(SUM(F40:G40)-SUM(H40:J40)))</f>
        <v>NO</v>
      </c>
      <c r="L40" s="2577" t="str">
        <f t="shared" ref="L40:L42" si="17">IF(K40="NO","NA",1)</f>
        <v>NA</v>
      </c>
      <c r="M40" s="55" t="s">
        <v>1814</v>
      </c>
      <c r="N40" s="3369" t="str">
        <f t="shared" ref="N40:N42" si="18">K40</f>
        <v>NO</v>
      </c>
      <c r="O40" s="3342" t="s">
        <v>2147</v>
      </c>
      <c r="P40" s="3369" t="str">
        <f t="shared" ref="P40:P42" si="19">IFERROR(N40*O40/1000,"NA")</f>
        <v>NA</v>
      </c>
      <c r="Q40" s="3369" t="str">
        <f>'Table1.A(d)'!G40</f>
        <v>NA</v>
      </c>
      <c r="R40" s="3369" t="str">
        <f t="shared" si="7"/>
        <v>NO</v>
      </c>
      <c r="S40" s="2577" t="str">
        <f t="shared" ref="S40:S42" si="20">IF(R40="NO","NA",1)</f>
        <v>NA</v>
      </c>
      <c r="T40" s="3375" t="str">
        <f t="shared" ref="T40:T42" si="21">IF(R40="NO","NO",R40*S40*44/12)</f>
        <v>NO</v>
      </c>
    </row>
    <row r="41" spans="2:20" ht="18" customHeight="1" x14ac:dyDescent="0.2">
      <c r="B41" s="1727"/>
      <c r="C41" s="1567"/>
      <c r="D41" s="31" t="s">
        <v>266</v>
      </c>
      <c r="E41" s="2575" t="s">
        <v>2150</v>
      </c>
      <c r="F41" s="3381"/>
      <c r="G41" s="3361">
        <v>1300</v>
      </c>
      <c r="H41" s="3361" t="s">
        <v>2146</v>
      </c>
      <c r="I41" s="3381"/>
      <c r="J41" s="3361">
        <v>18000</v>
      </c>
      <c r="K41" s="3369">
        <f t="shared" si="16"/>
        <v>-16700</v>
      </c>
      <c r="L41" s="2577">
        <f t="shared" si="17"/>
        <v>1</v>
      </c>
      <c r="M41" s="55" t="s">
        <v>1814</v>
      </c>
      <c r="N41" s="3369">
        <f t="shared" si="18"/>
        <v>-16700</v>
      </c>
      <c r="O41" s="3342">
        <v>29.794565719217811</v>
      </c>
      <c r="P41" s="3369">
        <f t="shared" si="19"/>
        <v>-497.56924751093743</v>
      </c>
      <c r="Q41" s="3369">
        <f>'Table1.A(d)'!G41</f>
        <v>2090.3157934032761</v>
      </c>
      <c r="R41" s="3369">
        <f t="shared" si="7"/>
        <v>-2587.8850409142133</v>
      </c>
      <c r="S41" s="2577">
        <f t="shared" si="20"/>
        <v>1</v>
      </c>
      <c r="T41" s="3375">
        <f t="shared" si="21"/>
        <v>-9488.9118166854478</v>
      </c>
    </row>
    <row r="42" spans="2:20" ht="18" customHeight="1" x14ac:dyDescent="0.2">
      <c r="B42" s="1727"/>
      <c r="C42" s="1568"/>
      <c r="D42" s="31" t="s">
        <v>267</v>
      </c>
      <c r="E42" s="2575" t="s">
        <v>2150</v>
      </c>
      <c r="F42" s="3381"/>
      <c r="G42" s="3361" t="s">
        <v>2146</v>
      </c>
      <c r="H42" s="3361" t="s">
        <v>2146</v>
      </c>
      <c r="I42" s="3381"/>
      <c r="J42" s="3361">
        <v>-1400</v>
      </c>
      <c r="K42" s="3369">
        <f t="shared" si="16"/>
        <v>1400</v>
      </c>
      <c r="L42" s="2577">
        <f t="shared" si="17"/>
        <v>1</v>
      </c>
      <c r="M42" s="55" t="s">
        <v>1814</v>
      </c>
      <c r="N42" s="3369">
        <f t="shared" si="18"/>
        <v>1400</v>
      </c>
      <c r="O42" s="3342">
        <v>22.309090909090909</v>
      </c>
      <c r="P42" s="3369">
        <f t="shared" si="19"/>
        <v>31.232727272727271</v>
      </c>
      <c r="Q42" s="3369">
        <f>'Table1.A(d)'!G42</f>
        <v>188.1356957599445</v>
      </c>
      <c r="R42" s="3369">
        <f t="shared" si="7"/>
        <v>-156.90296848721724</v>
      </c>
      <c r="S42" s="2577">
        <f t="shared" si="20"/>
        <v>1</v>
      </c>
      <c r="T42" s="3375">
        <f t="shared" si="21"/>
        <v>-575.31088445312992</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2246734.38944489</v>
      </c>
      <c r="O45" s="3364"/>
      <c r="P45" s="3371">
        <f>SUM(P33:P43)</f>
        <v>55250.639431636431</v>
      </c>
      <c r="Q45" s="3371">
        <f>SUM(Q33:Q43)</f>
        <v>3176.4269587995841</v>
      </c>
      <c r="R45" s="3371">
        <f>SUM(R33:R43)</f>
        <v>52074.212472836851</v>
      </c>
      <c r="S45" s="41"/>
      <c r="T45" s="3377">
        <f>SUM(T33:T43)</f>
        <v>190938.77906706842</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1839702.5810046131</v>
      </c>
      <c r="G47" s="3361">
        <v>217672.78951200002</v>
      </c>
      <c r="H47" s="3361">
        <v>779676.07017519989</v>
      </c>
      <c r="I47" s="3361" t="s">
        <v>2146</v>
      </c>
      <c r="J47" s="3361">
        <v>106875.98091676114</v>
      </c>
      <c r="K47" s="3369">
        <f t="shared" ref="K47" si="22">IF((SUM(F47:G47)-SUM(H47:J47))=0,"NO",(SUM(F47:G47)-SUM(H47:J47)))</f>
        <v>1170823.319424652</v>
      </c>
      <c r="L47" s="2577">
        <f t="shared" ref="L47" si="23">IF(K47="NO","NA",1)</f>
        <v>1</v>
      </c>
      <c r="M47" s="55" t="s">
        <v>1814</v>
      </c>
      <c r="N47" s="3369">
        <f t="shared" ref="N47" si="24">K47</f>
        <v>1170823.319424652</v>
      </c>
      <c r="O47" s="3342">
        <v>14.02600817018376</v>
      </c>
      <c r="P47" s="3369">
        <f t="shared" ref="P47" si="25">IFERROR(N47*O47/1000,"NA")</f>
        <v>16421.977444091841</v>
      </c>
      <c r="Q47" s="3369">
        <f>'Table1.A(d)'!G47</f>
        <v>690.03036496204322</v>
      </c>
      <c r="R47" s="3369">
        <f t="shared" ref="R47" si="26">IF(SUM(P47,-SUM(Q47))=0,"NO",SUM(P47,-SUM(Q47)))</f>
        <v>15731.947079129797</v>
      </c>
      <c r="S47" s="2577">
        <f t="shared" ref="S47" si="27">IF(R47="NO","NA",1)</f>
        <v>1</v>
      </c>
      <c r="T47" s="3375">
        <f t="shared" ref="T47" si="28">IF(R47="NO","NO",R47*S47*44/12)</f>
        <v>57683.805956809258</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1170823.319424652</v>
      </c>
      <c r="O50" s="3366"/>
      <c r="P50" s="3371">
        <f>SUM(P47:P48)</f>
        <v>16421.977444091841</v>
      </c>
      <c r="Q50" s="3371">
        <f>SUM(Q47:Q48)</f>
        <v>690.03036496204322</v>
      </c>
      <c r="R50" s="3371">
        <f>SUM(R47:R48)</f>
        <v>15731.947079129797</v>
      </c>
      <c r="S50" s="2354"/>
      <c r="T50" s="3377">
        <f>SUM(T47:T48)</f>
        <v>57683.805956809258</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5221982.4413992018</v>
      </c>
      <c r="O55" s="3367"/>
      <c r="P55" s="3373">
        <f>SUM(P31,P45,P50,P54)</f>
        <v>105811.48195588804</v>
      </c>
      <c r="Q55" s="3373">
        <f>SUM(Q31,Q45,Q50,Q54)</f>
        <v>6273.7764677136838</v>
      </c>
      <c r="R55" s="3373">
        <f>SUM(R31,R45,R50,R54)</f>
        <v>99537.705488174353</v>
      </c>
      <c r="S55" s="2374"/>
      <c r="T55" s="3379">
        <f>SUM(T31,T45,T50,T54)</f>
        <v>364971.58678997261</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1804.4247325296603</v>
      </c>
      <c r="D10" s="4136">
        <f>C10-'Table1.A(d)'!E31/1000</f>
        <v>1681.638345764926</v>
      </c>
      <c r="E10" s="4135">
        <f>'Table1.A(b)'!T31</f>
        <v>116349.00176609494</v>
      </c>
      <c r="F10" s="4135">
        <f>'Table1.A(a)s1'!C11/1000</f>
        <v>1692.9930091664924</v>
      </c>
      <c r="G10" s="4135">
        <f>'Table1.A(a)s1'!H11</f>
        <v>115407.45117062438</v>
      </c>
      <c r="H10" s="4135">
        <f>100*((D10-F10)/F10)</f>
        <v>-0.67068578193105066</v>
      </c>
      <c r="I10" s="4137">
        <f>100*((E10-G10)/G10)</f>
        <v>0.81584905127011353</v>
      </c>
      <c r="L10"/>
    </row>
    <row r="11" spans="2:12" ht="18" customHeight="1" x14ac:dyDescent="0.2">
      <c r="B11" s="50" t="s">
        <v>299</v>
      </c>
      <c r="C11" s="4135">
        <f>'Table1.A(b)'!N45/1000</f>
        <v>2246.73438944489</v>
      </c>
      <c r="D11" s="4135">
        <f>C11-'Table1.A(d)'!E45/1000</f>
        <v>2131.1142888654463</v>
      </c>
      <c r="E11" s="4135">
        <f>'Table1.A(b)'!T45</f>
        <v>190938.77906706842</v>
      </c>
      <c r="F11" s="4135">
        <f>'Table1.A(a)s1'!C12/1000</f>
        <v>2135.4949066331569</v>
      </c>
      <c r="G11" s="4135">
        <f>'Table1.A(a)s1'!H12</f>
        <v>192199.07610452452</v>
      </c>
      <c r="H11" s="4135">
        <f t="shared" ref="H11:H13" si="0">100*((D11-F11)/F11)</f>
        <v>-0.20513360879971251</v>
      </c>
      <c r="I11" s="4137">
        <f t="shared" ref="I11:I13" si="1">100*((E11-G11)/G11)</f>
        <v>-0.65572481564412111</v>
      </c>
      <c r="L11"/>
    </row>
    <row r="12" spans="2:12" ht="18" customHeight="1" x14ac:dyDescent="0.2">
      <c r="B12" s="50" t="s">
        <v>300</v>
      </c>
      <c r="C12" s="4135">
        <f>'Table1.A(b)'!N50/1000</f>
        <v>1170.823319424652</v>
      </c>
      <c r="D12" s="4135">
        <f>C12-'Table1.A(d)'!E50/1000</f>
        <v>1121.6107745532845</v>
      </c>
      <c r="E12" s="4135">
        <f>'Table1.A(b)'!T50</f>
        <v>57683.805956809258</v>
      </c>
      <c r="F12" s="4135">
        <f>'Table1.A(a)s1'!C13/1000</f>
        <v>1114.5147765422953</v>
      </c>
      <c r="G12" s="4135">
        <f>'Table1.A(a)s1'!H13</f>
        <v>57361.804686636082</v>
      </c>
      <c r="H12" s="4135">
        <f t="shared" si="0"/>
        <v>0.6366894509020371</v>
      </c>
      <c r="I12" s="4137">
        <f t="shared" si="1"/>
        <v>0.56135135903106315</v>
      </c>
      <c r="L12"/>
    </row>
    <row r="13" spans="2:12" ht="18" customHeight="1" x14ac:dyDescent="0.2">
      <c r="B13" s="50" t="s">
        <v>275</v>
      </c>
      <c r="C13" s="4135">
        <f>'Table1.A(b)'!N54/1000</f>
        <v>0</v>
      </c>
      <c r="D13" s="4135">
        <f>C13-SUM('Table1.A(d)'!E54)/1000</f>
        <v>0</v>
      </c>
      <c r="E13" s="4135">
        <f>'Table1.A(b)'!T54</f>
        <v>0</v>
      </c>
      <c r="F13" s="4135">
        <f>'Table1.A(a)s1'!C14/1000</f>
        <v>7.4174039402451593</v>
      </c>
      <c r="G13" s="4135">
        <f>'Table1.A(a)s1'!H14</f>
        <v>667.27570881997019</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5221.9824413992028</v>
      </c>
      <c r="D15" s="4138">
        <f>SUM(D10:D14)</f>
        <v>4934.3634091836566</v>
      </c>
      <c r="E15" s="4138">
        <f>SUM(E10:E14)</f>
        <v>364971.58678997261</v>
      </c>
      <c r="F15" s="4138">
        <f>SUM(F10:F14)</f>
        <v>4950.4200962821897</v>
      </c>
      <c r="G15" s="4138">
        <f>SUM(G10:G14)</f>
        <v>365635.60767060495</v>
      </c>
      <c r="H15" s="4139">
        <f t="shared" ref="H15" si="2">100*((D15-F15)/F15)</f>
        <v>-0.32434999022793626</v>
      </c>
      <c r="I15" s="4140">
        <f t="shared" ref="I15" si="3">100*((E15-G15)/G15)</f>
        <v>-0.18160727968008539</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37D8DFF6-0BF4-4ABC-AD7C-C5A42CAD0923}"/>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2023-04-13T05:55:44Z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